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1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1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1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1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c6908e728f1b34df/Paper ERIA/Xls baru 29092024/"/>
    </mc:Choice>
  </mc:AlternateContent>
  <xr:revisionPtr revIDLastSave="62" documentId="13_ncr:1_{C50BB6D1-156B-4FCF-BCF7-B3B134CB4B25}" xr6:coauthVersionLast="47" xr6:coauthVersionMax="47" xr10:uidLastSave="{B66D5FB1-1925-4B85-BF8E-63D795118587}"/>
  <bookViews>
    <workbookView xWindow="-120" yWindow="-120" windowWidth="29040" windowHeight="16440" activeTab="6" xr2:uid="{00000000-000D-0000-FFFF-FFFF00000000}"/>
  </bookViews>
  <sheets>
    <sheet name="E-Bus ID" sheetId="1" r:id="rId1"/>
    <sheet name="ICE-Bus ID" sheetId="2" r:id="rId2"/>
    <sheet name="E-Truck ID" sheetId="3" r:id="rId3"/>
    <sheet name="ICE-Truck ID" sheetId="4" r:id="rId4"/>
    <sheet name="E-Cargo ID" sheetId="5" r:id="rId5"/>
    <sheet name="ICE-Cargo ID" sheetId="6" r:id="rId6"/>
    <sheet name="Sensitivity" sheetId="10" r:id="rId7"/>
    <sheet name="E-Conv Mortorcyle ID" sheetId="7" r:id="rId8"/>
    <sheet name="ICE-Motorcycle ID" sheetId="8" r:id="rId9"/>
    <sheet name="Description" sheetId="9" r:id="rId10"/>
  </sheets>
  <externalReferences>
    <externalReference r:id="rId11"/>
  </externalReferenc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ltjmpkHwkGFvT5ryrDldVKPw7cNuFfDhxYt5fsxe1Xc="/>
    </ext>
  </extLst>
</workbook>
</file>

<file path=xl/calcChain.xml><?xml version="1.0" encoding="utf-8"?>
<calcChain xmlns="http://schemas.openxmlformats.org/spreadsheetml/2006/main">
  <c r="AC73" i="5" l="1"/>
  <c r="AC69" i="5"/>
  <c r="AA61" i="4"/>
  <c r="AA60" i="4"/>
  <c r="AC73" i="1"/>
  <c r="AC72" i="1"/>
  <c r="AC55" i="6"/>
  <c r="AO23" i="6" s="1"/>
  <c r="T36" i="10" s="1"/>
  <c r="AC56" i="6"/>
  <c r="AO24" i="6" s="1"/>
  <c r="T37" i="10" s="1"/>
  <c r="AC57" i="6"/>
  <c r="AO25" i="6" s="1"/>
  <c r="T38" i="10" s="1"/>
  <c r="AC58" i="6"/>
  <c r="AO26" i="6" s="1"/>
  <c r="T39" i="10" s="1"/>
  <c r="AC59" i="6"/>
  <c r="AO27" i="6" s="1"/>
  <c r="T40" i="10" s="1"/>
  <c r="AC60" i="6"/>
  <c r="AO28" i="6" s="1"/>
  <c r="T41" i="10" s="1"/>
  <c r="AC61" i="6"/>
  <c r="AO29" i="6" s="1"/>
  <c r="T42" i="10" s="1"/>
  <c r="AC62" i="6"/>
  <c r="AO30" i="6" s="1"/>
  <c r="T43" i="10" s="1"/>
  <c r="AC63" i="6"/>
  <c r="AO31" i="6" s="1"/>
  <c r="T44" i="10" s="1"/>
  <c r="AC64" i="6"/>
  <c r="AO32" i="6" s="1"/>
  <c r="T45" i="10" s="1"/>
  <c r="AC54" i="6"/>
  <c r="AO22" i="6" s="1"/>
  <c r="T35" i="10" s="1"/>
  <c r="AE70" i="5"/>
  <c r="AR23" i="5" s="1"/>
  <c r="H36" i="10" s="1"/>
  <c r="AE71" i="5"/>
  <c r="AR24" i="5" s="1"/>
  <c r="H37" i="10" s="1"/>
  <c r="AE72" i="5"/>
  <c r="AR25" i="5" s="1"/>
  <c r="H38" i="10" s="1"/>
  <c r="AE73" i="5"/>
  <c r="AR26" i="5" s="1"/>
  <c r="H39" i="10" s="1"/>
  <c r="AE74" i="5"/>
  <c r="AR27" i="5" s="1"/>
  <c r="H40" i="10" s="1"/>
  <c r="AE75" i="5"/>
  <c r="AR28" i="5" s="1"/>
  <c r="H41" i="10" s="1"/>
  <c r="AE76" i="5"/>
  <c r="AR29" i="5" s="1"/>
  <c r="H42" i="10" s="1"/>
  <c r="AE77" i="5"/>
  <c r="AR30" i="5" s="1"/>
  <c r="H43" i="10" s="1"/>
  <c r="AE78" i="5"/>
  <c r="AR31" i="5" s="1"/>
  <c r="H44" i="10" s="1"/>
  <c r="AE79" i="5"/>
  <c r="AR32" i="5" s="1"/>
  <c r="H45" i="10" s="1"/>
  <c r="AE69" i="5"/>
  <c r="AR22" i="5" s="1"/>
  <c r="H35" i="10" s="1"/>
  <c r="AC55" i="4"/>
  <c r="AO23" i="4" s="1"/>
  <c r="T21" i="10" s="1"/>
  <c r="AC56" i="4"/>
  <c r="AO24" i="4" s="1"/>
  <c r="T22" i="10" s="1"/>
  <c r="AC57" i="4"/>
  <c r="AO25" i="4" s="1"/>
  <c r="T23" i="10" s="1"/>
  <c r="AC58" i="4"/>
  <c r="AO26" i="4" s="1"/>
  <c r="T24" i="10" s="1"/>
  <c r="AC59" i="4"/>
  <c r="AO27" i="4" s="1"/>
  <c r="T25" i="10" s="1"/>
  <c r="AC60" i="4"/>
  <c r="AO28" i="4" s="1"/>
  <c r="T26" i="10" s="1"/>
  <c r="AC61" i="4"/>
  <c r="AO29" i="4" s="1"/>
  <c r="T27" i="10" s="1"/>
  <c r="AC62" i="4"/>
  <c r="AO30" i="4" s="1"/>
  <c r="T28" i="10" s="1"/>
  <c r="AC63" i="4"/>
  <c r="AO31" i="4" s="1"/>
  <c r="T29" i="10" s="1"/>
  <c r="AC64" i="4"/>
  <c r="AO32" i="4" s="1"/>
  <c r="T30" i="10" s="1"/>
  <c r="AC54" i="4"/>
  <c r="AO22" i="4" s="1"/>
  <c r="T20" i="10" s="1"/>
  <c r="AE70" i="3"/>
  <c r="AR23" i="3" s="1"/>
  <c r="H21" i="10" s="1"/>
  <c r="AE71" i="3"/>
  <c r="AR24" i="3" s="1"/>
  <c r="H22" i="10" s="1"/>
  <c r="AE72" i="3"/>
  <c r="AR25" i="3" s="1"/>
  <c r="H23" i="10" s="1"/>
  <c r="AE73" i="3"/>
  <c r="AR26" i="3" s="1"/>
  <c r="H24" i="10" s="1"/>
  <c r="AE74" i="3"/>
  <c r="AR27" i="3" s="1"/>
  <c r="H25" i="10" s="1"/>
  <c r="AE75" i="3"/>
  <c r="AR28" i="3" s="1"/>
  <c r="H26" i="10" s="1"/>
  <c r="AE76" i="3"/>
  <c r="AR29" i="3" s="1"/>
  <c r="H27" i="10" s="1"/>
  <c r="AE77" i="3"/>
  <c r="AR30" i="3" s="1"/>
  <c r="H28" i="10" s="1"/>
  <c r="AE78" i="3"/>
  <c r="AR31" i="3" s="1"/>
  <c r="H29" i="10" s="1"/>
  <c r="AE79" i="3"/>
  <c r="AR32" i="3" s="1"/>
  <c r="H30" i="10" s="1"/>
  <c r="AE69" i="3"/>
  <c r="AR22" i="3" s="1"/>
  <c r="H20" i="10" s="1"/>
  <c r="AC55" i="2"/>
  <c r="AO23" i="2" s="1"/>
  <c r="T6" i="10" s="1"/>
  <c r="AC56" i="2"/>
  <c r="AO24" i="2" s="1"/>
  <c r="T7" i="10" s="1"/>
  <c r="AC57" i="2"/>
  <c r="AO25" i="2" s="1"/>
  <c r="T8" i="10" s="1"/>
  <c r="AC58" i="2"/>
  <c r="AO26" i="2" s="1"/>
  <c r="T9" i="10" s="1"/>
  <c r="AC59" i="2"/>
  <c r="AO27" i="2" s="1"/>
  <c r="T10" i="10" s="1"/>
  <c r="AC60" i="2"/>
  <c r="AO28" i="2" s="1"/>
  <c r="T11" i="10" s="1"/>
  <c r="AC61" i="2"/>
  <c r="AO29" i="2" s="1"/>
  <c r="T12" i="10" s="1"/>
  <c r="AC62" i="2"/>
  <c r="AO30" i="2" s="1"/>
  <c r="T13" i="10" s="1"/>
  <c r="AC63" i="2"/>
  <c r="AO31" i="2" s="1"/>
  <c r="T14" i="10" s="1"/>
  <c r="AC64" i="2"/>
  <c r="AO32" i="2" s="1"/>
  <c r="T15" i="10" s="1"/>
  <c r="AC54" i="2"/>
  <c r="AO22" i="2" s="1"/>
  <c r="T5" i="10" s="1"/>
  <c r="AE70" i="1"/>
  <c r="AR23" i="1" s="1"/>
  <c r="H6" i="10" s="1"/>
  <c r="AE71" i="1"/>
  <c r="AR24" i="1" s="1"/>
  <c r="H7" i="10" s="1"/>
  <c r="AE72" i="1"/>
  <c r="AR25" i="1" s="1"/>
  <c r="H8" i="10" s="1"/>
  <c r="AE73" i="1"/>
  <c r="AR26" i="1" s="1"/>
  <c r="H9" i="10" s="1"/>
  <c r="AE74" i="1"/>
  <c r="AR27" i="1" s="1"/>
  <c r="H10" i="10" s="1"/>
  <c r="AE75" i="1"/>
  <c r="AR28" i="1" s="1"/>
  <c r="H11" i="10" s="1"/>
  <c r="AE76" i="1"/>
  <c r="AR29" i="1" s="1"/>
  <c r="H12" i="10" s="1"/>
  <c r="AE77" i="1"/>
  <c r="AR30" i="1" s="1"/>
  <c r="H13" i="10" s="1"/>
  <c r="AE78" i="1"/>
  <c r="AR31" i="1" s="1"/>
  <c r="H14" i="10" s="1"/>
  <c r="AE79" i="1"/>
  <c r="AR32" i="1" s="1"/>
  <c r="H15" i="10" s="1"/>
  <c r="AE69" i="1"/>
  <c r="AR22" i="1" s="1"/>
  <c r="H5" i="10" s="1"/>
  <c r="T19" i="10"/>
  <c r="T4" i="10"/>
  <c r="H4" i="10"/>
  <c r="AO21" i="6"/>
  <c r="T34" i="10" s="1"/>
  <c r="AO21" i="4"/>
  <c r="AO21" i="2"/>
  <c r="AR21" i="5"/>
  <c r="H34" i="10" s="1"/>
  <c r="AR21" i="3"/>
  <c r="H19" i="10" s="1"/>
  <c r="AR21" i="1"/>
  <c r="F36" i="4"/>
  <c r="F37" i="4" s="1"/>
  <c r="Z60" i="6"/>
  <c r="Z61" i="6" s="1"/>
  <c r="AA61" i="6" s="1"/>
  <c r="AA59" i="6"/>
  <c r="Z58" i="6"/>
  <c r="AA58" i="6" s="1"/>
  <c r="AA12" i="6"/>
  <c r="AA12" i="4"/>
  <c r="Z60" i="4"/>
  <c r="Z61" i="4" s="1"/>
  <c r="AA59" i="4"/>
  <c r="Z58" i="4"/>
  <c r="AA58" i="4" s="1"/>
  <c r="AA59" i="2"/>
  <c r="Z60" i="2"/>
  <c r="Z61" i="2" s="1"/>
  <c r="AA61" i="2" s="1"/>
  <c r="Z58" i="2"/>
  <c r="AA58" i="2" s="1"/>
  <c r="Z57" i="2"/>
  <c r="Z56" i="2" s="1"/>
  <c r="AA12" i="2"/>
  <c r="AC14" i="5"/>
  <c r="AB75" i="5"/>
  <c r="AB76" i="5" s="1"/>
  <c r="AC76" i="5" s="1"/>
  <c r="AC74" i="5"/>
  <c r="AB73" i="5"/>
  <c r="AB72" i="5"/>
  <c r="AC72" i="5" s="1"/>
  <c r="AB71" i="5"/>
  <c r="AB70" i="5" s="1"/>
  <c r="AC70" i="5" s="1"/>
  <c r="AC14" i="3"/>
  <c r="AB76" i="3"/>
  <c r="AC76" i="3" s="1"/>
  <c r="AB75" i="3"/>
  <c r="AC75" i="3" s="1"/>
  <c r="AC74" i="3"/>
  <c r="AB73" i="3"/>
  <c r="AC73" i="3" s="1"/>
  <c r="AB72" i="3"/>
  <c r="AC72" i="3" s="1"/>
  <c r="AB71" i="3"/>
  <c r="AB70" i="3" s="1"/>
  <c r="AC70" i="3" s="1"/>
  <c r="AC74" i="1"/>
  <c r="AC14" i="1"/>
  <c r="AB76" i="1"/>
  <c r="AB77" i="1" s="1"/>
  <c r="AC77" i="1" s="1"/>
  <c r="AB75" i="1"/>
  <c r="AC75" i="1" s="1"/>
  <c r="AB73" i="1"/>
  <c r="AB72" i="1" s="1"/>
  <c r="Z55" i="2" l="1"/>
  <c r="AA55" i="2" s="1"/>
  <c r="AA56" i="2"/>
  <c r="AA57" i="2"/>
  <c r="AC75" i="5"/>
  <c r="AC76" i="1"/>
  <c r="AC71" i="3"/>
  <c r="Z57" i="4"/>
  <c r="AA60" i="2"/>
  <c r="AA60" i="6"/>
  <c r="AB77" i="3"/>
  <c r="AC71" i="5"/>
  <c r="Z62" i="6"/>
  <c r="AA62" i="6" s="1"/>
  <c r="Z57" i="6"/>
  <c r="AA57" i="6" s="1"/>
  <c r="Z62" i="4"/>
  <c r="AA62" i="4" s="1"/>
  <c r="Z62" i="2"/>
  <c r="AA62" i="2" s="1"/>
  <c r="Z54" i="2"/>
  <c r="AA54" i="2" s="1"/>
  <c r="AB77" i="5"/>
  <c r="AC77" i="5" s="1"/>
  <c r="AB69" i="3"/>
  <c r="AC69" i="3" s="1"/>
  <c r="AB78" i="1"/>
  <c r="AC78" i="1" s="1"/>
  <c r="AB71" i="1"/>
  <c r="AC71" i="1" s="1"/>
  <c r="Z56" i="4" l="1"/>
  <c r="AA57" i="4"/>
  <c r="AB78" i="3"/>
  <c r="AC77" i="3"/>
  <c r="Z63" i="6"/>
  <c r="AA63" i="6" s="1"/>
  <c r="Z56" i="6"/>
  <c r="AA56" i="6" s="1"/>
  <c r="Z63" i="4"/>
  <c r="AA63" i="4" s="1"/>
  <c r="Z63" i="2"/>
  <c r="AA63" i="2" s="1"/>
  <c r="AB78" i="5"/>
  <c r="AC78" i="5" s="1"/>
  <c r="AB70" i="1"/>
  <c r="AC70" i="1" s="1"/>
  <c r="AB79" i="1"/>
  <c r="AC79" i="1" s="1"/>
  <c r="AC78" i="3" l="1"/>
  <c r="AB79" i="3"/>
  <c r="AC79" i="3" s="1"/>
  <c r="AA56" i="4"/>
  <c r="Z55" i="4"/>
  <c r="Z64" i="6"/>
  <c r="AA64" i="6" s="1"/>
  <c r="Z55" i="6"/>
  <c r="AA55" i="6" s="1"/>
  <c r="Z64" i="4"/>
  <c r="AA64" i="4" s="1"/>
  <c r="Z64" i="2"/>
  <c r="AA64" i="2" s="1"/>
  <c r="AB79" i="5"/>
  <c r="AC79" i="5" s="1"/>
  <c r="AB69" i="1"/>
  <c r="AC69" i="1" s="1"/>
  <c r="AA55" i="4" l="1"/>
  <c r="Z54" i="4"/>
  <c r="AA54" i="4" s="1"/>
  <c r="Z54" i="6"/>
  <c r="AA54" i="6" s="1"/>
  <c r="O35" i="10" l="1"/>
  <c r="O36" i="10"/>
  <c r="O37" i="10"/>
  <c r="O38" i="10"/>
  <c r="O39" i="10"/>
  <c r="O40" i="10"/>
  <c r="O41" i="10"/>
  <c r="O42" i="10"/>
  <c r="O43" i="10"/>
  <c r="O44" i="10"/>
  <c r="O45" i="10"/>
  <c r="O20" i="10"/>
  <c r="O21" i="10"/>
  <c r="O22" i="10"/>
  <c r="O23" i="10"/>
  <c r="O24" i="10"/>
  <c r="O25" i="10"/>
  <c r="O26" i="10"/>
  <c r="O27" i="10"/>
  <c r="O28" i="10"/>
  <c r="O29" i="10"/>
  <c r="O30" i="10"/>
  <c r="O5" i="10"/>
  <c r="O6" i="10"/>
  <c r="O7" i="10"/>
  <c r="O8" i="10"/>
  <c r="O9" i="10"/>
  <c r="O10" i="10"/>
  <c r="O11" i="10"/>
  <c r="O12" i="10"/>
  <c r="O13" i="10"/>
  <c r="O14" i="10"/>
  <c r="O15" i="10"/>
  <c r="B35" i="10"/>
  <c r="B36" i="10"/>
  <c r="B37" i="10"/>
  <c r="B38" i="10"/>
  <c r="B39" i="10"/>
  <c r="B40" i="10"/>
  <c r="B41" i="10"/>
  <c r="B42" i="10"/>
  <c r="B43" i="10"/>
  <c r="B44" i="10"/>
  <c r="B45" i="10"/>
  <c r="B20" i="10"/>
  <c r="B21" i="10"/>
  <c r="B22" i="10"/>
  <c r="B23" i="10"/>
  <c r="B24" i="10"/>
  <c r="B25" i="10"/>
  <c r="B26" i="10"/>
  <c r="B27" i="10"/>
  <c r="B28" i="10"/>
  <c r="B29" i="10"/>
  <c r="B30" i="10"/>
  <c r="B5" i="10"/>
  <c r="B6" i="10"/>
  <c r="B7" i="10"/>
  <c r="B8" i="10"/>
  <c r="B9" i="10"/>
  <c r="B10" i="10"/>
  <c r="B11" i="10"/>
  <c r="B12" i="10"/>
  <c r="B13" i="10"/>
  <c r="B14" i="10"/>
  <c r="B15" i="10"/>
  <c r="AJ64" i="5"/>
  <c r="AJ63" i="5"/>
  <c r="AJ62" i="5"/>
  <c r="AJ61" i="5"/>
  <c r="AJ60" i="5"/>
  <c r="AJ59" i="5"/>
  <c r="AJ58" i="5"/>
  <c r="AJ57" i="5"/>
  <c r="AJ56" i="5"/>
  <c r="AJ55" i="5"/>
  <c r="AJ54" i="5"/>
  <c r="AJ64" i="3"/>
  <c r="AJ63" i="3"/>
  <c r="AJ62" i="3"/>
  <c r="AJ61" i="3"/>
  <c r="AJ60" i="3"/>
  <c r="AJ59" i="3"/>
  <c r="AJ58" i="3"/>
  <c r="AJ57" i="3"/>
  <c r="AJ56" i="3"/>
  <c r="AJ55" i="3"/>
  <c r="AJ54" i="3"/>
  <c r="AJ55" i="1"/>
  <c r="AJ56" i="1"/>
  <c r="AJ57" i="1"/>
  <c r="AJ58" i="1"/>
  <c r="AJ59" i="1"/>
  <c r="AJ60" i="1"/>
  <c r="AJ61" i="1"/>
  <c r="AJ62" i="1"/>
  <c r="AJ63" i="1"/>
  <c r="AJ64" i="1"/>
  <c r="AJ54" i="1"/>
  <c r="F49" i="3" l="1"/>
  <c r="AG60" i="5"/>
  <c r="AG61" i="5" s="1"/>
  <c r="AH59" i="5"/>
  <c r="AG58" i="5"/>
  <c r="AH58" i="5" s="1"/>
  <c r="AG57" i="5"/>
  <c r="AG56" i="5" s="1"/>
  <c r="AG60" i="3"/>
  <c r="AG61" i="3" s="1"/>
  <c r="AH59" i="3"/>
  <c r="AG58" i="3"/>
  <c r="AH58" i="3" s="1"/>
  <c r="AG57" i="3"/>
  <c r="AH57" i="3" s="1"/>
  <c r="AG56" i="3"/>
  <c r="AH56" i="3" s="1"/>
  <c r="J26" i="1"/>
  <c r="F49" i="1" s="1"/>
  <c r="AG60" i="1"/>
  <c r="AG61" i="1" s="1"/>
  <c r="AG62" i="1" s="1"/>
  <c r="AG63" i="1" s="1"/>
  <c r="AG64" i="1" s="1"/>
  <c r="AG57" i="1"/>
  <c r="AG56" i="1" s="1"/>
  <c r="AG55" i="1" s="1"/>
  <c r="AG54" i="1" s="1"/>
  <c r="AG58" i="1"/>
  <c r="AH58" i="1" s="1"/>
  <c r="F47" i="1"/>
  <c r="J26" i="3"/>
  <c r="AC13" i="3" s="1"/>
  <c r="AH59" i="1"/>
  <c r="F45" i="5"/>
  <c r="F46" i="5" s="1"/>
  <c r="F48" i="5" s="1"/>
  <c r="F47" i="5"/>
  <c r="F45" i="3"/>
  <c r="F46" i="3" s="1"/>
  <c r="F45" i="1"/>
  <c r="F46" i="1" s="1"/>
  <c r="F48" i="1" s="1"/>
  <c r="AG62" i="5" l="1"/>
  <c r="AH61" i="5"/>
  <c r="AH56" i="5"/>
  <c r="AG55" i="5"/>
  <c r="AH57" i="5"/>
  <c r="AH60" i="5"/>
  <c r="AH61" i="3"/>
  <c r="AG62" i="3"/>
  <c r="AH60" i="3"/>
  <c r="AG55" i="3"/>
  <c r="AC13" i="1"/>
  <c r="F50" i="1"/>
  <c r="AH61" i="1"/>
  <c r="AH60" i="1"/>
  <c r="F51" i="1"/>
  <c r="AH62" i="1"/>
  <c r="B46" i="5"/>
  <c r="J26" i="5"/>
  <c r="B44" i="1"/>
  <c r="F47" i="3"/>
  <c r="B46" i="3"/>
  <c r="J36" i="6"/>
  <c r="J42" i="5"/>
  <c r="J36" i="4"/>
  <c r="J42" i="3"/>
  <c r="J36" i="2"/>
  <c r="J42" i="1"/>
  <c r="F48" i="3" l="1"/>
  <c r="F50" i="3" s="1"/>
  <c r="F49" i="5"/>
  <c r="F51" i="5" s="1"/>
  <c r="AC13" i="5"/>
  <c r="AG54" i="5"/>
  <c r="AH54" i="5" s="1"/>
  <c r="AH55" i="5"/>
  <c r="AH62" i="5"/>
  <c r="AG63" i="5"/>
  <c r="AG54" i="3"/>
  <c r="AH54" i="3" s="1"/>
  <c r="AH55" i="3"/>
  <c r="AH62" i="3"/>
  <c r="AG63" i="3"/>
  <c r="AH57" i="1"/>
  <c r="J32" i="1"/>
  <c r="AH63" i="1"/>
  <c r="F50" i="5"/>
  <c r="J32" i="5" s="1"/>
  <c r="V9" i="5" s="1"/>
  <c r="F51" i="3"/>
  <c r="J32" i="3" s="1"/>
  <c r="P54" i="8"/>
  <c r="AH49" i="8"/>
  <c r="AN32" i="8" s="1"/>
  <c r="AC49" i="8"/>
  <c r="AM32" i="8" s="1"/>
  <c r="AH48" i="8"/>
  <c r="AN31" i="8" s="1"/>
  <c r="AC48" i="8"/>
  <c r="AM31" i="8" s="1"/>
  <c r="AH47" i="8"/>
  <c r="AN30" i="8" s="1"/>
  <c r="AC47" i="8"/>
  <c r="AM30" i="8" s="1"/>
  <c r="AH46" i="8"/>
  <c r="AN29" i="8" s="1"/>
  <c r="AC46" i="8"/>
  <c r="AM29" i="8" s="1"/>
  <c r="AH45" i="8"/>
  <c r="AN28" i="8" s="1"/>
  <c r="AE45" i="8"/>
  <c r="AF45" i="8" s="1"/>
  <c r="AC45" i="8"/>
  <c r="AM28" i="8" s="1"/>
  <c r="Z45" i="8"/>
  <c r="Z46" i="8" s="1"/>
  <c r="AH44" i="8"/>
  <c r="AN27" i="8" s="1"/>
  <c r="AF44" i="8"/>
  <c r="AC44" i="8"/>
  <c r="AM27" i="8" s="1"/>
  <c r="AA44" i="8"/>
  <c r="AH43" i="8"/>
  <c r="AN26" i="8" s="1"/>
  <c r="AE43" i="8"/>
  <c r="AF43" i="8" s="1"/>
  <c r="AC43" i="8"/>
  <c r="AM26" i="8" s="1"/>
  <c r="Z43" i="8"/>
  <c r="Z42" i="8" s="1"/>
  <c r="AA42" i="8" s="1"/>
  <c r="B43" i="8"/>
  <c r="B44" i="8" s="1"/>
  <c r="W9" i="8" s="1"/>
  <c r="S9" i="8" s="1"/>
  <c r="AH42" i="8"/>
  <c r="AN25" i="8" s="1"/>
  <c r="AC42" i="8"/>
  <c r="AM25" i="8" s="1"/>
  <c r="AH41" i="8"/>
  <c r="AN24" i="8" s="1"/>
  <c r="AC41" i="8"/>
  <c r="AM24" i="8" s="1"/>
  <c r="F41" i="8"/>
  <c r="AH40" i="8"/>
  <c r="AN23" i="8" s="1"/>
  <c r="AC40" i="8"/>
  <c r="AM23" i="8" s="1"/>
  <c r="B40" i="8"/>
  <c r="AH39" i="8"/>
  <c r="AN22" i="8" s="1"/>
  <c r="AC39" i="8"/>
  <c r="AM22" i="8" s="1"/>
  <c r="B39" i="8"/>
  <c r="B38" i="8"/>
  <c r="B37" i="8"/>
  <c r="J36" i="8"/>
  <c r="F36" i="8"/>
  <c r="AA8" i="8" s="1"/>
  <c r="B35" i="8"/>
  <c r="AH34" i="8"/>
  <c r="AK32" i="8" s="1"/>
  <c r="AC34" i="8"/>
  <c r="AL32" i="8" s="1"/>
  <c r="J34" i="8"/>
  <c r="B34" i="8"/>
  <c r="AH33" i="8"/>
  <c r="AK31" i="8" s="1"/>
  <c r="AC33" i="8"/>
  <c r="AL31" i="8" s="1"/>
  <c r="J33" i="8"/>
  <c r="AH32" i="8"/>
  <c r="AK30" i="8" s="1"/>
  <c r="AC32" i="8"/>
  <c r="AL30" i="8" s="1"/>
  <c r="J32" i="8"/>
  <c r="B32" i="8"/>
  <c r="AH31" i="8"/>
  <c r="AK29" i="8" s="1"/>
  <c r="AC31" i="8"/>
  <c r="AL29" i="8" s="1"/>
  <c r="AA31" i="8"/>
  <c r="B31" i="8"/>
  <c r="B46" i="8" s="1"/>
  <c r="AH30" i="8"/>
  <c r="AK28" i="8" s="1"/>
  <c r="AE30" i="8"/>
  <c r="AE31" i="8" s="1"/>
  <c r="AC30" i="8"/>
  <c r="AL28" i="8" s="1"/>
  <c r="Z30" i="8"/>
  <c r="Z31" i="8" s="1"/>
  <c r="Z32" i="8" s="1"/>
  <c r="AH29" i="8"/>
  <c r="AK27" i="8" s="1"/>
  <c r="AF29" i="8"/>
  <c r="AC29" i="8"/>
  <c r="AL27" i="8" s="1"/>
  <c r="AA29" i="8"/>
  <c r="AH28" i="8"/>
  <c r="AK26" i="8" s="1"/>
  <c r="AE28" i="8"/>
  <c r="AF28" i="8" s="1"/>
  <c r="AC28" i="8"/>
  <c r="AL26" i="8" s="1"/>
  <c r="Z28" i="8"/>
  <c r="AH27" i="8"/>
  <c r="AK25" i="8" s="1"/>
  <c r="AE27" i="8"/>
  <c r="AC27" i="8"/>
  <c r="AL25" i="8" s="1"/>
  <c r="AH26" i="8"/>
  <c r="AK24" i="8" s="1"/>
  <c r="AC26" i="8"/>
  <c r="AL24" i="8" s="1"/>
  <c r="AH25" i="8"/>
  <c r="AK23" i="8" s="1"/>
  <c r="AC25" i="8"/>
  <c r="AL23" i="8" s="1"/>
  <c r="AH24" i="8"/>
  <c r="AK22" i="8" s="1"/>
  <c r="AC24" i="8"/>
  <c r="AL22" i="8" s="1"/>
  <c r="F22" i="8"/>
  <c r="J35" i="8" s="1"/>
  <c r="AA11" i="8"/>
  <c r="AA10" i="8"/>
  <c r="N10" i="8"/>
  <c r="N11" i="8" s="1"/>
  <c r="T11" i="8" s="1"/>
  <c r="J10" i="8"/>
  <c r="T9" i="8"/>
  <c r="AE64" i="7"/>
  <c r="AQ32" i="7" s="1"/>
  <c r="AE63" i="7"/>
  <c r="AQ31" i="7" s="1"/>
  <c r="AE62" i="7"/>
  <c r="AQ30" i="7" s="1"/>
  <c r="AE61" i="7"/>
  <c r="AQ29" i="7" s="1"/>
  <c r="AE60" i="7"/>
  <c r="AQ28" i="7" s="1"/>
  <c r="AB60" i="7"/>
  <c r="AB61" i="7" s="1"/>
  <c r="AE59" i="7"/>
  <c r="AQ27" i="7" s="1"/>
  <c r="AC59" i="7"/>
  <c r="AE58" i="7"/>
  <c r="AQ26" i="7" s="1"/>
  <c r="AB58" i="7"/>
  <c r="AC58" i="7" s="1"/>
  <c r="AE57" i="7"/>
  <c r="AQ25" i="7" s="1"/>
  <c r="AE56" i="7"/>
  <c r="AQ24" i="7" s="1"/>
  <c r="AE55" i="7"/>
  <c r="AQ23" i="7" s="1"/>
  <c r="AE54" i="7"/>
  <c r="AQ22" i="7" s="1"/>
  <c r="P54" i="7"/>
  <c r="AJ49" i="7"/>
  <c r="AP32" i="7" s="1"/>
  <c r="AE49" i="7"/>
  <c r="AO32" i="7" s="1"/>
  <c r="AJ48" i="7"/>
  <c r="AP31" i="7" s="1"/>
  <c r="AE48" i="7"/>
  <c r="AO31" i="7" s="1"/>
  <c r="AJ47" i="7"/>
  <c r="AP30" i="7" s="1"/>
  <c r="AE47" i="7"/>
  <c r="AO30" i="7" s="1"/>
  <c r="AJ46" i="7"/>
  <c r="AP29" i="7" s="1"/>
  <c r="AE46" i="7"/>
  <c r="AO29" i="7" s="1"/>
  <c r="B46" i="7"/>
  <c r="B48" i="7" s="1"/>
  <c r="AJ45" i="7"/>
  <c r="AP28" i="7" s="1"/>
  <c r="AG45" i="7"/>
  <c r="AH45" i="7" s="1"/>
  <c r="AE45" i="7"/>
  <c r="AO28" i="7" s="1"/>
  <c r="AB45" i="7"/>
  <c r="B45" i="7"/>
  <c r="B47" i="7" s="1"/>
  <c r="AJ44" i="7"/>
  <c r="AP27" i="7" s="1"/>
  <c r="AH44" i="7"/>
  <c r="AE44" i="7"/>
  <c r="AO27" i="7" s="1"/>
  <c r="AC44" i="7"/>
  <c r="AJ43" i="7"/>
  <c r="AP26" i="7" s="1"/>
  <c r="AG43" i="7"/>
  <c r="AE43" i="7"/>
  <c r="AO26" i="7" s="1"/>
  <c r="AB43" i="7"/>
  <c r="AB42" i="7" s="1"/>
  <c r="AJ42" i="7"/>
  <c r="AP25" i="7" s="1"/>
  <c r="AE42" i="7"/>
  <c r="AO25" i="7" s="1"/>
  <c r="J42" i="7"/>
  <c r="AC12" i="7" s="1"/>
  <c r="AJ41" i="7"/>
  <c r="AP24" i="7" s="1"/>
  <c r="AE41" i="7"/>
  <c r="AO24" i="7" s="1"/>
  <c r="AJ40" i="7"/>
  <c r="AP23" i="7" s="1"/>
  <c r="AE40" i="7"/>
  <c r="AO23" i="7" s="1"/>
  <c r="J40" i="7"/>
  <c r="B40" i="7"/>
  <c r="AJ39" i="7"/>
  <c r="AP22" i="7" s="1"/>
  <c r="AE39" i="7"/>
  <c r="AO22" i="7" s="1"/>
  <c r="J39" i="7"/>
  <c r="B39" i="7"/>
  <c r="J38" i="7"/>
  <c r="B38" i="7"/>
  <c r="F37" i="7"/>
  <c r="F40" i="7" s="1"/>
  <c r="R9" i="7" s="1"/>
  <c r="B37" i="7"/>
  <c r="F36" i="7"/>
  <c r="F38" i="7" s="1"/>
  <c r="F41" i="7" s="1"/>
  <c r="Q9" i="7" s="1"/>
  <c r="B36" i="7"/>
  <c r="B35" i="7"/>
  <c r="AJ34" i="7"/>
  <c r="AM32" i="7" s="1"/>
  <c r="AE34" i="7"/>
  <c r="AN32" i="7" s="1"/>
  <c r="J34" i="7"/>
  <c r="B34" i="7"/>
  <c r="AJ33" i="7"/>
  <c r="AM31" i="7" s="1"/>
  <c r="AE33" i="7"/>
  <c r="AN31" i="7" s="1"/>
  <c r="AJ32" i="7"/>
  <c r="AM30" i="7" s="1"/>
  <c r="AE32" i="7"/>
  <c r="AN30" i="7" s="1"/>
  <c r="J32" i="7"/>
  <c r="B32" i="7"/>
  <c r="AJ31" i="7"/>
  <c r="AM29" i="7" s="1"/>
  <c r="AE31" i="7"/>
  <c r="AN29" i="7" s="1"/>
  <c r="J31" i="7"/>
  <c r="U9" i="7" s="1"/>
  <c r="B31" i="7"/>
  <c r="AJ30" i="7"/>
  <c r="AM28" i="7" s="1"/>
  <c r="AG30" i="7"/>
  <c r="AH30" i="7" s="1"/>
  <c r="AE30" i="7"/>
  <c r="AN28" i="7" s="1"/>
  <c r="AB30" i="7"/>
  <c r="AC30" i="7" s="1"/>
  <c r="AJ29" i="7"/>
  <c r="AM27" i="7" s="1"/>
  <c r="AH29" i="7"/>
  <c r="AE29" i="7"/>
  <c r="AN27" i="7" s="1"/>
  <c r="AC29" i="7"/>
  <c r="AJ28" i="7"/>
  <c r="AM26" i="7" s="1"/>
  <c r="AG28" i="7"/>
  <c r="AG27" i="7" s="1"/>
  <c r="AG26" i="7" s="1"/>
  <c r="AH26" i="7" s="1"/>
  <c r="AE28" i="7"/>
  <c r="AN26" i="7" s="1"/>
  <c r="AB28" i="7"/>
  <c r="AJ27" i="7"/>
  <c r="AM25" i="7" s="1"/>
  <c r="AE27" i="7"/>
  <c r="AN25" i="7" s="1"/>
  <c r="AJ26" i="7"/>
  <c r="AM24" i="7" s="1"/>
  <c r="AE26" i="7"/>
  <c r="AN24" i="7" s="1"/>
  <c r="AJ25" i="7"/>
  <c r="AM23" i="7" s="1"/>
  <c r="AE25" i="7"/>
  <c r="AN23" i="7" s="1"/>
  <c r="AJ24" i="7"/>
  <c r="AM22" i="7" s="1"/>
  <c r="AE24" i="7"/>
  <c r="AN22" i="7" s="1"/>
  <c r="F24" i="7"/>
  <c r="J41" i="7" s="1"/>
  <c r="AC11" i="7"/>
  <c r="N10" i="7"/>
  <c r="AC9" i="7"/>
  <c r="W9" i="7"/>
  <c r="V9" i="7"/>
  <c r="P54" i="6"/>
  <c r="AH49" i="6"/>
  <c r="AN32" i="6" s="1"/>
  <c r="S45" i="10" s="1"/>
  <c r="AC49" i="6"/>
  <c r="AM32" i="6" s="1"/>
  <c r="R45" i="10" s="1"/>
  <c r="AH48" i="6"/>
  <c r="AN31" i="6" s="1"/>
  <c r="S44" i="10" s="1"/>
  <c r="AC48" i="6"/>
  <c r="AM31" i="6" s="1"/>
  <c r="R44" i="10" s="1"/>
  <c r="AH47" i="6"/>
  <c r="AN30" i="6" s="1"/>
  <c r="S43" i="10" s="1"/>
  <c r="AC47" i="6"/>
  <c r="AM30" i="6" s="1"/>
  <c r="R43" i="10" s="1"/>
  <c r="AH46" i="6"/>
  <c r="AN29" i="6" s="1"/>
  <c r="S42" i="10" s="1"/>
  <c r="AC46" i="6"/>
  <c r="AM29" i="6" s="1"/>
  <c r="R42" i="10" s="1"/>
  <c r="AH45" i="6"/>
  <c r="AN28" i="6" s="1"/>
  <c r="S41" i="10" s="1"/>
  <c r="AE45" i="6"/>
  <c r="AF45" i="6" s="1"/>
  <c r="AC45" i="6"/>
  <c r="AM28" i="6" s="1"/>
  <c r="R41" i="10" s="1"/>
  <c r="Z45" i="6"/>
  <c r="AA45" i="6" s="1"/>
  <c r="AH44" i="6"/>
  <c r="AN27" i="6" s="1"/>
  <c r="S40" i="10" s="1"/>
  <c r="AF44" i="6"/>
  <c r="AC44" i="6"/>
  <c r="AM27" i="6" s="1"/>
  <c r="R40" i="10" s="1"/>
  <c r="AA44" i="6"/>
  <c r="AH43" i="6"/>
  <c r="AN26" i="6" s="1"/>
  <c r="S39" i="10" s="1"/>
  <c r="AE43" i="6"/>
  <c r="AC43" i="6"/>
  <c r="AM26" i="6" s="1"/>
  <c r="R39" i="10" s="1"/>
  <c r="Z43" i="6"/>
  <c r="B43" i="6"/>
  <c r="B44" i="6" s="1"/>
  <c r="AH42" i="6"/>
  <c r="AN25" i="6" s="1"/>
  <c r="S38" i="10" s="1"/>
  <c r="AC42" i="6"/>
  <c r="AM25" i="6" s="1"/>
  <c r="R38" i="10" s="1"/>
  <c r="AH41" i="6"/>
  <c r="AN24" i="6" s="1"/>
  <c r="S37" i="10" s="1"/>
  <c r="AC41" i="6"/>
  <c r="AM24" i="6" s="1"/>
  <c r="R37" i="10" s="1"/>
  <c r="F41" i="6"/>
  <c r="AH40" i="6"/>
  <c r="AN23" i="6" s="1"/>
  <c r="S36" i="10" s="1"/>
  <c r="AC40" i="6"/>
  <c r="AM23" i="6" s="1"/>
  <c r="R36" i="10" s="1"/>
  <c r="B40" i="6"/>
  <c r="AH39" i="6"/>
  <c r="AN22" i="6" s="1"/>
  <c r="S35" i="10" s="1"/>
  <c r="AC39" i="6"/>
  <c r="AM22" i="6" s="1"/>
  <c r="R35" i="10" s="1"/>
  <c r="B39" i="6"/>
  <c r="B38" i="6"/>
  <c r="B37" i="6"/>
  <c r="F36" i="6"/>
  <c r="F37" i="6" s="1"/>
  <c r="F38" i="6" s="1"/>
  <c r="Q9" i="6" s="1"/>
  <c r="AH34" i="6"/>
  <c r="AK32" i="6" s="1"/>
  <c r="P45" i="10" s="1"/>
  <c r="AC34" i="6"/>
  <c r="AL32" i="6" s="1"/>
  <c r="Q45" i="10" s="1"/>
  <c r="J34" i="6"/>
  <c r="AH33" i="6"/>
  <c r="AK31" i="6" s="1"/>
  <c r="P44" i="10" s="1"/>
  <c r="AC33" i="6"/>
  <c r="AL31" i="6" s="1"/>
  <c r="Q44" i="10" s="1"/>
  <c r="J33" i="6"/>
  <c r="AH32" i="6"/>
  <c r="AK30" i="6" s="1"/>
  <c r="P43" i="10" s="1"/>
  <c r="AC32" i="6"/>
  <c r="AL30" i="6" s="1"/>
  <c r="Q43" i="10" s="1"/>
  <c r="B32" i="6"/>
  <c r="AH31" i="6"/>
  <c r="AK29" i="6" s="1"/>
  <c r="P42" i="10" s="1"/>
  <c r="AC31" i="6"/>
  <c r="AL29" i="6" s="1"/>
  <c r="Q42" i="10" s="1"/>
  <c r="B31" i="6"/>
  <c r="AH30" i="6"/>
  <c r="AK28" i="6" s="1"/>
  <c r="P41" i="10" s="1"/>
  <c r="AE30" i="6"/>
  <c r="AF30" i="6" s="1"/>
  <c r="AC30" i="6"/>
  <c r="AL28" i="6" s="1"/>
  <c r="Q41" i="10" s="1"/>
  <c r="Z30" i="6"/>
  <c r="AH29" i="6"/>
  <c r="AK27" i="6" s="1"/>
  <c r="P40" i="10" s="1"/>
  <c r="AF29" i="6"/>
  <c r="AC29" i="6"/>
  <c r="AL27" i="6" s="1"/>
  <c r="Q40" i="10" s="1"/>
  <c r="AA29" i="6"/>
  <c r="AH28" i="6"/>
  <c r="AK26" i="6" s="1"/>
  <c r="P39" i="10" s="1"/>
  <c r="AF28" i="6"/>
  <c r="AE28" i="6"/>
  <c r="AC28" i="6"/>
  <c r="AL26" i="6" s="1"/>
  <c r="Q39" i="10" s="1"/>
  <c r="Z28" i="6"/>
  <c r="AA28" i="6" s="1"/>
  <c r="AH27" i="6"/>
  <c r="AK25" i="6" s="1"/>
  <c r="P38" i="10" s="1"/>
  <c r="AE27" i="6"/>
  <c r="AE26" i="6" s="1"/>
  <c r="AE25" i="6" s="1"/>
  <c r="AC27" i="6"/>
  <c r="AL25" i="6" s="1"/>
  <c r="Q38" i="10" s="1"/>
  <c r="AH26" i="6"/>
  <c r="AK24" i="6" s="1"/>
  <c r="P37" i="10" s="1"/>
  <c r="AC26" i="6"/>
  <c r="AL24" i="6" s="1"/>
  <c r="Q37" i="10" s="1"/>
  <c r="AH25" i="6"/>
  <c r="AK23" i="6" s="1"/>
  <c r="P36" i="10" s="1"/>
  <c r="AC25" i="6"/>
  <c r="AL23" i="6" s="1"/>
  <c r="Q36" i="10" s="1"/>
  <c r="AH24" i="6"/>
  <c r="AK22" i="6" s="1"/>
  <c r="P35" i="10" s="1"/>
  <c r="AC24" i="6"/>
  <c r="AL22" i="6" s="1"/>
  <c r="Q35" i="10" s="1"/>
  <c r="F22" i="6"/>
  <c r="J35" i="6" s="1"/>
  <c r="F16" i="6"/>
  <c r="J32" i="6" s="1"/>
  <c r="AA11" i="6"/>
  <c r="AA10" i="6"/>
  <c r="N10" i="6"/>
  <c r="T9" i="6"/>
  <c r="AE64" i="5"/>
  <c r="AQ32" i="5" s="1"/>
  <c r="G45" i="10" s="1"/>
  <c r="AE63" i="5"/>
  <c r="AQ31" i="5" s="1"/>
  <c r="G44" i="10" s="1"/>
  <c r="AE62" i="5"/>
  <c r="AQ30" i="5" s="1"/>
  <c r="G43" i="10" s="1"/>
  <c r="AE61" i="5"/>
  <c r="AQ29" i="5" s="1"/>
  <c r="G42" i="10" s="1"/>
  <c r="AE60" i="5"/>
  <c r="AQ28" i="5" s="1"/>
  <c r="G41" i="10" s="1"/>
  <c r="AB60" i="5"/>
  <c r="AC60" i="5" s="1"/>
  <c r="AE59" i="5"/>
  <c r="AQ27" i="5" s="1"/>
  <c r="G40" i="10" s="1"/>
  <c r="AC59" i="5"/>
  <c r="AE58" i="5"/>
  <c r="AQ26" i="5" s="1"/>
  <c r="G39" i="10" s="1"/>
  <c r="AB58" i="5"/>
  <c r="AE57" i="5"/>
  <c r="AQ25" i="5" s="1"/>
  <c r="G38" i="10" s="1"/>
  <c r="AE56" i="5"/>
  <c r="AQ24" i="5" s="1"/>
  <c r="G37" i="10" s="1"/>
  <c r="AE55" i="5"/>
  <c r="AQ23" i="5" s="1"/>
  <c r="G36" i="10" s="1"/>
  <c r="AE54" i="5"/>
  <c r="AQ22" i="5" s="1"/>
  <c r="G35" i="10" s="1"/>
  <c r="P54" i="5"/>
  <c r="AJ49" i="5"/>
  <c r="AP32" i="5" s="1"/>
  <c r="F45" i="10" s="1"/>
  <c r="AE49" i="5"/>
  <c r="AO32" i="5" s="1"/>
  <c r="E45" i="10" s="1"/>
  <c r="AJ48" i="5"/>
  <c r="AP31" i="5" s="1"/>
  <c r="F44" i="10" s="1"/>
  <c r="AE48" i="5"/>
  <c r="AO31" i="5" s="1"/>
  <c r="E44" i="10" s="1"/>
  <c r="AJ47" i="5"/>
  <c r="AP30" i="5" s="1"/>
  <c r="F43" i="10" s="1"/>
  <c r="AE47" i="5"/>
  <c r="AO30" i="5" s="1"/>
  <c r="E43" i="10" s="1"/>
  <c r="AJ46" i="5"/>
  <c r="AP29" i="5" s="1"/>
  <c r="F42" i="10" s="1"/>
  <c r="AE46" i="5"/>
  <c r="AO29" i="5" s="1"/>
  <c r="E42" i="10" s="1"/>
  <c r="B48" i="5"/>
  <c r="AC9" i="5" s="1"/>
  <c r="AJ45" i="5"/>
  <c r="AP28" i="5" s="1"/>
  <c r="F41" i="10" s="1"/>
  <c r="AG45" i="5"/>
  <c r="AG46" i="5" s="1"/>
  <c r="AH46" i="5" s="1"/>
  <c r="AE45" i="5"/>
  <c r="AO28" i="5" s="1"/>
  <c r="E41" i="10" s="1"/>
  <c r="AB45" i="5"/>
  <c r="B45" i="5"/>
  <c r="B47" i="5" s="1"/>
  <c r="AJ44" i="5"/>
  <c r="AP27" i="5" s="1"/>
  <c r="F40" i="10" s="1"/>
  <c r="AH44" i="5"/>
  <c r="AE44" i="5"/>
  <c r="AO27" i="5" s="1"/>
  <c r="E40" i="10" s="1"/>
  <c r="AC44" i="5"/>
  <c r="AJ43" i="5"/>
  <c r="AP26" i="5" s="1"/>
  <c r="F39" i="10" s="1"/>
  <c r="AG43" i="5"/>
  <c r="AG42" i="5" s="1"/>
  <c r="AE43" i="5"/>
  <c r="AO26" i="5" s="1"/>
  <c r="E39" i="10" s="1"/>
  <c r="AB43" i="5"/>
  <c r="AJ42" i="5"/>
  <c r="AP25" i="5" s="1"/>
  <c r="F38" i="10" s="1"/>
  <c r="AE42" i="5"/>
  <c r="AO25" i="5" s="1"/>
  <c r="E38" i="10" s="1"/>
  <c r="AJ41" i="5"/>
  <c r="AP24" i="5" s="1"/>
  <c r="F37" i="10" s="1"/>
  <c r="AE41" i="5"/>
  <c r="AO24" i="5" s="1"/>
  <c r="E37" i="10" s="1"/>
  <c r="AJ40" i="5"/>
  <c r="AP23" i="5" s="1"/>
  <c r="F36" i="10" s="1"/>
  <c r="AE40" i="5"/>
  <c r="AO23" i="5" s="1"/>
  <c r="E36" i="10" s="1"/>
  <c r="J40" i="5"/>
  <c r="B40" i="5"/>
  <c r="AJ39" i="5"/>
  <c r="AP22" i="5" s="1"/>
  <c r="F35" i="10" s="1"/>
  <c r="AE39" i="5"/>
  <c r="AO22" i="5" s="1"/>
  <c r="E35" i="10" s="1"/>
  <c r="J39" i="5"/>
  <c r="B39" i="5"/>
  <c r="B38" i="5"/>
  <c r="F37" i="5"/>
  <c r="F40" i="5" s="1"/>
  <c r="R9" i="5" s="1"/>
  <c r="B37" i="5"/>
  <c r="F36" i="5"/>
  <c r="F38" i="5" s="1"/>
  <c r="F41" i="5" s="1"/>
  <c r="Q9" i="5" s="1"/>
  <c r="AJ34" i="5"/>
  <c r="AM32" i="5" s="1"/>
  <c r="C45" i="10" s="1"/>
  <c r="AE34" i="5"/>
  <c r="AN32" i="5" s="1"/>
  <c r="D45" i="10" s="1"/>
  <c r="J34" i="5"/>
  <c r="AJ33" i="5"/>
  <c r="AM31" i="5" s="1"/>
  <c r="C44" i="10" s="1"/>
  <c r="AE33" i="5"/>
  <c r="AN31" i="5" s="1"/>
  <c r="D44" i="10" s="1"/>
  <c r="AJ32" i="5"/>
  <c r="AM30" i="5" s="1"/>
  <c r="C43" i="10" s="1"/>
  <c r="AE32" i="5"/>
  <c r="AN30" i="5" s="1"/>
  <c r="D43" i="10" s="1"/>
  <c r="B32" i="5"/>
  <c r="AJ31" i="5"/>
  <c r="AM29" i="5" s="1"/>
  <c r="C42" i="10" s="1"/>
  <c r="AE31" i="5"/>
  <c r="AN29" i="5" s="1"/>
  <c r="D42" i="10" s="1"/>
  <c r="J31" i="5"/>
  <c r="U9" i="5" s="1"/>
  <c r="B31" i="5"/>
  <c r="AJ30" i="5"/>
  <c r="AM28" i="5" s="1"/>
  <c r="C41" i="10" s="1"/>
  <c r="AG30" i="5"/>
  <c r="AG31" i="5" s="1"/>
  <c r="AE30" i="5"/>
  <c r="AN28" i="5" s="1"/>
  <c r="D41" i="10" s="1"/>
  <c r="AB30" i="5"/>
  <c r="AC30" i="5" s="1"/>
  <c r="AJ29" i="5"/>
  <c r="AM27" i="5" s="1"/>
  <c r="C40" i="10" s="1"/>
  <c r="AH29" i="5"/>
  <c r="AE29" i="5"/>
  <c r="AN27" i="5" s="1"/>
  <c r="D40" i="10" s="1"/>
  <c r="AC29" i="5"/>
  <c r="AJ28" i="5"/>
  <c r="AM26" i="5" s="1"/>
  <c r="C39" i="10" s="1"/>
  <c r="AH28" i="5"/>
  <c r="AG28" i="5"/>
  <c r="AG27" i="5" s="1"/>
  <c r="AE28" i="5"/>
  <c r="AN26" i="5" s="1"/>
  <c r="D39" i="10" s="1"/>
  <c r="AB28" i="5"/>
  <c r="AJ27" i="5"/>
  <c r="AM25" i="5" s="1"/>
  <c r="C38" i="10" s="1"/>
  <c r="AE27" i="5"/>
  <c r="AN25" i="5" s="1"/>
  <c r="D38" i="10" s="1"/>
  <c r="AJ26" i="5"/>
  <c r="AM24" i="5" s="1"/>
  <c r="C37" i="10" s="1"/>
  <c r="AE26" i="5"/>
  <c r="AN24" i="5" s="1"/>
  <c r="D37" i="10" s="1"/>
  <c r="AJ25" i="5"/>
  <c r="AM23" i="5" s="1"/>
  <c r="C36" i="10" s="1"/>
  <c r="AE25" i="5"/>
  <c r="AN23" i="5" s="1"/>
  <c r="D36" i="10" s="1"/>
  <c r="AJ24" i="5"/>
  <c r="AM22" i="5" s="1"/>
  <c r="C35" i="10" s="1"/>
  <c r="AE24" i="5"/>
  <c r="AN22" i="5" s="1"/>
  <c r="D35" i="10" s="1"/>
  <c r="F24" i="5"/>
  <c r="J41" i="5" s="1"/>
  <c r="B18" i="5"/>
  <c r="B36" i="5" s="1"/>
  <c r="F17" i="5"/>
  <c r="J38" i="5" s="1"/>
  <c r="AC12" i="5"/>
  <c r="AC11" i="5"/>
  <c r="N10" i="5"/>
  <c r="W9" i="5"/>
  <c r="P54" i="4"/>
  <c r="AH49" i="4"/>
  <c r="AN32" i="4" s="1"/>
  <c r="S30" i="10" s="1"/>
  <c r="AC49" i="4"/>
  <c r="AM32" i="4" s="1"/>
  <c r="R30" i="10" s="1"/>
  <c r="AH48" i="4"/>
  <c r="AN31" i="4" s="1"/>
  <c r="S29" i="10" s="1"/>
  <c r="AC48" i="4"/>
  <c r="AM31" i="4" s="1"/>
  <c r="R29" i="10" s="1"/>
  <c r="AH47" i="4"/>
  <c r="AN30" i="4" s="1"/>
  <c r="S28" i="10" s="1"/>
  <c r="AC47" i="4"/>
  <c r="AM30" i="4" s="1"/>
  <c r="R28" i="10" s="1"/>
  <c r="AH46" i="4"/>
  <c r="AN29" i="4" s="1"/>
  <c r="S27" i="10" s="1"/>
  <c r="AE46" i="4"/>
  <c r="AC46" i="4"/>
  <c r="AM29" i="4" s="1"/>
  <c r="R27" i="10" s="1"/>
  <c r="AH45" i="4"/>
  <c r="AN28" i="4" s="1"/>
  <c r="S26" i="10" s="1"/>
  <c r="AE45" i="4"/>
  <c r="AF45" i="4" s="1"/>
  <c r="AC45" i="4"/>
  <c r="AM28" i="4" s="1"/>
  <c r="R26" i="10" s="1"/>
  <c r="Z45" i="4"/>
  <c r="AA45" i="4" s="1"/>
  <c r="AH44" i="4"/>
  <c r="AN27" i="4" s="1"/>
  <c r="S25" i="10" s="1"/>
  <c r="AF44" i="4"/>
  <c r="AC44" i="4"/>
  <c r="AM27" i="4" s="1"/>
  <c r="R25" i="10" s="1"/>
  <c r="AA44" i="4"/>
  <c r="AH43" i="4"/>
  <c r="AN26" i="4" s="1"/>
  <c r="S24" i="10" s="1"/>
  <c r="AE43" i="4"/>
  <c r="AC43" i="4"/>
  <c r="AM26" i="4" s="1"/>
  <c r="R24" i="10" s="1"/>
  <c r="Z43" i="4"/>
  <c r="B43" i="4"/>
  <c r="B44" i="4" s="1"/>
  <c r="AH42" i="4"/>
  <c r="AN25" i="4" s="1"/>
  <c r="S23" i="10" s="1"/>
  <c r="AC42" i="4"/>
  <c r="AM25" i="4" s="1"/>
  <c r="R23" i="10" s="1"/>
  <c r="AH41" i="4"/>
  <c r="AN24" i="4" s="1"/>
  <c r="S22" i="10" s="1"/>
  <c r="AC41" i="4"/>
  <c r="AM24" i="4" s="1"/>
  <c r="R22" i="10" s="1"/>
  <c r="F41" i="4"/>
  <c r="AH40" i="4"/>
  <c r="AN23" i="4" s="1"/>
  <c r="S21" i="10" s="1"/>
  <c r="AC40" i="4"/>
  <c r="AM23" i="4" s="1"/>
  <c r="R21" i="10" s="1"/>
  <c r="B40" i="4"/>
  <c r="AH39" i="4"/>
  <c r="AN22" i="4" s="1"/>
  <c r="S20" i="10" s="1"/>
  <c r="AC39" i="4"/>
  <c r="AM22" i="4" s="1"/>
  <c r="R20" i="10" s="1"/>
  <c r="B39" i="4"/>
  <c r="B38" i="4"/>
  <c r="B37" i="4"/>
  <c r="F38" i="4"/>
  <c r="Q9" i="4" s="1"/>
  <c r="AH34" i="4"/>
  <c r="AK32" i="4" s="1"/>
  <c r="P30" i="10" s="1"/>
  <c r="AC34" i="4"/>
  <c r="AL32" i="4" s="1"/>
  <c r="Q30" i="10" s="1"/>
  <c r="J34" i="4"/>
  <c r="AH33" i="4"/>
  <c r="AK31" i="4" s="1"/>
  <c r="P29" i="10" s="1"/>
  <c r="AC33" i="4"/>
  <c r="AL31" i="4" s="1"/>
  <c r="Q29" i="10" s="1"/>
  <c r="J33" i="4"/>
  <c r="AH32" i="4"/>
  <c r="AK30" i="4" s="1"/>
  <c r="P28" i="10" s="1"/>
  <c r="AC32" i="4"/>
  <c r="AL30" i="4" s="1"/>
  <c r="Q28" i="10" s="1"/>
  <c r="B32" i="4"/>
  <c r="AH31" i="4"/>
  <c r="AK29" i="4" s="1"/>
  <c r="P27" i="10" s="1"/>
  <c r="AC31" i="4"/>
  <c r="AL29" i="4" s="1"/>
  <c r="Q27" i="10" s="1"/>
  <c r="B31" i="4"/>
  <c r="B46" i="4" s="1"/>
  <c r="AH30" i="4"/>
  <c r="AK28" i="4" s="1"/>
  <c r="P26" i="10" s="1"/>
  <c r="AE30" i="4"/>
  <c r="AF30" i="4" s="1"/>
  <c r="AC30" i="4"/>
  <c r="AL28" i="4" s="1"/>
  <c r="Q26" i="10" s="1"/>
  <c r="Z30" i="4"/>
  <c r="AH29" i="4"/>
  <c r="AK27" i="4" s="1"/>
  <c r="P25" i="10" s="1"/>
  <c r="AF29" i="4"/>
  <c r="AC29" i="4"/>
  <c r="AL27" i="4" s="1"/>
  <c r="Q25" i="10" s="1"/>
  <c r="AA29" i="4"/>
  <c r="AH28" i="4"/>
  <c r="AK26" i="4" s="1"/>
  <c r="P24" i="10" s="1"/>
  <c r="AE28" i="4"/>
  <c r="AF28" i="4" s="1"/>
  <c r="AC28" i="4"/>
  <c r="AL26" i="4" s="1"/>
  <c r="Q24" i="10" s="1"/>
  <c r="Z28" i="4"/>
  <c r="AH27" i="4"/>
  <c r="AK25" i="4" s="1"/>
  <c r="P23" i="10" s="1"/>
  <c r="AC27" i="4"/>
  <c r="AL25" i="4" s="1"/>
  <c r="Q23" i="10" s="1"/>
  <c r="AH26" i="4"/>
  <c r="AK24" i="4" s="1"/>
  <c r="P22" i="10" s="1"/>
  <c r="AC26" i="4"/>
  <c r="AL24" i="4" s="1"/>
  <c r="Q22" i="10" s="1"/>
  <c r="AH25" i="4"/>
  <c r="AK23" i="4" s="1"/>
  <c r="P21" i="10" s="1"/>
  <c r="AC25" i="4"/>
  <c r="AL23" i="4" s="1"/>
  <c r="Q21" i="10" s="1"/>
  <c r="AH24" i="4"/>
  <c r="AK22" i="4" s="1"/>
  <c r="P20" i="10" s="1"/>
  <c r="AC24" i="4"/>
  <c r="AL22" i="4" s="1"/>
  <c r="Q20" i="10" s="1"/>
  <c r="F22" i="4"/>
  <c r="J35" i="4" s="1"/>
  <c r="F16" i="4"/>
  <c r="J32" i="4" s="1"/>
  <c r="AA11" i="4"/>
  <c r="AA10" i="4"/>
  <c r="N10" i="4"/>
  <c r="N11" i="4" s="1"/>
  <c r="T9" i="4"/>
  <c r="AA8" i="4"/>
  <c r="AE64" i="3"/>
  <c r="AQ32" i="3" s="1"/>
  <c r="G30" i="10" s="1"/>
  <c r="AE63" i="3"/>
  <c r="AQ31" i="3" s="1"/>
  <c r="G29" i="10" s="1"/>
  <c r="AE62" i="3"/>
  <c r="AQ30" i="3" s="1"/>
  <c r="G28" i="10" s="1"/>
  <c r="AE61" i="3"/>
  <c r="AQ29" i="3" s="1"/>
  <c r="G27" i="10" s="1"/>
  <c r="AE60" i="3"/>
  <c r="AQ28" i="3" s="1"/>
  <c r="G26" i="10" s="1"/>
  <c r="AC60" i="3"/>
  <c r="AB60" i="3"/>
  <c r="AB61" i="3" s="1"/>
  <c r="AE59" i="3"/>
  <c r="AQ27" i="3" s="1"/>
  <c r="G25" i="10" s="1"/>
  <c r="AC59" i="3"/>
  <c r="AE58" i="3"/>
  <c r="AQ26" i="3" s="1"/>
  <c r="G24" i="10" s="1"/>
  <c r="AB58" i="3"/>
  <c r="AC58" i="3" s="1"/>
  <c r="AE57" i="3"/>
  <c r="AQ25" i="3" s="1"/>
  <c r="G23" i="10" s="1"/>
  <c r="AE56" i="3"/>
  <c r="AQ24" i="3" s="1"/>
  <c r="G22" i="10" s="1"/>
  <c r="AE55" i="3"/>
  <c r="AQ23" i="3" s="1"/>
  <c r="G21" i="10" s="1"/>
  <c r="AE54" i="3"/>
  <c r="AQ22" i="3" s="1"/>
  <c r="G20" i="10" s="1"/>
  <c r="P54" i="3"/>
  <c r="AJ49" i="3"/>
  <c r="AP32" i="3" s="1"/>
  <c r="F30" i="10" s="1"/>
  <c r="AE49" i="3"/>
  <c r="AO32" i="3" s="1"/>
  <c r="E30" i="10" s="1"/>
  <c r="AJ48" i="3"/>
  <c r="AP31" i="3" s="1"/>
  <c r="F29" i="10" s="1"/>
  <c r="AE48" i="3"/>
  <c r="AO31" i="3" s="1"/>
  <c r="E29" i="10" s="1"/>
  <c r="AJ47" i="3"/>
  <c r="AP30" i="3" s="1"/>
  <c r="F28" i="10" s="1"/>
  <c r="AE47" i="3"/>
  <c r="AO30" i="3" s="1"/>
  <c r="E28" i="10" s="1"/>
  <c r="AJ46" i="3"/>
  <c r="AP29" i="3" s="1"/>
  <c r="F27" i="10" s="1"/>
  <c r="AE46" i="3"/>
  <c r="AO29" i="3" s="1"/>
  <c r="E27" i="10" s="1"/>
  <c r="B48" i="3"/>
  <c r="AJ45" i="3"/>
  <c r="AP28" i="3" s="1"/>
  <c r="F26" i="10" s="1"/>
  <c r="AG45" i="3"/>
  <c r="AH45" i="3" s="1"/>
  <c r="AE45" i="3"/>
  <c r="AO28" i="3" s="1"/>
  <c r="E26" i="10" s="1"/>
  <c r="AB45" i="3"/>
  <c r="AB46" i="3" s="1"/>
  <c r="B45" i="3"/>
  <c r="B47" i="3" s="1"/>
  <c r="AJ44" i="3"/>
  <c r="AP27" i="3" s="1"/>
  <c r="F25" i="10" s="1"/>
  <c r="AH44" i="3"/>
  <c r="AE44" i="3"/>
  <c r="AO27" i="3" s="1"/>
  <c r="E25" i="10" s="1"/>
  <c r="AC44" i="3"/>
  <c r="AJ43" i="3"/>
  <c r="AP26" i="3" s="1"/>
  <c r="F24" i="10" s="1"/>
  <c r="AG43" i="3"/>
  <c r="AG42" i="3" s="1"/>
  <c r="AE43" i="3"/>
  <c r="AO26" i="3" s="1"/>
  <c r="E24" i="10" s="1"/>
  <c r="AB43" i="3"/>
  <c r="AC43" i="3" s="1"/>
  <c r="AJ42" i="3"/>
  <c r="AP25" i="3" s="1"/>
  <c r="F23" i="10" s="1"/>
  <c r="AE42" i="3"/>
  <c r="AO25" i="3" s="1"/>
  <c r="E23" i="10" s="1"/>
  <c r="AJ41" i="3"/>
  <c r="AP24" i="3" s="1"/>
  <c r="F22" i="10" s="1"/>
  <c r="AE41" i="3"/>
  <c r="AO24" i="3" s="1"/>
  <c r="E22" i="10" s="1"/>
  <c r="AJ40" i="3"/>
  <c r="AP23" i="3" s="1"/>
  <c r="F21" i="10" s="1"/>
  <c r="AE40" i="3"/>
  <c r="AO23" i="3" s="1"/>
  <c r="E21" i="10" s="1"/>
  <c r="J40" i="3"/>
  <c r="B40" i="3"/>
  <c r="AJ39" i="3"/>
  <c r="AP22" i="3" s="1"/>
  <c r="F20" i="10" s="1"/>
  <c r="AE39" i="3"/>
  <c r="AO22" i="3" s="1"/>
  <c r="E20" i="10" s="1"/>
  <c r="J39" i="3"/>
  <c r="B39" i="3"/>
  <c r="B38" i="3"/>
  <c r="F37" i="3"/>
  <c r="F40" i="3" s="1"/>
  <c r="R9" i="3" s="1"/>
  <c r="B37" i="3"/>
  <c r="F36" i="3"/>
  <c r="F38" i="3" s="1"/>
  <c r="F41" i="3" s="1"/>
  <c r="Q9" i="3" s="1"/>
  <c r="AJ34" i="3"/>
  <c r="AM32" i="3" s="1"/>
  <c r="C30" i="10" s="1"/>
  <c r="AE34" i="3"/>
  <c r="AN32" i="3" s="1"/>
  <c r="D30" i="10" s="1"/>
  <c r="J34" i="3"/>
  <c r="AJ33" i="3"/>
  <c r="AM31" i="3" s="1"/>
  <c r="C29" i="10" s="1"/>
  <c r="AE33" i="3"/>
  <c r="AN31" i="3" s="1"/>
  <c r="D29" i="10" s="1"/>
  <c r="AJ32" i="3"/>
  <c r="AM30" i="3" s="1"/>
  <c r="C28" i="10" s="1"/>
  <c r="AE32" i="3"/>
  <c r="AN30" i="3" s="1"/>
  <c r="D28" i="10" s="1"/>
  <c r="B32" i="3"/>
  <c r="AJ31" i="3"/>
  <c r="AM29" i="3" s="1"/>
  <c r="C27" i="10" s="1"/>
  <c r="AE31" i="3"/>
  <c r="AN29" i="3" s="1"/>
  <c r="D27" i="10" s="1"/>
  <c r="J31" i="3"/>
  <c r="U9" i="3" s="1"/>
  <c r="B31" i="3"/>
  <c r="AJ30" i="3"/>
  <c r="AM28" i="3" s="1"/>
  <c r="C26" i="10" s="1"/>
  <c r="AG30" i="3"/>
  <c r="AG31" i="3" s="1"/>
  <c r="AE30" i="3"/>
  <c r="AN28" i="3" s="1"/>
  <c r="D26" i="10" s="1"/>
  <c r="AB30" i="3"/>
  <c r="AC30" i="3" s="1"/>
  <c r="AJ29" i="3"/>
  <c r="AM27" i="3" s="1"/>
  <c r="C25" i="10" s="1"/>
  <c r="AH29" i="3"/>
  <c r="AE29" i="3"/>
  <c r="AN27" i="3" s="1"/>
  <c r="D25" i="10" s="1"/>
  <c r="AC29" i="3"/>
  <c r="AJ28" i="3"/>
  <c r="AM26" i="3" s="1"/>
  <c r="C24" i="10" s="1"/>
  <c r="AG28" i="3"/>
  <c r="AG27" i="3" s="1"/>
  <c r="AE28" i="3"/>
  <c r="AN26" i="3" s="1"/>
  <c r="D24" i="10" s="1"/>
  <c r="AB28" i="3"/>
  <c r="AC28" i="3" s="1"/>
  <c r="AJ27" i="3"/>
  <c r="AM25" i="3" s="1"/>
  <c r="C23" i="10" s="1"/>
  <c r="AE27" i="3"/>
  <c r="AN25" i="3" s="1"/>
  <c r="D23" i="10" s="1"/>
  <c r="AJ26" i="3"/>
  <c r="AM24" i="3" s="1"/>
  <c r="C22" i="10" s="1"/>
  <c r="AE26" i="3"/>
  <c r="AN24" i="3" s="1"/>
  <c r="D22" i="10" s="1"/>
  <c r="AJ25" i="3"/>
  <c r="AM23" i="3" s="1"/>
  <c r="C21" i="10" s="1"/>
  <c r="AE25" i="3"/>
  <c r="AN23" i="3" s="1"/>
  <c r="D21" i="10" s="1"/>
  <c r="AJ24" i="3"/>
  <c r="AM22" i="3" s="1"/>
  <c r="C20" i="10" s="1"/>
  <c r="AE24" i="3"/>
  <c r="AN22" i="3" s="1"/>
  <c r="D20" i="10" s="1"/>
  <c r="F24" i="3"/>
  <c r="J41" i="3" s="1"/>
  <c r="B18" i="3"/>
  <c r="B36" i="3" s="1"/>
  <c r="F17" i="3"/>
  <c r="J38" i="3" s="1"/>
  <c r="AC12" i="3"/>
  <c r="AC11" i="3"/>
  <c r="N10" i="3"/>
  <c r="W9" i="3"/>
  <c r="P54" i="2"/>
  <c r="AH49" i="2"/>
  <c r="AN32" i="2" s="1"/>
  <c r="S15" i="10" s="1"/>
  <c r="AC49" i="2"/>
  <c r="AM32" i="2" s="1"/>
  <c r="R15" i="10" s="1"/>
  <c r="AH48" i="2"/>
  <c r="AN31" i="2" s="1"/>
  <c r="S14" i="10" s="1"/>
  <c r="AC48" i="2"/>
  <c r="AM31" i="2" s="1"/>
  <c r="R14" i="10" s="1"/>
  <c r="AH47" i="2"/>
  <c r="AN30" i="2" s="1"/>
  <c r="S13" i="10" s="1"/>
  <c r="AC47" i="2"/>
  <c r="AM30" i="2" s="1"/>
  <c r="R13" i="10" s="1"/>
  <c r="AH46" i="2"/>
  <c r="AN29" i="2" s="1"/>
  <c r="S12" i="10" s="1"/>
  <c r="AC46" i="2"/>
  <c r="AM29" i="2" s="1"/>
  <c r="R12" i="10" s="1"/>
  <c r="AH45" i="2"/>
  <c r="AN28" i="2" s="1"/>
  <c r="S11" i="10" s="1"/>
  <c r="AE45" i="2"/>
  <c r="AF45" i="2" s="1"/>
  <c r="AC45" i="2"/>
  <c r="AM28" i="2" s="1"/>
  <c r="R11" i="10" s="1"/>
  <c r="Z45" i="2"/>
  <c r="Z46" i="2" s="1"/>
  <c r="Z47" i="2" s="1"/>
  <c r="Z48" i="2" s="1"/>
  <c r="AH44" i="2"/>
  <c r="AN27" i="2" s="1"/>
  <c r="S10" i="10" s="1"/>
  <c r="AF44" i="2"/>
  <c r="AC44" i="2"/>
  <c r="AM27" i="2" s="1"/>
  <c r="R10" i="10" s="1"/>
  <c r="AH43" i="2"/>
  <c r="AN26" i="2" s="1"/>
  <c r="S9" i="10" s="1"/>
  <c r="AE43" i="2"/>
  <c r="AE42" i="2" s="1"/>
  <c r="AC43" i="2"/>
  <c r="AM26" i="2" s="1"/>
  <c r="R9" i="10" s="1"/>
  <c r="Z43" i="2"/>
  <c r="Z42" i="2" s="1"/>
  <c r="Z41" i="2" s="1"/>
  <c r="Z40" i="2" s="1"/>
  <c r="Z39" i="2" s="1"/>
  <c r="B43" i="2"/>
  <c r="B44" i="2" s="1"/>
  <c r="W9" i="2" s="1"/>
  <c r="S9" i="2" s="1"/>
  <c r="AH42" i="2"/>
  <c r="AN25" i="2" s="1"/>
  <c r="S8" i="10" s="1"/>
  <c r="AC42" i="2"/>
  <c r="AM25" i="2" s="1"/>
  <c r="R8" i="10" s="1"/>
  <c r="AH41" i="2"/>
  <c r="AN24" i="2" s="1"/>
  <c r="S7" i="10" s="1"/>
  <c r="AC41" i="2"/>
  <c r="AM24" i="2" s="1"/>
  <c r="R7" i="10" s="1"/>
  <c r="F41" i="2"/>
  <c r="AH40" i="2"/>
  <c r="AN23" i="2" s="1"/>
  <c r="S6" i="10" s="1"/>
  <c r="AC40" i="2"/>
  <c r="AM23" i="2" s="1"/>
  <c r="R6" i="10" s="1"/>
  <c r="B40" i="2"/>
  <c r="AH39" i="2"/>
  <c r="AN22" i="2" s="1"/>
  <c r="S5" i="10" s="1"/>
  <c r="AC39" i="2"/>
  <c r="AM22" i="2" s="1"/>
  <c r="R5" i="10" s="1"/>
  <c r="B39" i="2"/>
  <c r="B38" i="2"/>
  <c r="B37" i="2"/>
  <c r="AA11" i="2"/>
  <c r="F36" i="2"/>
  <c r="F37" i="2" s="1"/>
  <c r="F38" i="2" s="1"/>
  <c r="Q9" i="2" s="1"/>
  <c r="AH34" i="2"/>
  <c r="AK32" i="2" s="1"/>
  <c r="P15" i="10" s="1"/>
  <c r="AC34" i="2"/>
  <c r="AL32" i="2" s="1"/>
  <c r="Q15" i="10" s="1"/>
  <c r="J34" i="2"/>
  <c r="AH33" i="2"/>
  <c r="AK31" i="2" s="1"/>
  <c r="P14" i="10" s="1"/>
  <c r="AC33" i="2"/>
  <c r="AL31" i="2" s="1"/>
  <c r="Q14" i="10" s="1"/>
  <c r="J33" i="2"/>
  <c r="AH32" i="2"/>
  <c r="AK30" i="2" s="1"/>
  <c r="P13" i="10" s="1"/>
  <c r="AC32" i="2"/>
  <c r="AL30" i="2" s="1"/>
  <c r="Q13" i="10" s="1"/>
  <c r="B32" i="2"/>
  <c r="AH31" i="2"/>
  <c r="AK29" i="2" s="1"/>
  <c r="P12" i="10" s="1"/>
  <c r="AC31" i="2"/>
  <c r="AL29" i="2" s="1"/>
  <c r="Q12" i="10" s="1"/>
  <c r="B31" i="2"/>
  <c r="B46" i="2" s="1"/>
  <c r="AH30" i="2"/>
  <c r="AK28" i="2" s="1"/>
  <c r="P11" i="10" s="1"/>
  <c r="AE30" i="2"/>
  <c r="AC30" i="2"/>
  <c r="AL28" i="2" s="1"/>
  <c r="Q11" i="10" s="1"/>
  <c r="Z30" i="2"/>
  <c r="Z31" i="2" s="1"/>
  <c r="AH29" i="2"/>
  <c r="AK27" i="2" s="1"/>
  <c r="P10" i="10" s="1"/>
  <c r="AF29" i="2"/>
  <c r="AC29" i="2"/>
  <c r="AL27" i="2" s="1"/>
  <c r="Q10" i="10" s="1"/>
  <c r="AA29" i="2"/>
  <c r="AH28" i="2"/>
  <c r="AK26" i="2" s="1"/>
  <c r="P9" i="10" s="1"/>
  <c r="AE28" i="2"/>
  <c r="AF28" i="2" s="1"/>
  <c r="AC28" i="2"/>
  <c r="AL26" i="2" s="1"/>
  <c r="Q9" i="10" s="1"/>
  <c r="Z28" i="2"/>
  <c r="Z27" i="2" s="1"/>
  <c r="Z26" i="2" s="1"/>
  <c r="AH27" i="2"/>
  <c r="AK25" i="2" s="1"/>
  <c r="P8" i="10" s="1"/>
  <c r="AC27" i="2"/>
  <c r="AL25" i="2" s="1"/>
  <c r="Q8" i="10" s="1"/>
  <c r="AH26" i="2"/>
  <c r="AK24" i="2" s="1"/>
  <c r="P7" i="10" s="1"/>
  <c r="AC26" i="2"/>
  <c r="AL24" i="2" s="1"/>
  <c r="Q7" i="10" s="1"/>
  <c r="AH25" i="2"/>
  <c r="AK23" i="2" s="1"/>
  <c r="P6" i="10" s="1"/>
  <c r="AC25" i="2"/>
  <c r="AL23" i="2" s="1"/>
  <c r="Q6" i="10" s="1"/>
  <c r="AH24" i="2"/>
  <c r="AK22" i="2" s="1"/>
  <c r="P5" i="10" s="1"/>
  <c r="AC24" i="2"/>
  <c r="AL22" i="2" s="1"/>
  <c r="Q5" i="10" s="1"/>
  <c r="F22" i="2"/>
  <c r="J35" i="2" s="1"/>
  <c r="B18" i="2"/>
  <c r="F16" i="2"/>
  <c r="J32" i="2" s="1"/>
  <c r="J31" i="2" s="1"/>
  <c r="AA10" i="2"/>
  <c r="N10" i="2"/>
  <c r="T9" i="2"/>
  <c r="AE64" i="1"/>
  <c r="AQ32" i="1" s="1"/>
  <c r="G15" i="10" s="1"/>
  <c r="AE63" i="1"/>
  <c r="AQ31" i="1" s="1"/>
  <c r="G14" i="10" s="1"/>
  <c r="AE62" i="1"/>
  <c r="AQ30" i="1" s="1"/>
  <c r="G13" i="10" s="1"/>
  <c r="AE61" i="1"/>
  <c r="AQ29" i="1" s="1"/>
  <c r="G12" i="10" s="1"/>
  <c r="AE60" i="1"/>
  <c r="AQ28" i="1" s="1"/>
  <c r="G11" i="10" s="1"/>
  <c r="AB60" i="1"/>
  <c r="AB61" i="1" s="1"/>
  <c r="AE59" i="1"/>
  <c r="AQ27" i="1" s="1"/>
  <c r="G10" i="10" s="1"/>
  <c r="AC59" i="1"/>
  <c r="AE58" i="1"/>
  <c r="AQ26" i="1" s="1"/>
  <c r="G9" i="10" s="1"/>
  <c r="AB58" i="1"/>
  <c r="AB57" i="1" s="1"/>
  <c r="AE57" i="1"/>
  <c r="AQ25" i="1" s="1"/>
  <c r="G8" i="10" s="1"/>
  <c r="AE56" i="1"/>
  <c r="AQ24" i="1" s="1"/>
  <c r="G7" i="10" s="1"/>
  <c r="AE55" i="1"/>
  <c r="AQ23" i="1" s="1"/>
  <c r="G6" i="10" s="1"/>
  <c r="AE54" i="1"/>
  <c r="AQ22" i="1" s="1"/>
  <c r="G5" i="10" s="1"/>
  <c r="P54" i="1"/>
  <c r="B51" i="1"/>
  <c r="AJ49" i="1"/>
  <c r="AP32" i="1" s="1"/>
  <c r="F15" i="10" s="1"/>
  <c r="AE49" i="1"/>
  <c r="AO32" i="1" s="1"/>
  <c r="E15" i="10" s="1"/>
  <c r="AJ48" i="1"/>
  <c r="AP31" i="1" s="1"/>
  <c r="F14" i="10" s="1"/>
  <c r="AE48" i="1"/>
  <c r="AO31" i="1" s="1"/>
  <c r="E14" i="10" s="1"/>
  <c r="AJ47" i="1"/>
  <c r="AP30" i="1" s="1"/>
  <c r="F13" i="10" s="1"/>
  <c r="AE47" i="1"/>
  <c r="AO30" i="1" s="1"/>
  <c r="E13" i="10" s="1"/>
  <c r="AJ46" i="1"/>
  <c r="AP29" i="1" s="1"/>
  <c r="F12" i="10" s="1"/>
  <c r="AE46" i="1"/>
  <c r="AO29" i="1" s="1"/>
  <c r="E12" i="10" s="1"/>
  <c r="AJ45" i="1"/>
  <c r="AP28" i="1" s="1"/>
  <c r="F11" i="10" s="1"/>
  <c r="AG45" i="1"/>
  <c r="AG46" i="1" s="1"/>
  <c r="AE45" i="1"/>
  <c r="AO28" i="1" s="1"/>
  <c r="E11" i="10" s="1"/>
  <c r="AB45" i="1"/>
  <c r="AC45" i="1" s="1"/>
  <c r="AJ44" i="1"/>
  <c r="AP27" i="1" s="1"/>
  <c r="F10" i="10" s="1"/>
  <c r="AH44" i="1"/>
  <c r="AE44" i="1"/>
  <c r="AO27" i="1" s="1"/>
  <c r="E10" i="10" s="1"/>
  <c r="AC44" i="1"/>
  <c r="B46" i="1"/>
  <c r="AC9" i="1" s="1"/>
  <c r="AJ43" i="1"/>
  <c r="AP26" i="1" s="1"/>
  <c r="F9" i="10" s="1"/>
  <c r="AG43" i="1"/>
  <c r="AH43" i="1" s="1"/>
  <c r="AE43" i="1"/>
  <c r="AO26" i="1" s="1"/>
  <c r="E9" i="10" s="1"/>
  <c r="AB43" i="1"/>
  <c r="AC43" i="1" s="1"/>
  <c r="B43" i="1"/>
  <c r="B45" i="1" s="1"/>
  <c r="AJ42" i="1"/>
  <c r="AP25" i="1" s="1"/>
  <c r="F8" i="10" s="1"/>
  <c r="AE42" i="1"/>
  <c r="AO25" i="1" s="1"/>
  <c r="E8" i="10" s="1"/>
  <c r="AC12" i="1"/>
  <c r="AJ41" i="1"/>
  <c r="AP24" i="1" s="1"/>
  <c r="F7" i="10" s="1"/>
  <c r="AE41" i="1"/>
  <c r="AO24" i="1" s="1"/>
  <c r="E7" i="10" s="1"/>
  <c r="AJ40" i="1"/>
  <c r="AP23" i="1" s="1"/>
  <c r="F6" i="10" s="1"/>
  <c r="AE40" i="1"/>
  <c r="AO23" i="1" s="1"/>
  <c r="E6" i="10" s="1"/>
  <c r="J40" i="1"/>
  <c r="B40" i="1"/>
  <c r="AJ39" i="1"/>
  <c r="AP22" i="1" s="1"/>
  <c r="F5" i="10" s="1"/>
  <c r="AE39" i="1"/>
  <c r="AO22" i="1" s="1"/>
  <c r="E5" i="10" s="1"/>
  <c r="J39" i="1"/>
  <c r="B39" i="1"/>
  <c r="B38" i="1"/>
  <c r="F37" i="1"/>
  <c r="F40" i="1" s="1"/>
  <c r="R9" i="1" s="1"/>
  <c r="B37" i="1"/>
  <c r="F36" i="1"/>
  <c r="AC8" i="1" s="1"/>
  <c r="AJ34" i="1"/>
  <c r="AM32" i="1" s="1"/>
  <c r="C15" i="10" s="1"/>
  <c r="AE34" i="1"/>
  <c r="AN32" i="1" s="1"/>
  <c r="D15" i="10" s="1"/>
  <c r="J34" i="1"/>
  <c r="AJ33" i="1"/>
  <c r="AM31" i="1" s="1"/>
  <c r="C14" i="10" s="1"/>
  <c r="AE33" i="1"/>
  <c r="AN31" i="1" s="1"/>
  <c r="D14" i="10" s="1"/>
  <c r="AJ32" i="1"/>
  <c r="AM30" i="1" s="1"/>
  <c r="C13" i="10" s="1"/>
  <c r="AE32" i="1"/>
  <c r="AN30" i="1" s="1"/>
  <c r="D13" i="10" s="1"/>
  <c r="B32" i="1"/>
  <c r="AJ31" i="1"/>
  <c r="AM29" i="1" s="1"/>
  <c r="C12" i="10" s="1"/>
  <c r="AE31" i="1"/>
  <c r="AN29" i="1" s="1"/>
  <c r="D12" i="10" s="1"/>
  <c r="J31" i="1"/>
  <c r="U9" i="1" s="1"/>
  <c r="B31" i="1"/>
  <c r="AJ30" i="1"/>
  <c r="AM28" i="1" s="1"/>
  <c r="C11" i="10" s="1"/>
  <c r="AG30" i="1"/>
  <c r="AH30" i="1" s="1"/>
  <c r="AE30" i="1"/>
  <c r="AN28" i="1" s="1"/>
  <c r="D11" i="10" s="1"/>
  <c r="AB30" i="1"/>
  <c r="AB31" i="1" s="1"/>
  <c r="AJ29" i="1"/>
  <c r="AM27" i="1" s="1"/>
  <c r="C10" i="10" s="1"/>
  <c r="AH29" i="1"/>
  <c r="AE29" i="1"/>
  <c r="AN27" i="1" s="1"/>
  <c r="D10" i="10" s="1"/>
  <c r="AC29" i="1"/>
  <c r="AJ28" i="1"/>
  <c r="AM26" i="1" s="1"/>
  <c r="C9" i="10" s="1"/>
  <c r="AG28" i="1"/>
  <c r="AH28" i="1" s="1"/>
  <c r="AE28" i="1"/>
  <c r="AN26" i="1" s="1"/>
  <c r="D9" i="10" s="1"/>
  <c r="AB28" i="1"/>
  <c r="AC28" i="1" s="1"/>
  <c r="AJ27" i="1"/>
  <c r="AM25" i="1" s="1"/>
  <c r="C8" i="10" s="1"/>
  <c r="AE27" i="1"/>
  <c r="AN25" i="1" s="1"/>
  <c r="D8" i="10" s="1"/>
  <c r="AJ26" i="1"/>
  <c r="AM24" i="1" s="1"/>
  <c r="C7" i="10" s="1"/>
  <c r="AE26" i="1"/>
  <c r="AN24" i="1" s="1"/>
  <c r="D7" i="10" s="1"/>
  <c r="AJ25" i="1"/>
  <c r="AM23" i="1" s="1"/>
  <c r="C6" i="10" s="1"/>
  <c r="AE25" i="1"/>
  <c r="AN23" i="1" s="1"/>
  <c r="D6" i="10" s="1"/>
  <c r="AJ24" i="1"/>
  <c r="AM22" i="1" s="1"/>
  <c r="C5" i="10" s="1"/>
  <c r="AE24" i="1"/>
  <c r="AN22" i="1" s="1"/>
  <c r="D5" i="10" s="1"/>
  <c r="F24" i="1"/>
  <c r="J41" i="1" s="1"/>
  <c r="B18" i="1"/>
  <c r="B36" i="1" s="1"/>
  <c r="F17" i="1"/>
  <c r="J38" i="1" s="1"/>
  <c r="AC11" i="1"/>
  <c r="N10" i="1"/>
  <c r="W9" i="1"/>
  <c r="AA43" i="8" l="1"/>
  <c r="AB61" i="5"/>
  <c r="AG31" i="7"/>
  <c r="AH43" i="5"/>
  <c r="AG46" i="7"/>
  <c r="B46" i="6"/>
  <c r="AC8" i="7"/>
  <c r="AC43" i="7"/>
  <c r="AG64" i="5"/>
  <c r="AH64" i="5" s="1"/>
  <c r="AH63" i="5"/>
  <c r="AG64" i="3"/>
  <c r="AH64" i="3" s="1"/>
  <c r="AH63" i="3"/>
  <c r="F38" i="1"/>
  <c r="F41" i="1" s="1"/>
  <c r="Q9" i="1" s="1"/>
  <c r="AH56" i="1"/>
  <c r="V9" i="1"/>
  <c r="AH64" i="1"/>
  <c r="Z49" i="2"/>
  <c r="AA48" i="2"/>
  <c r="AH42" i="5"/>
  <c r="AG41" i="5"/>
  <c r="AH41" i="5" s="1"/>
  <c r="AG42" i="1"/>
  <c r="AG41" i="1" s="1"/>
  <c r="AH41" i="1" s="1"/>
  <c r="AA8" i="2"/>
  <c r="AC8" i="3"/>
  <c r="AE27" i="4"/>
  <c r="AE26" i="4" s="1"/>
  <c r="AE31" i="4"/>
  <c r="AC8" i="5"/>
  <c r="AE46" i="6"/>
  <c r="J37" i="5"/>
  <c r="S10" i="5" s="1"/>
  <c r="AG46" i="3"/>
  <c r="AG47" i="3" s="1"/>
  <c r="AF26" i="6"/>
  <c r="AF43" i="2"/>
  <c r="AH28" i="3"/>
  <c r="T10" i="4"/>
  <c r="AC60" i="7"/>
  <c r="AA45" i="8"/>
  <c r="AF27" i="6"/>
  <c r="AB57" i="7"/>
  <c r="AC57" i="7" s="1"/>
  <c r="AE31" i="6"/>
  <c r="AE32" i="6" s="1"/>
  <c r="V9" i="3"/>
  <c r="R10" i="7"/>
  <c r="B51" i="7"/>
  <c r="Q10" i="6"/>
  <c r="Q10" i="4"/>
  <c r="B49" i="1"/>
  <c r="AA46" i="8"/>
  <c r="Z47" i="8"/>
  <c r="Z48" i="8" s="1"/>
  <c r="AF42" i="2"/>
  <c r="AE41" i="2"/>
  <c r="AF41" i="2" s="1"/>
  <c r="AB47" i="3"/>
  <c r="AC46" i="3"/>
  <c r="N12" i="4"/>
  <c r="T12" i="4" s="1"/>
  <c r="Q11" i="4"/>
  <c r="R10" i="5"/>
  <c r="B36" i="2"/>
  <c r="Z25" i="2"/>
  <c r="Z24" i="2" s="1"/>
  <c r="AA24" i="2" s="1"/>
  <c r="AA26" i="2"/>
  <c r="AH31" i="5"/>
  <c r="AG32" i="5"/>
  <c r="AB46" i="1"/>
  <c r="AC46" i="1" s="1"/>
  <c r="AC58" i="1"/>
  <c r="AA28" i="2"/>
  <c r="AA39" i="2"/>
  <c r="AE46" i="2"/>
  <c r="AF46" i="2" s="1"/>
  <c r="R10" i="3"/>
  <c r="AB27" i="1"/>
  <c r="AC27" i="1" s="1"/>
  <c r="AA8" i="6"/>
  <c r="J37" i="7"/>
  <c r="S10" i="7" s="1"/>
  <c r="F37" i="8"/>
  <c r="F38" i="8" s="1"/>
  <c r="Q9" i="8" s="1"/>
  <c r="AH43" i="3"/>
  <c r="AA49" i="2"/>
  <c r="Z27" i="6"/>
  <c r="AH27" i="7"/>
  <c r="AA42" i="2"/>
  <c r="Z41" i="8"/>
  <c r="AA41" i="8" s="1"/>
  <c r="AC45" i="3"/>
  <c r="AH30" i="5"/>
  <c r="AH28" i="7"/>
  <c r="J37" i="3"/>
  <c r="S9" i="3" s="1"/>
  <c r="AH30" i="3"/>
  <c r="AB57" i="3"/>
  <c r="AC57" i="3" s="1"/>
  <c r="AH45" i="5"/>
  <c r="AB31" i="7"/>
  <c r="AC31" i="7" s="1"/>
  <c r="AE46" i="8"/>
  <c r="AE47" i="8" s="1"/>
  <c r="AE27" i="2"/>
  <c r="AG25" i="7"/>
  <c r="AH25" i="7" s="1"/>
  <c r="AG47" i="1"/>
  <c r="AH46" i="1"/>
  <c r="Z9" i="3"/>
  <c r="T9" i="3" s="1"/>
  <c r="AC9" i="3"/>
  <c r="J37" i="1"/>
  <c r="S9" i="1" s="1"/>
  <c r="AB32" i="1"/>
  <c r="AC31" i="1"/>
  <c r="AC57" i="1"/>
  <c r="AB56" i="1"/>
  <c r="B47" i="1"/>
  <c r="Z9" i="1"/>
  <c r="T9" i="1" s="1"/>
  <c r="AC61" i="1"/>
  <c r="AB62" i="1"/>
  <c r="W10" i="1"/>
  <c r="U10" i="1"/>
  <c r="Z10" i="1"/>
  <c r="T10" i="1" s="1"/>
  <c r="AC30" i="1"/>
  <c r="AB42" i="1"/>
  <c r="AH45" i="1"/>
  <c r="AC60" i="1"/>
  <c r="T10" i="2"/>
  <c r="N11" i="2"/>
  <c r="B51" i="3"/>
  <c r="AG41" i="3"/>
  <c r="AH42" i="3"/>
  <c r="AB56" i="3"/>
  <c r="AA28" i="4"/>
  <c r="Z27" i="4"/>
  <c r="Z9" i="5"/>
  <c r="T9" i="5" s="1"/>
  <c r="B49" i="5"/>
  <c r="N11" i="1"/>
  <c r="R10" i="1"/>
  <c r="AB26" i="1"/>
  <c r="AG27" i="1"/>
  <c r="Q10" i="2"/>
  <c r="R9" i="2"/>
  <c r="AE31" i="2"/>
  <c r="AF30" i="2"/>
  <c r="B35" i="2"/>
  <c r="B34" i="2"/>
  <c r="B33" i="2"/>
  <c r="AH31" i="3"/>
  <c r="AG32" i="3"/>
  <c r="J31" i="4"/>
  <c r="AF27" i="4"/>
  <c r="B35" i="4"/>
  <c r="B34" i="4"/>
  <c r="B33" i="4"/>
  <c r="B36" i="4"/>
  <c r="W10" i="4"/>
  <c r="S10" i="4" s="1"/>
  <c r="W9" i="4"/>
  <c r="S9" i="4" s="1"/>
  <c r="AF43" i="4"/>
  <c r="AE42" i="4"/>
  <c r="AB46" i="5"/>
  <c r="AC45" i="5"/>
  <c r="AG31" i="1"/>
  <c r="W10" i="2"/>
  <c r="S10" i="2" s="1"/>
  <c r="AE26" i="2"/>
  <c r="AF27" i="2"/>
  <c r="Z10" i="3"/>
  <c r="T10" i="3" s="1"/>
  <c r="AH46" i="3"/>
  <c r="AC61" i="3"/>
  <c r="AB62" i="3"/>
  <c r="Z31" i="4"/>
  <c r="AA30" i="4"/>
  <c r="AG33" i="5"/>
  <c r="AH32" i="5"/>
  <c r="Z32" i="2"/>
  <c r="AA31" i="2"/>
  <c r="AG26" i="3"/>
  <c r="AH27" i="3"/>
  <c r="W12" i="4"/>
  <c r="AA44" i="2"/>
  <c r="AA47" i="2"/>
  <c r="W10" i="3"/>
  <c r="N11" i="3"/>
  <c r="AB27" i="3"/>
  <c r="AB42" i="3"/>
  <c r="B49" i="3"/>
  <c r="W11" i="4"/>
  <c r="S11" i="4" s="1"/>
  <c r="T11" i="4"/>
  <c r="AE47" i="4"/>
  <c r="AF46" i="4"/>
  <c r="AE47" i="6"/>
  <c r="AF46" i="6"/>
  <c r="AA27" i="2"/>
  <c r="AA30" i="2"/>
  <c r="AA41" i="2"/>
  <c r="AA46" i="2"/>
  <c r="AB31" i="3"/>
  <c r="AA43" i="4"/>
  <c r="Z42" i="4"/>
  <c r="AG40" i="5"/>
  <c r="Z9" i="7"/>
  <c r="T9" i="7" s="1"/>
  <c r="B49" i="7"/>
  <c r="AA40" i="2"/>
  <c r="AA43" i="2"/>
  <c r="AA45" i="2"/>
  <c r="Q10" i="3"/>
  <c r="U10" i="3"/>
  <c r="AE32" i="4"/>
  <c r="AF31" i="4"/>
  <c r="AC58" i="5"/>
  <c r="AB57" i="5"/>
  <c r="AF31" i="6"/>
  <c r="AA43" i="6"/>
  <c r="Z42" i="6"/>
  <c r="B35" i="6"/>
  <c r="B34" i="6"/>
  <c r="B33" i="6"/>
  <c r="B36" i="6"/>
  <c r="W9" i="6"/>
  <c r="S9" i="6" s="1"/>
  <c r="AC28" i="7"/>
  <c r="AB27" i="7"/>
  <c r="Z27" i="8"/>
  <c r="AA28" i="8"/>
  <c r="Z10" i="5"/>
  <c r="T10" i="5" s="1"/>
  <c r="U10" i="5"/>
  <c r="Q10" i="5"/>
  <c r="N11" i="5"/>
  <c r="V10" i="5"/>
  <c r="W10" i="5"/>
  <c r="B51" i="5"/>
  <c r="AB42" i="5"/>
  <c r="AC43" i="5"/>
  <c r="AG47" i="5"/>
  <c r="AE24" i="6"/>
  <c r="AF24" i="6" s="1"/>
  <c r="AF25" i="6"/>
  <c r="AG26" i="5"/>
  <c r="AH27" i="5"/>
  <c r="AC28" i="5"/>
  <c r="AB27" i="5"/>
  <c r="AG24" i="7"/>
  <c r="AH24" i="7" s="1"/>
  <c r="AE32" i="8"/>
  <c r="AF31" i="8"/>
  <c r="Z46" i="4"/>
  <c r="AB31" i="5"/>
  <c r="N11" i="6"/>
  <c r="T10" i="6"/>
  <c r="W10" i="6"/>
  <c r="S10" i="6" s="1"/>
  <c r="Z31" i="6"/>
  <c r="AA30" i="6"/>
  <c r="AF43" i="6"/>
  <c r="AE42" i="6"/>
  <c r="W11" i="8"/>
  <c r="S11" i="8" s="1"/>
  <c r="N12" i="8"/>
  <c r="J31" i="6"/>
  <c r="R9" i="6" s="1"/>
  <c r="Z10" i="7"/>
  <c r="T10" i="7" s="1"/>
  <c r="U10" i="7"/>
  <c r="Q10" i="7"/>
  <c r="N11" i="7"/>
  <c r="V10" i="7"/>
  <c r="W10" i="7"/>
  <c r="AC61" i="7"/>
  <c r="AB62" i="7"/>
  <c r="B33" i="8"/>
  <c r="B36" i="8"/>
  <c r="Z46" i="6"/>
  <c r="AB56" i="7"/>
  <c r="AG32" i="7"/>
  <c r="AH31" i="7"/>
  <c r="AC42" i="7"/>
  <c r="AB41" i="7"/>
  <c r="AB46" i="7"/>
  <c r="AC45" i="7"/>
  <c r="AG47" i="7"/>
  <c r="AH46" i="7"/>
  <c r="Z33" i="8"/>
  <c r="AA32" i="8"/>
  <c r="AH43" i="7"/>
  <c r="AG42" i="7"/>
  <c r="AA47" i="8"/>
  <c r="W10" i="8"/>
  <c r="S10" i="8" s="1"/>
  <c r="T10" i="8"/>
  <c r="J31" i="8"/>
  <c r="R9" i="8" s="1"/>
  <c r="AE26" i="8"/>
  <c r="AF27" i="8"/>
  <c r="AF30" i="8"/>
  <c r="Z40" i="8"/>
  <c r="AE42" i="8"/>
  <c r="AA30" i="8"/>
  <c r="AE47" i="2" l="1"/>
  <c r="AF47" i="2" s="1"/>
  <c r="B45" i="2"/>
  <c r="B47" i="2" s="1"/>
  <c r="F31" i="2" s="1"/>
  <c r="O8" i="2" s="1"/>
  <c r="AA25" i="2"/>
  <c r="AB62" i="5"/>
  <c r="AC61" i="5"/>
  <c r="AH55" i="1"/>
  <c r="AH54" i="1"/>
  <c r="Q10" i="1"/>
  <c r="V10" i="1"/>
  <c r="S9" i="5"/>
  <c r="B45" i="6"/>
  <c r="B47" i="6" s="1"/>
  <c r="AE40" i="2"/>
  <c r="AH42" i="1"/>
  <c r="AG40" i="1"/>
  <c r="AH40" i="1" s="1"/>
  <c r="B45" i="4"/>
  <c r="B47" i="4" s="1"/>
  <c r="F31" i="4" s="1"/>
  <c r="O8" i="4" s="1"/>
  <c r="V10" i="3"/>
  <c r="B33" i="7"/>
  <c r="B50" i="7" s="1"/>
  <c r="B52" i="7" s="1"/>
  <c r="F31" i="7" s="1"/>
  <c r="O8" i="7" s="1"/>
  <c r="B45" i="8"/>
  <c r="B47" i="8" s="1"/>
  <c r="AA9" i="8" s="1"/>
  <c r="R10" i="8"/>
  <c r="S10" i="3"/>
  <c r="N13" i="4"/>
  <c r="Q10" i="8"/>
  <c r="AB32" i="7"/>
  <c r="AC32" i="7" s="1"/>
  <c r="S12" i="4"/>
  <c r="AB48" i="3"/>
  <c r="AC47" i="3"/>
  <c r="Q12" i="4"/>
  <c r="S9" i="7"/>
  <c r="AB47" i="1"/>
  <c r="AC47" i="1" s="1"/>
  <c r="AA27" i="6"/>
  <c r="Z26" i="6"/>
  <c r="Q11" i="8"/>
  <c r="AF46" i="8"/>
  <c r="R12" i="4"/>
  <c r="R11" i="4"/>
  <c r="R10" i="2"/>
  <c r="AC46" i="7"/>
  <c r="AB47" i="7"/>
  <c r="AA40" i="8"/>
  <c r="Z39" i="8"/>
  <c r="AA39" i="8" s="1"/>
  <c r="AB55" i="7"/>
  <c r="AC56" i="7"/>
  <c r="Z11" i="7"/>
  <c r="T11" i="7" s="1"/>
  <c r="U11" i="7"/>
  <c r="Q11" i="7"/>
  <c r="R11" i="7"/>
  <c r="V11" i="7"/>
  <c r="S11" i="7"/>
  <c r="N12" i="7"/>
  <c r="W11" i="7"/>
  <c r="T12" i="8"/>
  <c r="N13" i="8"/>
  <c r="R12" i="8"/>
  <c r="W12" i="8"/>
  <c r="S12" i="8" s="1"/>
  <c r="Q12" i="8"/>
  <c r="AF42" i="6"/>
  <c r="AE41" i="6"/>
  <c r="N12" i="6"/>
  <c r="T11" i="6"/>
  <c r="R11" i="6"/>
  <c r="W11" i="6"/>
  <c r="S11" i="6" s="1"/>
  <c r="Q11" i="6"/>
  <c r="AF32" i="8"/>
  <c r="AE33" i="8"/>
  <c r="AB26" i="5"/>
  <c r="AC27" i="5"/>
  <c r="AB41" i="5"/>
  <c r="AC42" i="5"/>
  <c r="AA27" i="8"/>
  <c r="Z26" i="8"/>
  <c r="AE33" i="6"/>
  <c r="AF32" i="6"/>
  <c r="AE33" i="4"/>
  <c r="AF32" i="4"/>
  <c r="AA42" i="4"/>
  <c r="Z41" i="4"/>
  <c r="AE48" i="4"/>
  <c r="AF47" i="4"/>
  <c r="AC27" i="3"/>
  <c r="AB26" i="3"/>
  <c r="AG25" i="3"/>
  <c r="AH26" i="3"/>
  <c r="Z33" i="2"/>
  <c r="AA32" i="2"/>
  <c r="AC62" i="3"/>
  <c r="AB63" i="3"/>
  <c r="AF26" i="2"/>
  <c r="AE25" i="2"/>
  <c r="B34" i="5"/>
  <c r="B33" i="5"/>
  <c r="B35" i="5"/>
  <c r="AA33" i="8"/>
  <c r="Z34" i="8"/>
  <c r="AA34" i="8" s="1"/>
  <c r="R10" i="6"/>
  <c r="AC31" i="5"/>
  <c r="AB32" i="5"/>
  <c r="Z11" i="5"/>
  <c r="T11" i="5" s="1"/>
  <c r="U11" i="5"/>
  <c r="Q11" i="5"/>
  <c r="S11" i="5"/>
  <c r="R11" i="5"/>
  <c r="W11" i="5"/>
  <c r="V11" i="5"/>
  <c r="N12" i="5"/>
  <c r="AB26" i="7"/>
  <c r="AC27" i="7"/>
  <c r="F31" i="6"/>
  <c r="O8" i="6" s="1"/>
  <c r="AA9" i="6"/>
  <c r="AA42" i="6"/>
  <c r="Z41" i="6"/>
  <c r="AC57" i="5"/>
  <c r="AB56" i="5"/>
  <c r="AG39" i="5"/>
  <c r="AH39" i="5" s="1"/>
  <c r="AH40" i="5"/>
  <c r="Z11" i="3"/>
  <c r="T11" i="3" s="1"/>
  <c r="U11" i="3"/>
  <c r="Q11" i="3"/>
  <c r="N12" i="3"/>
  <c r="W11" i="3"/>
  <c r="S11" i="3"/>
  <c r="V11" i="3"/>
  <c r="R11" i="3"/>
  <c r="Q13" i="4"/>
  <c r="W13" i="4"/>
  <c r="S13" i="4" s="1"/>
  <c r="T13" i="4"/>
  <c r="N14" i="4"/>
  <c r="R13" i="4"/>
  <c r="AG34" i="5"/>
  <c r="AH34" i="5" s="1"/>
  <c r="AH33" i="5"/>
  <c r="AC46" i="5"/>
  <c r="AB47" i="5"/>
  <c r="AF26" i="4"/>
  <c r="AE25" i="4"/>
  <c r="AB55" i="3"/>
  <c r="AC56" i="3"/>
  <c r="B35" i="1"/>
  <c r="B33" i="1"/>
  <c r="B34" i="1"/>
  <c r="AB33" i="1"/>
  <c r="AC32" i="1"/>
  <c r="AF42" i="8"/>
  <c r="AE41" i="8"/>
  <c r="Z49" i="8"/>
  <c r="AA49" i="8" s="1"/>
  <c r="AA48" i="8"/>
  <c r="AB40" i="7"/>
  <c r="AC41" i="7"/>
  <c r="Z47" i="4"/>
  <c r="AA46" i="4"/>
  <c r="AG48" i="5"/>
  <c r="AH47" i="5"/>
  <c r="AF47" i="6"/>
  <c r="AE48" i="6"/>
  <c r="B34" i="3"/>
  <c r="B35" i="3"/>
  <c r="B33" i="3"/>
  <c r="AE48" i="2"/>
  <c r="R9" i="4"/>
  <c r="R10" i="4"/>
  <c r="AH27" i="1"/>
  <c r="AG26" i="1"/>
  <c r="AF40" i="2"/>
  <c r="AE39" i="2"/>
  <c r="AF39" i="2" s="1"/>
  <c r="W11" i="2"/>
  <c r="S11" i="2" s="1"/>
  <c r="R11" i="2"/>
  <c r="Q11" i="2"/>
  <c r="N12" i="2"/>
  <c r="T11" i="2"/>
  <c r="AB41" i="1"/>
  <c r="AC42" i="1"/>
  <c r="AC62" i="1"/>
  <c r="AB63" i="1"/>
  <c r="AB55" i="1"/>
  <c r="AC56" i="1"/>
  <c r="AG39" i="1"/>
  <c r="AH39" i="1" s="1"/>
  <c r="AE25" i="8"/>
  <c r="AF26" i="8"/>
  <c r="AG33" i="7"/>
  <c r="AH32" i="7"/>
  <c r="AG41" i="7"/>
  <c r="AH42" i="7"/>
  <c r="AH47" i="7"/>
  <c r="AG48" i="7"/>
  <c r="AE48" i="8"/>
  <c r="AF47" i="8"/>
  <c r="Z47" i="6"/>
  <c r="AA46" i="6"/>
  <c r="AC62" i="7"/>
  <c r="AB63" i="7"/>
  <c r="R11" i="8"/>
  <c r="Z32" i="6"/>
  <c r="AA31" i="6"/>
  <c r="AG25" i="5"/>
  <c r="AH26" i="5"/>
  <c r="AC31" i="3"/>
  <c r="AB32" i="3"/>
  <c r="AB41" i="3"/>
  <c r="AC42" i="3"/>
  <c r="Z32" i="4"/>
  <c r="AA31" i="4"/>
  <c r="AH47" i="3"/>
  <c r="AG48" i="3"/>
  <c r="AH31" i="1"/>
  <c r="AG32" i="1"/>
  <c r="AF42" i="4"/>
  <c r="AE41" i="4"/>
  <c r="AH32" i="3"/>
  <c r="AG33" i="3"/>
  <c r="AE32" i="2"/>
  <c r="AF31" i="2"/>
  <c r="AC26" i="1"/>
  <c r="AB25" i="1"/>
  <c r="S11" i="1"/>
  <c r="V11" i="1"/>
  <c r="R11" i="1"/>
  <c r="N12" i="1"/>
  <c r="Z11" i="1"/>
  <c r="T11" i="1" s="1"/>
  <c r="U11" i="1"/>
  <c r="Q11" i="1"/>
  <c r="W11" i="1"/>
  <c r="AA27" i="4"/>
  <c r="Z26" i="4"/>
  <c r="AH41" i="3"/>
  <c r="AG40" i="3"/>
  <c r="S10" i="1"/>
  <c r="AG48" i="1"/>
  <c r="AH47" i="1"/>
  <c r="F31" i="8" l="1"/>
  <c r="O8" i="8" s="1"/>
  <c r="AA9" i="2"/>
  <c r="AB33" i="7"/>
  <c r="AB63" i="5"/>
  <c r="AC62" i="5"/>
  <c r="AB48" i="1"/>
  <c r="AB49" i="1" s="1"/>
  <c r="AC49" i="1" s="1"/>
  <c r="AA9" i="4"/>
  <c r="AC10" i="7"/>
  <c r="B50" i="3"/>
  <c r="B52" i="3" s="1"/>
  <c r="F31" i="3" s="1"/>
  <c r="O8" i="3" s="1"/>
  <c r="AB49" i="3"/>
  <c r="AC49" i="3" s="1"/>
  <c r="AC48" i="3"/>
  <c r="Z25" i="6"/>
  <c r="AA26" i="6"/>
  <c r="F32" i="2"/>
  <c r="F33" i="2" s="1"/>
  <c r="P11" i="2" s="1"/>
  <c r="U11" i="2" s="1"/>
  <c r="Z33" i="4"/>
  <c r="AA32" i="4"/>
  <c r="AH25" i="5"/>
  <c r="AG24" i="5"/>
  <c r="AH24" i="5" s="1"/>
  <c r="AB64" i="7"/>
  <c r="AC64" i="7" s="1"/>
  <c r="AC63" i="7"/>
  <c r="AH33" i="7"/>
  <c r="AG34" i="7"/>
  <c r="AH34" i="7" s="1"/>
  <c r="AB64" i="1"/>
  <c r="AC64" i="1" s="1"/>
  <c r="AC63" i="1"/>
  <c r="F32" i="7"/>
  <c r="B48" i="1"/>
  <c r="B50" i="1" s="1"/>
  <c r="AB48" i="5"/>
  <c r="AC47" i="5"/>
  <c r="AC56" i="5"/>
  <c r="AB55" i="5"/>
  <c r="AC26" i="7"/>
  <c r="AB25" i="7"/>
  <c r="F32" i="4"/>
  <c r="AH25" i="3"/>
  <c r="AG24" i="3"/>
  <c r="AH24" i="3" s="1"/>
  <c r="AE49" i="4"/>
  <c r="AF49" i="4" s="1"/>
  <c r="AF48" i="4"/>
  <c r="Z25" i="8"/>
  <c r="AA26" i="8"/>
  <c r="O49" i="2"/>
  <c r="U8" i="2"/>
  <c r="AG49" i="1"/>
  <c r="AH49" i="1" s="1"/>
  <c r="AH48" i="1"/>
  <c r="AG39" i="3"/>
  <c r="AH39" i="3" s="1"/>
  <c r="AH40" i="3"/>
  <c r="S12" i="1"/>
  <c r="V12" i="1"/>
  <c r="R12" i="1"/>
  <c r="W12" i="1"/>
  <c r="Z12" i="1"/>
  <c r="T12" i="1" s="1"/>
  <c r="U12" i="1"/>
  <c r="Q12" i="1"/>
  <c r="N13" i="1"/>
  <c r="AE40" i="4"/>
  <c r="AF41" i="4"/>
  <c r="AG49" i="3"/>
  <c r="AH49" i="3" s="1"/>
  <c r="AH48" i="3"/>
  <c r="AE49" i="8"/>
  <c r="AF49" i="8" s="1"/>
  <c r="AF48" i="8"/>
  <c r="AG25" i="1"/>
  <c r="AH26" i="1"/>
  <c r="AG49" i="5"/>
  <c r="AH49" i="5" s="1"/>
  <c r="AH48" i="5"/>
  <c r="Z48" i="4"/>
  <c r="AA47" i="4"/>
  <c r="AF25" i="4"/>
  <c r="AE24" i="4"/>
  <c r="AF24" i="4" s="1"/>
  <c r="Q14" i="4"/>
  <c r="N15" i="4"/>
  <c r="R14" i="4"/>
  <c r="W14" i="4"/>
  <c r="S14" i="4" s="1"/>
  <c r="P14" i="4"/>
  <c r="T14" i="4"/>
  <c r="O49" i="6"/>
  <c r="U8" i="6"/>
  <c r="Z12" i="5"/>
  <c r="T12" i="5" s="1"/>
  <c r="U12" i="5"/>
  <c r="Q12" i="5"/>
  <c r="S12" i="5"/>
  <c r="N13" i="5"/>
  <c r="R12" i="5"/>
  <c r="W12" i="5"/>
  <c r="V12" i="5"/>
  <c r="O49" i="8"/>
  <c r="U8" i="8"/>
  <c r="AE24" i="2"/>
  <c r="AF24" i="2" s="1"/>
  <c r="AF25" i="2"/>
  <c r="AB25" i="3"/>
  <c r="AC26" i="3"/>
  <c r="Z40" i="4"/>
  <c r="AA41" i="4"/>
  <c r="AE34" i="4"/>
  <c r="AF34" i="4" s="1"/>
  <c r="AF33" i="4"/>
  <c r="AB25" i="5"/>
  <c r="AC26" i="5"/>
  <c r="W12" i="6"/>
  <c r="S12" i="6" s="1"/>
  <c r="R12" i="6"/>
  <c r="T12" i="6"/>
  <c r="N13" i="6"/>
  <c r="Q12" i="6"/>
  <c r="T13" i="8"/>
  <c r="W13" i="8"/>
  <c r="S13" i="8" s="1"/>
  <c r="N14" i="8"/>
  <c r="R13" i="8"/>
  <c r="Q13" i="8"/>
  <c r="AE33" i="2"/>
  <c r="AF32" i="2"/>
  <c r="AB40" i="3"/>
  <c r="AC41" i="3"/>
  <c r="Z33" i="6"/>
  <c r="AA32" i="6"/>
  <c r="AH48" i="7"/>
  <c r="AG49" i="7"/>
  <c r="AH49" i="7" s="1"/>
  <c r="AG40" i="7"/>
  <c r="AH41" i="7"/>
  <c r="AE24" i="8"/>
  <c r="AF24" i="8" s="1"/>
  <c r="AF25" i="8"/>
  <c r="AE49" i="2"/>
  <c r="AF49" i="2" s="1"/>
  <c r="AF48" i="2"/>
  <c r="AE49" i="6"/>
  <c r="AF49" i="6" s="1"/>
  <c r="AF48" i="6"/>
  <c r="AB34" i="7"/>
  <c r="AC34" i="7" s="1"/>
  <c r="AC33" i="7"/>
  <c r="AF41" i="8"/>
  <c r="AE40" i="8"/>
  <c r="AC33" i="1"/>
  <c r="AB34" i="1"/>
  <c r="AC34" i="1" s="1"/>
  <c r="Z40" i="6"/>
  <c r="AA41" i="6"/>
  <c r="F32" i="6"/>
  <c r="F32" i="8"/>
  <c r="AA33" i="2"/>
  <c r="Z34" i="2"/>
  <c r="AA34" i="2" s="1"/>
  <c r="AF33" i="8"/>
  <c r="AE34" i="8"/>
  <c r="AF34" i="8" s="1"/>
  <c r="Z12" i="7"/>
  <c r="T12" i="7" s="1"/>
  <c r="U12" i="7"/>
  <c r="Q12" i="7"/>
  <c r="S12" i="7"/>
  <c r="R12" i="7"/>
  <c r="N13" i="7"/>
  <c r="W12" i="7"/>
  <c r="V12" i="7"/>
  <c r="AC47" i="7"/>
  <c r="AB48" i="7"/>
  <c r="Z25" i="4"/>
  <c r="AA26" i="4"/>
  <c r="AB24" i="1"/>
  <c r="AC24" i="1" s="1"/>
  <c r="AC25" i="1"/>
  <c r="AG34" i="3"/>
  <c r="AH34" i="3" s="1"/>
  <c r="AH33" i="3"/>
  <c r="AH32" i="1"/>
  <c r="AG33" i="1"/>
  <c r="AC32" i="3"/>
  <c r="AB33" i="3"/>
  <c r="Z48" i="6"/>
  <c r="AA47" i="6"/>
  <c r="AB54" i="1"/>
  <c r="AC54" i="1" s="1"/>
  <c r="AC55" i="1"/>
  <c r="AC41" i="1"/>
  <c r="AB40" i="1"/>
  <c r="T12" i="2"/>
  <c r="W12" i="2"/>
  <c r="S12" i="2" s="1"/>
  <c r="Q12" i="2"/>
  <c r="N13" i="2"/>
  <c r="R12" i="2"/>
  <c r="O49" i="7"/>
  <c r="X8" i="7"/>
  <c r="AB39" i="7"/>
  <c r="AC39" i="7" s="1"/>
  <c r="AC40" i="7"/>
  <c r="AC55" i="3"/>
  <c r="AB54" i="3"/>
  <c r="AC54" i="3" s="1"/>
  <c r="Z12" i="3"/>
  <c r="T12" i="3" s="1"/>
  <c r="U12" i="3"/>
  <c r="Q12" i="3"/>
  <c r="N13" i="3"/>
  <c r="W12" i="3"/>
  <c r="S12" i="3"/>
  <c r="V12" i="3"/>
  <c r="R12" i="3"/>
  <c r="AC32" i="5"/>
  <c r="AB33" i="5"/>
  <c r="B50" i="5"/>
  <c r="B52" i="5" s="1"/>
  <c r="O49" i="4"/>
  <c r="U8" i="4"/>
  <c r="AB64" i="3"/>
  <c r="AC64" i="3" s="1"/>
  <c r="AC63" i="3"/>
  <c r="AE34" i="6"/>
  <c r="AF34" i="6" s="1"/>
  <c r="AF33" i="6"/>
  <c r="AC41" i="5"/>
  <c r="AB40" i="5"/>
  <c r="AE40" i="6"/>
  <c r="AF41" i="6"/>
  <c r="AC55" i="7"/>
  <c r="AB54" i="7"/>
  <c r="AC54" i="7" s="1"/>
  <c r="AB64" i="5" l="1"/>
  <c r="AC64" i="5" s="1"/>
  <c r="AC63" i="5"/>
  <c r="AC48" i="1"/>
  <c r="F32" i="3"/>
  <c r="F33" i="3" s="1"/>
  <c r="P12" i="3" s="1"/>
  <c r="X12" i="3" s="1"/>
  <c r="AC10" i="3"/>
  <c r="AA25" i="6"/>
  <c r="Z24" i="6"/>
  <c r="AA24" i="6" s="1"/>
  <c r="P12" i="2"/>
  <c r="U12" i="2" s="1"/>
  <c r="P10" i="2"/>
  <c r="U10" i="2" s="1"/>
  <c r="AB39" i="1"/>
  <c r="AC39" i="1" s="1"/>
  <c r="AC40" i="1"/>
  <c r="AF40" i="6"/>
  <c r="AE39" i="6"/>
  <c r="AF39" i="6" s="1"/>
  <c r="Z13" i="3"/>
  <c r="T13" i="3" s="1"/>
  <c r="U13" i="3"/>
  <c r="Q13" i="3"/>
  <c r="W13" i="3"/>
  <c r="S13" i="3"/>
  <c r="N14" i="3"/>
  <c r="V13" i="3"/>
  <c r="R13" i="3"/>
  <c r="Z49" i="6"/>
  <c r="AA49" i="6" s="1"/>
  <c r="AA48" i="6"/>
  <c r="P9" i="2"/>
  <c r="Z13" i="7"/>
  <c r="T13" i="7" s="1"/>
  <c r="U13" i="7"/>
  <c r="Q13" i="7"/>
  <c r="W13" i="7"/>
  <c r="R13" i="7"/>
  <c r="S13" i="7"/>
  <c r="N14" i="7"/>
  <c r="V13" i="7"/>
  <c r="F33" i="6"/>
  <c r="P11" i="6" s="1"/>
  <c r="U11" i="6" s="1"/>
  <c r="AC40" i="3"/>
  <c r="AB39" i="3"/>
  <c r="AC39" i="3" s="1"/>
  <c r="AB24" i="5"/>
  <c r="AC24" i="5" s="1"/>
  <c r="AC25" i="5"/>
  <c r="AA40" i="4"/>
  <c r="Z39" i="4"/>
  <c r="AA39" i="4" s="1"/>
  <c r="F31" i="5"/>
  <c r="O8" i="5" s="1"/>
  <c r="AC10" i="5"/>
  <c r="Z13" i="5"/>
  <c r="T13" i="5" s="1"/>
  <c r="U13" i="5"/>
  <c r="Q13" i="5"/>
  <c r="W13" i="5"/>
  <c r="R13" i="5"/>
  <c r="V13" i="5"/>
  <c r="S13" i="5"/>
  <c r="N14" i="5"/>
  <c r="Q15" i="4"/>
  <c r="W15" i="4"/>
  <c r="S15" i="4" s="1"/>
  <c r="P15" i="4"/>
  <c r="T15" i="4"/>
  <c r="N16" i="4"/>
  <c r="R15" i="4"/>
  <c r="AE39" i="4"/>
  <c r="AF39" i="4" s="1"/>
  <c r="AF40" i="4"/>
  <c r="AA25" i="8"/>
  <c r="Z24" i="8"/>
  <c r="AA24" i="8" s="1"/>
  <c r="AB54" i="5"/>
  <c r="AC54" i="5" s="1"/>
  <c r="AC55" i="5"/>
  <c r="AB49" i="5"/>
  <c r="AC49" i="5" s="1"/>
  <c r="AC48" i="5"/>
  <c r="AC40" i="5"/>
  <c r="AB39" i="5"/>
  <c r="AC39" i="5" s="1"/>
  <c r="T13" i="2"/>
  <c r="P13" i="2"/>
  <c r="N14" i="2"/>
  <c r="R13" i="2"/>
  <c r="Q13" i="2"/>
  <c r="W13" i="2"/>
  <c r="S13" i="2" s="1"/>
  <c r="AC33" i="3"/>
  <c r="AB34" i="3"/>
  <c r="AC34" i="3" s="1"/>
  <c r="AC33" i="5"/>
  <c r="AB34" i="5"/>
  <c r="AC34" i="5" s="1"/>
  <c r="O49" i="3"/>
  <c r="X8" i="3"/>
  <c r="AA25" i="4"/>
  <c r="Z24" i="4"/>
  <c r="AA24" i="4" s="1"/>
  <c r="AB49" i="7"/>
  <c r="AC49" i="7" s="1"/>
  <c r="AC48" i="7"/>
  <c r="F33" i="8"/>
  <c r="P13" i="8" s="1"/>
  <c r="U13" i="8" s="1"/>
  <c r="AA40" i="6"/>
  <c r="Z39" i="6"/>
  <c r="AA39" i="6" s="1"/>
  <c r="AF40" i="8"/>
  <c r="AE39" i="8"/>
  <c r="AF39" i="8" s="1"/>
  <c r="AG39" i="7"/>
  <c r="AH39" i="7" s="1"/>
  <c r="AH40" i="7"/>
  <c r="Z34" i="6"/>
  <c r="AA34" i="6" s="1"/>
  <c r="AA33" i="6"/>
  <c r="AE34" i="2"/>
  <c r="AF34" i="2" s="1"/>
  <c r="AF33" i="2"/>
  <c r="T14" i="8"/>
  <c r="P14" i="8"/>
  <c r="N15" i="8"/>
  <c r="R14" i="8"/>
  <c r="W14" i="8"/>
  <c r="S14" i="8"/>
  <c r="Q14" i="8"/>
  <c r="AB24" i="3"/>
  <c r="AC24" i="3" s="1"/>
  <c r="AC25" i="3"/>
  <c r="U14" i="4"/>
  <c r="W13" i="1"/>
  <c r="S13" i="1"/>
  <c r="N14" i="1"/>
  <c r="V13" i="1"/>
  <c r="R13" i="1"/>
  <c r="Z13" i="1"/>
  <c r="T13" i="1" s="1"/>
  <c r="U13" i="1"/>
  <c r="Q13" i="1"/>
  <c r="F33" i="4"/>
  <c r="P10" i="4" s="1"/>
  <c r="U10" i="4" s="1"/>
  <c r="B52" i="1"/>
  <c r="AC10" i="1"/>
  <c r="Z34" i="4"/>
  <c r="AA34" i="4" s="1"/>
  <c r="AA33" i="4"/>
  <c r="AH33" i="1"/>
  <c r="AG34" i="1"/>
  <c r="AH34" i="1" s="1"/>
  <c r="W13" i="6"/>
  <c r="S13" i="6" s="1"/>
  <c r="R13" i="6"/>
  <c r="N14" i="6"/>
  <c r="Q13" i="6"/>
  <c r="T13" i="6"/>
  <c r="Z49" i="4"/>
  <c r="AA49" i="4" s="1"/>
  <c r="AA48" i="4"/>
  <c r="AG24" i="1"/>
  <c r="AH24" i="1" s="1"/>
  <c r="AH25" i="1"/>
  <c r="AC25" i="7"/>
  <c r="AB24" i="7"/>
  <c r="AC24" i="7" s="1"/>
  <c r="F33" i="7"/>
  <c r="P12" i="7" s="1"/>
  <c r="X12" i="7" s="1"/>
  <c r="P13" i="6" l="1"/>
  <c r="U13" i="6" s="1"/>
  <c r="P11" i="3"/>
  <c r="X11" i="3" s="1"/>
  <c r="P9" i="4"/>
  <c r="U9" i="4" s="1"/>
  <c r="P10" i="6"/>
  <c r="U10" i="6" s="1"/>
  <c r="P13" i="4"/>
  <c r="U13" i="4" s="1"/>
  <c r="P12" i="4"/>
  <c r="U12" i="4" s="1"/>
  <c r="P9" i="6"/>
  <c r="U9" i="6" s="1"/>
  <c r="P12" i="6"/>
  <c r="U12" i="6" s="1"/>
  <c r="P9" i="8"/>
  <c r="U9" i="8" s="1"/>
  <c r="P12" i="8"/>
  <c r="U12" i="8" s="1"/>
  <c r="P11" i="8"/>
  <c r="U11" i="8" s="1"/>
  <c r="P10" i="7"/>
  <c r="X10" i="7" s="1"/>
  <c r="P9" i="7"/>
  <c r="X9" i="7" s="1"/>
  <c r="P11" i="4"/>
  <c r="U11" i="4" s="1"/>
  <c r="P13" i="3"/>
  <c r="X13" i="3" s="1"/>
  <c r="F31" i="1"/>
  <c r="O8" i="1" s="1"/>
  <c r="T15" i="8"/>
  <c r="P15" i="8"/>
  <c r="N16" i="8"/>
  <c r="R15" i="8"/>
  <c r="Q15" i="8"/>
  <c r="W15" i="8"/>
  <c r="S15" i="8" s="1"/>
  <c r="U15" i="4"/>
  <c r="O49" i="5"/>
  <c r="X8" i="5"/>
  <c r="N15" i="3"/>
  <c r="V14" i="3"/>
  <c r="R14" i="3"/>
  <c r="Z14" i="3"/>
  <c r="T14" i="3" s="1"/>
  <c r="U14" i="3"/>
  <c r="Q14" i="3"/>
  <c r="P14" i="3"/>
  <c r="S14" i="3"/>
  <c r="W14" i="3"/>
  <c r="P10" i="3"/>
  <c r="X10" i="3" s="1"/>
  <c r="Q14" i="1"/>
  <c r="P14" i="1"/>
  <c r="W14" i="1"/>
  <c r="S14" i="1"/>
  <c r="Z14" i="1"/>
  <c r="T14" i="1" s="1"/>
  <c r="N15" i="1"/>
  <c r="V14" i="1"/>
  <c r="R14" i="1"/>
  <c r="U14" i="1"/>
  <c r="U14" i="8"/>
  <c r="N15" i="7"/>
  <c r="V14" i="7"/>
  <c r="R14" i="7"/>
  <c r="W14" i="7"/>
  <c r="Q14" i="7"/>
  <c r="P14" i="7"/>
  <c r="U14" i="7"/>
  <c r="S14" i="7"/>
  <c r="Z14" i="7"/>
  <c r="T14" i="7" s="1"/>
  <c r="T14" i="2"/>
  <c r="P14" i="2"/>
  <c r="N15" i="2"/>
  <c r="R14" i="2"/>
  <c r="Q14" i="2"/>
  <c r="W14" i="2"/>
  <c r="S14" i="2" s="1"/>
  <c r="T16" i="4"/>
  <c r="P16" i="4"/>
  <c r="N17" i="4"/>
  <c r="R16" i="4"/>
  <c r="W16" i="4"/>
  <c r="Q16" i="4"/>
  <c r="S16" i="4"/>
  <c r="P13" i="7"/>
  <c r="X13" i="7" s="1"/>
  <c r="U9" i="2"/>
  <c r="W14" i="6"/>
  <c r="S14" i="6" s="1"/>
  <c r="R14" i="6"/>
  <c r="T14" i="6"/>
  <c r="Q14" i="6"/>
  <c r="P14" i="6"/>
  <c r="N15" i="6"/>
  <c r="P11" i="7"/>
  <c r="X11" i="7" s="1"/>
  <c r="P10" i="8"/>
  <c r="U10" i="8" s="1"/>
  <c r="U13" i="2"/>
  <c r="N15" i="5"/>
  <c r="V14" i="5"/>
  <c r="R14" i="5"/>
  <c r="W14" i="5"/>
  <c r="Q14" i="5"/>
  <c r="Z14" i="5"/>
  <c r="T14" i="5" s="1"/>
  <c r="S14" i="5"/>
  <c r="P14" i="5"/>
  <c r="U14" i="5"/>
  <c r="F32" i="5"/>
  <c r="P9" i="3"/>
  <c r="U14" i="6" l="1"/>
  <c r="U16" i="4"/>
  <c r="X14" i="3"/>
  <c r="U15" i="8"/>
  <c r="F32" i="1"/>
  <c r="X9" i="3"/>
  <c r="W15" i="5"/>
  <c r="S15" i="5"/>
  <c r="V15" i="5"/>
  <c r="Q15" i="5"/>
  <c r="U15" i="5"/>
  <c r="N16" i="5"/>
  <c r="P15" i="5"/>
  <c r="Z15" i="5"/>
  <c r="T15" i="5" s="1"/>
  <c r="R15" i="5"/>
  <c r="N16" i="1"/>
  <c r="R15" i="1"/>
  <c r="Z15" i="1"/>
  <c r="T15" i="1" s="1"/>
  <c r="U15" i="1"/>
  <c r="Q15" i="1"/>
  <c r="P15" i="1"/>
  <c r="W15" i="1"/>
  <c r="S15" i="1"/>
  <c r="V15" i="1"/>
  <c r="X14" i="1"/>
  <c r="X14" i="5"/>
  <c r="N16" i="2"/>
  <c r="T15" i="2"/>
  <c r="P15" i="2"/>
  <c r="S15" i="2"/>
  <c r="R15" i="2"/>
  <c r="Q15" i="2"/>
  <c r="W15" i="2"/>
  <c r="X14" i="7"/>
  <c r="T16" i="8"/>
  <c r="P16" i="8"/>
  <c r="N17" i="8"/>
  <c r="R16" i="8"/>
  <c r="W16" i="8"/>
  <c r="S16" i="8" s="1"/>
  <c r="Q16" i="8"/>
  <c r="F33" i="5"/>
  <c r="P10" i="5" s="1"/>
  <c r="X10" i="5" s="1"/>
  <c r="W15" i="6"/>
  <c r="R15" i="6"/>
  <c r="Q15" i="6"/>
  <c r="T15" i="6"/>
  <c r="S15" i="6"/>
  <c r="N16" i="6"/>
  <c r="P15" i="6"/>
  <c r="T17" i="4"/>
  <c r="P17" i="4"/>
  <c r="N18" i="4"/>
  <c r="R17" i="4"/>
  <c r="Q17" i="4"/>
  <c r="W17" i="4"/>
  <c r="S17" i="4" s="1"/>
  <c r="U14" i="2"/>
  <c r="N16" i="7"/>
  <c r="W15" i="7"/>
  <c r="S15" i="7"/>
  <c r="V15" i="7"/>
  <c r="Q15" i="7"/>
  <c r="U15" i="7"/>
  <c r="R15" i="7"/>
  <c r="P15" i="7"/>
  <c r="Z15" i="7"/>
  <c r="T15" i="7" s="1"/>
  <c r="W15" i="3"/>
  <c r="S15" i="3"/>
  <c r="N16" i="3"/>
  <c r="V15" i="3"/>
  <c r="R15" i="3"/>
  <c r="Z15" i="3"/>
  <c r="T15" i="3" s="1"/>
  <c r="U15" i="3"/>
  <c r="Q15" i="3"/>
  <c r="P15" i="3"/>
  <c r="O49" i="1"/>
  <c r="X8" i="1"/>
  <c r="P13" i="5" l="1"/>
  <c r="X13" i="5" s="1"/>
  <c r="P12" i="5"/>
  <c r="X12" i="5" s="1"/>
  <c r="P9" i="5"/>
  <c r="X9" i="5" s="1"/>
  <c r="P11" i="5"/>
  <c r="X11" i="5" s="1"/>
  <c r="P16" i="3"/>
  <c r="N17" i="3"/>
  <c r="W16" i="3"/>
  <c r="S16" i="3"/>
  <c r="V16" i="3"/>
  <c r="R16" i="3"/>
  <c r="Z16" i="3"/>
  <c r="T16" i="3" s="1"/>
  <c r="U16" i="3"/>
  <c r="Q16" i="3"/>
  <c r="Q16" i="6"/>
  <c r="N17" i="6"/>
  <c r="P16" i="6"/>
  <c r="R16" i="6"/>
  <c r="W16" i="6"/>
  <c r="S16" i="6" s="1"/>
  <c r="T16" i="6"/>
  <c r="T17" i="8"/>
  <c r="P17" i="8"/>
  <c r="R17" i="8"/>
  <c r="Q17" i="8"/>
  <c r="N18" i="8"/>
  <c r="W17" i="8"/>
  <c r="S17" i="8" s="1"/>
  <c r="X15" i="5"/>
  <c r="X15" i="3"/>
  <c r="W16" i="7"/>
  <c r="S16" i="7"/>
  <c r="V16" i="7"/>
  <c r="Q16" i="7"/>
  <c r="Z16" i="7"/>
  <c r="T16" i="7" s="1"/>
  <c r="R16" i="7"/>
  <c r="N17" i="7"/>
  <c r="P16" i="7"/>
  <c r="U16" i="7"/>
  <c r="U17" i="4"/>
  <c r="U16" i="8"/>
  <c r="U15" i="2"/>
  <c r="X15" i="1"/>
  <c r="X15" i="7"/>
  <c r="P16" i="5"/>
  <c r="N17" i="5"/>
  <c r="V16" i="5"/>
  <c r="Q16" i="5"/>
  <c r="Z16" i="5"/>
  <c r="T16" i="5" s="1"/>
  <c r="R16" i="5"/>
  <c r="W16" i="5"/>
  <c r="S16" i="5"/>
  <c r="U16" i="5"/>
  <c r="F33" i="1"/>
  <c r="P10" i="1" s="1"/>
  <c r="X10" i="1" s="1"/>
  <c r="T18" i="4"/>
  <c r="P18" i="4"/>
  <c r="N19" i="4"/>
  <c r="R18" i="4"/>
  <c r="W18" i="4"/>
  <c r="S18" i="4" s="1"/>
  <c r="Q18" i="4"/>
  <c r="U15" i="6"/>
  <c r="N17" i="2"/>
  <c r="W16" i="2"/>
  <c r="S16" i="2" s="1"/>
  <c r="R16" i="2"/>
  <c r="Q16" i="2"/>
  <c r="P16" i="2"/>
  <c r="T16" i="2"/>
  <c r="N17" i="1"/>
  <c r="W16" i="1"/>
  <c r="V16" i="1"/>
  <c r="R16" i="1"/>
  <c r="Z16" i="1"/>
  <c r="T16" i="1" s="1"/>
  <c r="U16" i="1"/>
  <c r="Q16" i="1"/>
  <c r="S16" i="1"/>
  <c r="P16" i="1"/>
  <c r="P11" i="1" l="1"/>
  <c r="X11" i="1" s="1"/>
  <c r="P12" i="1"/>
  <c r="X12" i="1" s="1"/>
  <c r="P9" i="1"/>
  <c r="X9" i="1" s="1"/>
  <c r="P13" i="1"/>
  <c r="X13" i="1" s="1"/>
  <c r="U16" i="2"/>
  <c r="P17" i="5"/>
  <c r="U17" i="5"/>
  <c r="S17" i="5"/>
  <c r="Z17" i="5"/>
  <c r="T17" i="5" s="1"/>
  <c r="R17" i="5"/>
  <c r="V17" i="5"/>
  <c r="N18" i="5"/>
  <c r="Q17" i="5"/>
  <c r="W17" i="5"/>
  <c r="X16" i="7"/>
  <c r="U17" i="8"/>
  <c r="P17" i="3"/>
  <c r="N18" i="3"/>
  <c r="W17" i="3"/>
  <c r="S17" i="3"/>
  <c r="V17" i="3"/>
  <c r="R17" i="3"/>
  <c r="Z17" i="3"/>
  <c r="T17" i="3" s="1"/>
  <c r="U17" i="3"/>
  <c r="Q17" i="3"/>
  <c r="X16" i="1"/>
  <c r="W17" i="2"/>
  <c r="S17" i="2" s="1"/>
  <c r="R17" i="2"/>
  <c r="N18" i="2"/>
  <c r="Q17" i="2"/>
  <c r="P17" i="2"/>
  <c r="T17" i="2"/>
  <c r="X16" i="5"/>
  <c r="P17" i="7"/>
  <c r="V17" i="7"/>
  <c r="Q17" i="7"/>
  <c r="U17" i="7"/>
  <c r="Z17" i="7"/>
  <c r="T17" i="7" s="1"/>
  <c r="W17" i="7"/>
  <c r="R17" i="7"/>
  <c r="N18" i="7"/>
  <c r="S17" i="7"/>
  <c r="T18" i="8"/>
  <c r="P18" i="8"/>
  <c r="R18" i="8"/>
  <c r="Q18" i="8"/>
  <c r="W18" i="8"/>
  <c r="S18" i="8" s="1"/>
  <c r="N19" i="8"/>
  <c r="U16" i="6"/>
  <c r="X16" i="3"/>
  <c r="N18" i="1"/>
  <c r="W17" i="1"/>
  <c r="S17" i="1"/>
  <c r="V17" i="1"/>
  <c r="R17" i="1"/>
  <c r="Z17" i="1"/>
  <c r="T17" i="1" s="1"/>
  <c r="U17" i="1"/>
  <c r="Q17" i="1"/>
  <c r="P17" i="1"/>
  <c r="T19" i="4"/>
  <c r="P19" i="4"/>
  <c r="S19" i="4"/>
  <c r="N20" i="4"/>
  <c r="R19" i="4"/>
  <c r="W19" i="4"/>
  <c r="Q19" i="4"/>
  <c r="Q17" i="6"/>
  <c r="W17" i="6"/>
  <c r="S17" i="6" s="1"/>
  <c r="P17" i="6"/>
  <c r="N18" i="6"/>
  <c r="R17" i="6"/>
  <c r="T17" i="6"/>
  <c r="U18" i="4"/>
  <c r="U19" i="4" l="1"/>
  <c r="W18" i="2"/>
  <c r="S18" i="2" s="1"/>
  <c r="R18" i="2"/>
  <c r="Q18" i="2"/>
  <c r="N19" i="2"/>
  <c r="T18" i="2"/>
  <c r="P18" i="2"/>
  <c r="P18" i="3"/>
  <c r="W18" i="3"/>
  <c r="S18" i="3"/>
  <c r="N19" i="3"/>
  <c r="V18" i="3"/>
  <c r="R18" i="3"/>
  <c r="Z18" i="3"/>
  <c r="T18" i="3" s="1"/>
  <c r="U18" i="3"/>
  <c r="Q18" i="3"/>
  <c r="P18" i="5"/>
  <c r="Z18" i="5"/>
  <c r="T18" i="5" s="1"/>
  <c r="S18" i="5"/>
  <c r="U18" i="5"/>
  <c r="N19" i="5"/>
  <c r="R18" i="5"/>
  <c r="Q18" i="5"/>
  <c r="W18" i="5"/>
  <c r="V18" i="5"/>
  <c r="X17" i="7"/>
  <c r="X17" i="3"/>
  <c r="Q18" i="6"/>
  <c r="W18" i="6"/>
  <c r="S18" i="6" s="1"/>
  <c r="T18" i="6"/>
  <c r="R18" i="6"/>
  <c r="P18" i="6"/>
  <c r="N19" i="6"/>
  <c r="T20" i="4"/>
  <c r="P20" i="4"/>
  <c r="N21" i="4"/>
  <c r="R20" i="4"/>
  <c r="W20" i="4"/>
  <c r="Q20" i="4"/>
  <c r="S20" i="4"/>
  <c r="X17" i="1"/>
  <c r="Q19" i="8"/>
  <c r="N20" i="8"/>
  <c r="R19" i="8"/>
  <c r="P19" i="8"/>
  <c r="S19" i="8"/>
  <c r="W19" i="8"/>
  <c r="T19" i="8"/>
  <c r="Z18" i="7"/>
  <c r="T18" i="7" s="1"/>
  <c r="U18" i="7"/>
  <c r="Q18" i="7"/>
  <c r="V18" i="7"/>
  <c r="P18" i="7"/>
  <c r="R18" i="7"/>
  <c r="W18" i="7"/>
  <c r="N19" i="7"/>
  <c r="S18" i="7"/>
  <c r="U17" i="2"/>
  <c r="X17" i="5"/>
  <c r="U17" i="6"/>
  <c r="W18" i="1"/>
  <c r="S18" i="1"/>
  <c r="N19" i="1"/>
  <c r="V18" i="1"/>
  <c r="R18" i="1"/>
  <c r="Z18" i="1"/>
  <c r="T18" i="1" s="1"/>
  <c r="U18" i="1"/>
  <c r="Q18" i="1"/>
  <c r="P18" i="1"/>
  <c r="U18" i="8"/>
  <c r="U18" i="6" l="1"/>
  <c r="N20" i="7"/>
  <c r="V19" i="7"/>
  <c r="R19" i="7"/>
  <c r="U19" i="7"/>
  <c r="P19" i="7"/>
  <c r="T19" i="7"/>
  <c r="W19" i="7"/>
  <c r="Z19" i="7"/>
  <c r="S19" i="7"/>
  <c r="Q19" i="7"/>
  <c r="Q20" i="8"/>
  <c r="T20" i="8"/>
  <c r="W20" i="8"/>
  <c r="P20" i="8"/>
  <c r="S20" i="8"/>
  <c r="N21" i="8"/>
  <c r="R20" i="8"/>
  <c r="U20" i="4"/>
  <c r="Z19" i="3"/>
  <c r="U19" i="3"/>
  <c r="Q19" i="3"/>
  <c r="T19" i="3"/>
  <c r="P19" i="3"/>
  <c r="W19" i="3"/>
  <c r="S19" i="3"/>
  <c r="R19" i="3"/>
  <c r="N20" i="3"/>
  <c r="V19" i="3"/>
  <c r="W19" i="2"/>
  <c r="R19" i="2"/>
  <c r="Q19" i="2"/>
  <c r="T19" i="2"/>
  <c r="N20" i="2"/>
  <c r="S19" i="2"/>
  <c r="P19" i="2"/>
  <c r="Z19" i="5"/>
  <c r="U19" i="5"/>
  <c r="Q19" i="5"/>
  <c r="S19" i="5"/>
  <c r="W19" i="5"/>
  <c r="P19" i="5"/>
  <c r="V19" i="5"/>
  <c r="T19" i="5"/>
  <c r="R19" i="5"/>
  <c r="N20" i="5"/>
  <c r="X18" i="5"/>
  <c r="U18" i="2"/>
  <c r="X18" i="1"/>
  <c r="N22" i="4"/>
  <c r="T21" i="4"/>
  <c r="P21" i="4"/>
  <c r="S21" i="4"/>
  <c r="R21" i="4"/>
  <c r="W21" i="4"/>
  <c r="Q21" i="4"/>
  <c r="X18" i="3"/>
  <c r="T19" i="1"/>
  <c r="P19" i="1"/>
  <c r="W19" i="1"/>
  <c r="S19" i="1"/>
  <c r="N20" i="1"/>
  <c r="V19" i="1"/>
  <c r="R19" i="1"/>
  <c r="Z19" i="1"/>
  <c r="U19" i="1"/>
  <c r="Q19" i="1"/>
  <c r="X18" i="7"/>
  <c r="U19" i="8"/>
  <c r="Q19" i="6"/>
  <c r="W19" i="6"/>
  <c r="P19" i="6"/>
  <c r="T19" i="6"/>
  <c r="N20" i="6"/>
  <c r="S19" i="6"/>
  <c r="R19" i="6"/>
  <c r="N23" i="4" l="1"/>
  <c r="S22" i="4"/>
  <c r="W22" i="4"/>
  <c r="Q22" i="4"/>
  <c r="P22" i="4"/>
  <c r="T22" i="4"/>
  <c r="R22" i="4"/>
  <c r="U19" i="2"/>
  <c r="N21" i="3"/>
  <c r="V20" i="3"/>
  <c r="R20" i="3"/>
  <c r="Z20" i="3"/>
  <c r="U20" i="3"/>
  <c r="Q20" i="3"/>
  <c r="T20" i="3"/>
  <c r="P20" i="3"/>
  <c r="W20" i="3"/>
  <c r="S20" i="3"/>
  <c r="X19" i="3"/>
  <c r="U19" i="6"/>
  <c r="U20" i="8"/>
  <c r="X19" i="1"/>
  <c r="U21" i="4"/>
  <c r="N21" i="5"/>
  <c r="V20" i="5"/>
  <c r="R20" i="5"/>
  <c r="S20" i="5"/>
  <c r="T20" i="5"/>
  <c r="Z20" i="5"/>
  <c r="Q20" i="5"/>
  <c r="W20" i="5"/>
  <c r="U20" i="5"/>
  <c r="P20" i="5"/>
  <c r="X19" i="5"/>
  <c r="W20" i="2"/>
  <c r="R20" i="2"/>
  <c r="Q20" i="2"/>
  <c r="T20" i="2"/>
  <c r="P20" i="2"/>
  <c r="S20" i="2"/>
  <c r="N21" i="2"/>
  <c r="X19" i="7"/>
  <c r="W20" i="7"/>
  <c r="S20" i="7"/>
  <c r="N21" i="7"/>
  <c r="U20" i="7"/>
  <c r="P20" i="7"/>
  <c r="Q20" i="7"/>
  <c r="T20" i="7"/>
  <c r="R20" i="7"/>
  <c r="Z20" i="7"/>
  <c r="V20" i="7"/>
  <c r="Q20" i="6"/>
  <c r="S20" i="6"/>
  <c r="T20" i="6"/>
  <c r="N21" i="6"/>
  <c r="W20" i="6"/>
  <c r="R20" i="6"/>
  <c r="P20" i="6"/>
  <c r="Z20" i="1"/>
  <c r="U20" i="1"/>
  <c r="Q20" i="1"/>
  <c r="T20" i="1"/>
  <c r="P20" i="1"/>
  <c r="W20" i="1"/>
  <c r="S20" i="1"/>
  <c r="N21" i="1"/>
  <c r="V20" i="1"/>
  <c r="R20" i="1"/>
  <c r="Q21" i="8"/>
  <c r="N22" i="8"/>
  <c r="T21" i="8"/>
  <c r="P21" i="8"/>
  <c r="W21" i="8"/>
  <c r="R21" i="8"/>
  <c r="S21" i="8"/>
  <c r="U21" i="8" l="1"/>
  <c r="X20" i="5"/>
  <c r="T22" i="8"/>
  <c r="P22" i="8"/>
  <c r="N23" i="8"/>
  <c r="S22" i="8"/>
  <c r="R22" i="8"/>
  <c r="Q22" i="8"/>
  <c r="W22" i="8"/>
  <c r="X20" i="3"/>
  <c r="T21" i="7"/>
  <c r="P21" i="7"/>
  <c r="N22" i="7"/>
  <c r="U21" i="7"/>
  <c r="S21" i="7"/>
  <c r="R21" i="7"/>
  <c r="Q21" i="7"/>
  <c r="W21" i="7"/>
  <c r="V21" i="7"/>
  <c r="Z21" i="7"/>
  <c r="W21" i="2"/>
  <c r="R21" i="2"/>
  <c r="Q21" i="2"/>
  <c r="N22" i="2"/>
  <c r="T21" i="2"/>
  <c r="P21" i="2"/>
  <c r="S21" i="2"/>
  <c r="X20" i="1"/>
  <c r="Q21" i="6"/>
  <c r="W21" i="6"/>
  <c r="P21" i="6"/>
  <c r="S21" i="6"/>
  <c r="N22" i="6"/>
  <c r="T21" i="6"/>
  <c r="R21" i="6"/>
  <c r="N22" i="1"/>
  <c r="V21" i="1"/>
  <c r="R21" i="1"/>
  <c r="Z21" i="1"/>
  <c r="U21" i="1"/>
  <c r="Q21" i="1"/>
  <c r="T21" i="1"/>
  <c r="P21" i="1"/>
  <c r="W21" i="1"/>
  <c r="S21" i="1"/>
  <c r="U20" i="6"/>
  <c r="X20" i="7"/>
  <c r="U20" i="2"/>
  <c r="W21" i="5"/>
  <c r="S21" i="5"/>
  <c r="R21" i="5"/>
  <c r="V21" i="5"/>
  <c r="P21" i="5"/>
  <c r="U21" i="5"/>
  <c r="N22" i="5"/>
  <c r="Z21" i="5"/>
  <c r="T21" i="5"/>
  <c r="Q21" i="5"/>
  <c r="W21" i="3"/>
  <c r="S21" i="3"/>
  <c r="N22" i="3"/>
  <c r="V21" i="3"/>
  <c r="R21" i="3"/>
  <c r="Z21" i="3"/>
  <c r="U21" i="3"/>
  <c r="Q21" i="3"/>
  <c r="T21" i="3"/>
  <c r="P21" i="3"/>
  <c r="U22" i="4"/>
  <c r="S23" i="4"/>
  <c r="N24" i="4"/>
  <c r="T23" i="4"/>
  <c r="R23" i="4"/>
  <c r="W23" i="4"/>
  <c r="Q23" i="4"/>
  <c r="P23" i="4"/>
  <c r="X21" i="1" l="1"/>
  <c r="N25" i="4"/>
  <c r="Q24" i="4"/>
  <c r="T24" i="4"/>
  <c r="S24" i="4"/>
  <c r="R24" i="4"/>
  <c r="P24" i="4"/>
  <c r="W24" i="4"/>
  <c r="T22" i="5"/>
  <c r="P22" i="5"/>
  <c r="W22" i="5"/>
  <c r="R22" i="5"/>
  <c r="N23" i="5"/>
  <c r="S22" i="5"/>
  <c r="Z22" i="5"/>
  <c r="Q22" i="5"/>
  <c r="V22" i="5"/>
  <c r="U22" i="5"/>
  <c r="W22" i="1"/>
  <c r="S22" i="1"/>
  <c r="N23" i="1"/>
  <c r="V22" i="1"/>
  <c r="R22" i="1"/>
  <c r="Z22" i="1"/>
  <c r="U22" i="1"/>
  <c r="Q22" i="1"/>
  <c r="T22" i="1"/>
  <c r="P22" i="1"/>
  <c r="Z22" i="7"/>
  <c r="U22" i="7"/>
  <c r="Q22" i="7"/>
  <c r="N23" i="7"/>
  <c r="T22" i="7"/>
  <c r="W22" i="7"/>
  <c r="P22" i="7"/>
  <c r="R22" i="7"/>
  <c r="S22" i="7"/>
  <c r="V22" i="7"/>
  <c r="U21" i="6"/>
  <c r="Q22" i="2"/>
  <c r="T22" i="2"/>
  <c r="P22" i="2"/>
  <c r="N23" i="2"/>
  <c r="S22" i="2"/>
  <c r="R22" i="2"/>
  <c r="W22" i="2"/>
  <c r="X21" i="7"/>
  <c r="T23" i="8"/>
  <c r="P23" i="8"/>
  <c r="S23" i="8"/>
  <c r="W23" i="8"/>
  <c r="N24" i="8"/>
  <c r="Q23" i="8"/>
  <c r="R23" i="8"/>
  <c r="T22" i="3"/>
  <c r="P22" i="3"/>
  <c r="W22" i="3"/>
  <c r="S22" i="3"/>
  <c r="N23" i="3"/>
  <c r="V22" i="3"/>
  <c r="R22" i="3"/>
  <c r="Q22" i="3"/>
  <c r="Z22" i="3"/>
  <c r="U22" i="3"/>
  <c r="X21" i="5"/>
  <c r="U22" i="8"/>
  <c r="U23" i="4"/>
  <c r="X21" i="3"/>
  <c r="T22" i="6"/>
  <c r="P22" i="6"/>
  <c r="N23" i="6"/>
  <c r="R22" i="6"/>
  <c r="Q22" i="6"/>
  <c r="W22" i="6"/>
  <c r="S22" i="6"/>
  <c r="U21" i="2"/>
  <c r="U22" i="2" l="1"/>
  <c r="U24" i="4"/>
  <c r="X22" i="3"/>
  <c r="W24" i="8"/>
  <c r="R24" i="8"/>
  <c r="N25" i="8"/>
  <c r="Q24" i="8"/>
  <c r="S24" i="8"/>
  <c r="P24" i="8"/>
  <c r="T24" i="8"/>
  <c r="V23" i="7"/>
  <c r="R23" i="7"/>
  <c r="Z23" i="7"/>
  <c r="T23" i="7"/>
  <c r="S23" i="7"/>
  <c r="P23" i="7"/>
  <c r="U23" i="7"/>
  <c r="Q23" i="7"/>
  <c r="N24" i="7"/>
  <c r="W23" i="7"/>
  <c r="X22" i="1"/>
  <c r="T23" i="6"/>
  <c r="P23" i="6"/>
  <c r="Q23" i="6"/>
  <c r="R23" i="6"/>
  <c r="N24" i="6"/>
  <c r="W23" i="6"/>
  <c r="S23" i="6"/>
  <c r="N24" i="3"/>
  <c r="Z23" i="3"/>
  <c r="U23" i="3"/>
  <c r="Q23" i="3"/>
  <c r="T23" i="3"/>
  <c r="P23" i="3"/>
  <c r="W23" i="3"/>
  <c r="S23" i="3"/>
  <c r="V23" i="3"/>
  <c r="R23" i="3"/>
  <c r="N24" i="2"/>
  <c r="Q23" i="2"/>
  <c r="T23" i="2"/>
  <c r="P23" i="2"/>
  <c r="S23" i="2"/>
  <c r="W23" i="2"/>
  <c r="R23" i="2"/>
  <c r="X22" i="7"/>
  <c r="U22" i="6"/>
  <c r="X22" i="5"/>
  <c r="S25" i="4"/>
  <c r="P25" i="4"/>
  <c r="T25" i="4"/>
  <c r="N26" i="4"/>
  <c r="R25" i="4"/>
  <c r="W25" i="4"/>
  <c r="Q25" i="4"/>
  <c r="U23" i="8"/>
  <c r="T23" i="1"/>
  <c r="P23" i="1"/>
  <c r="W23" i="1"/>
  <c r="S23" i="1"/>
  <c r="V23" i="1"/>
  <c r="R23" i="1"/>
  <c r="N24" i="1"/>
  <c r="Z23" i="1"/>
  <c r="U23" i="1"/>
  <c r="Q23" i="1"/>
  <c r="N24" i="5"/>
  <c r="Z23" i="5"/>
  <c r="U23" i="5"/>
  <c r="Q23" i="5"/>
  <c r="W23" i="5"/>
  <c r="R23" i="5"/>
  <c r="V23" i="5"/>
  <c r="T23" i="5"/>
  <c r="S23" i="5"/>
  <c r="P23" i="5"/>
  <c r="U24" i="8" l="1"/>
  <c r="X23" i="1"/>
  <c r="U25" i="4"/>
  <c r="U23" i="2"/>
  <c r="X23" i="3"/>
  <c r="W24" i="6"/>
  <c r="R24" i="6"/>
  <c r="P24" i="6"/>
  <c r="T24" i="6"/>
  <c r="Q24" i="6"/>
  <c r="N25" i="6"/>
  <c r="S24" i="6"/>
  <c r="T25" i="8"/>
  <c r="P25" i="8"/>
  <c r="S25" i="8"/>
  <c r="R25" i="8"/>
  <c r="N26" i="8"/>
  <c r="W25" i="8"/>
  <c r="Q25" i="8"/>
  <c r="W24" i="3"/>
  <c r="S24" i="3"/>
  <c r="V24" i="3"/>
  <c r="R24" i="3"/>
  <c r="Z24" i="3"/>
  <c r="U24" i="3"/>
  <c r="Q24" i="3"/>
  <c r="N25" i="3"/>
  <c r="T24" i="3"/>
  <c r="P24" i="3"/>
  <c r="X23" i="5"/>
  <c r="W26" i="4"/>
  <c r="Q26" i="4"/>
  <c r="R26" i="4"/>
  <c r="N27" i="4"/>
  <c r="P26" i="4"/>
  <c r="T26" i="4"/>
  <c r="S26" i="4"/>
  <c r="X23" i="7"/>
  <c r="W24" i="5"/>
  <c r="S24" i="5"/>
  <c r="Z24" i="5"/>
  <c r="T24" i="5"/>
  <c r="U24" i="5"/>
  <c r="N25" i="5"/>
  <c r="R24" i="5"/>
  <c r="P24" i="5"/>
  <c r="V24" i="5"/>
  <c r="Q24" i="5"/>
  <c r="V24" i="1"/>
  <c r="R24" i="1"/>
  <c r="Z24" i="1"/>
  <c r="U24" i="1"/>
  <c r="Q24" i="1"/>
  <c r="N25" i="1"/>
  <c r="T24" i="1"/>
  <c r="P24" i="1"/>
  <c r="W24" i="1"/>
  <c r="S24" i="1"/>
  <c r="S24" i="2"/>
  <c r="W24" i="2"/>
  <c r="R24" i="2"/>
  <c r="N25" i="2"/>
  <c r="Q24" i="2"/>
  <c r="P24" i="2"/>
  <c r="T24" i="2"/>
  <c r="U23" i="6"/>
  <c r="N25" i="7"/>
  <c r="T24" i="7"/>
  <c r="P24" i="7"/>
  <c r="V24" i="7"/>
  <c r="Q24" i="7"/>
  <c r="S24" i="7"/>
  <c r="U24" i="7"/>
  <c r="R24" i="7"/>
  <c r="W24" i="7"/>
  <c r="Z24" i="7"/>
  <c r="X24" i="3" l="1"/>
  <c r="W26" i="8"/>
  <c r="R26" i="8"/>
  <c r="N27" i="8"/>
  <c r="Q26" i="8"/>
  <c r="S26" i="8"/>
  <c r="T26" i="8"/>
  <c r="P26" i="8"/>
  <c r="U24" i="2"/>
  <c r="X24" i="1"/>
  <c r="V25" i="5"/>
  <c r="R25" i="5"/>
  <c r="W25" i="5"/>
  <c r="Q25" i="5"/>
  <c r="P25" i="5"/>
  <c r="U25" i="5"/>
  <c r="T25" i="5"/>
  <c r="S25" i="5"/>
  <c r="Z25" i="5"/>
  <c r="N26" i="5"/>
  <c r="U24" i="6"/>
  <c r="X24" i="7"/>
  <c r="W25" i="7"/>
  <c r="S25" i="7"/>
  <c r="Z25" i="7"/>
  <c r="T25" i="7"/>
  <c r="U25" i="7"/>
  <c r="N26" i="7"/>
  <c r="Q25" i="7"/>
  <c r="V25" i="7"/>
  <c r="P25" i="7"/>
  <c r="R25" i="7"/>
  <c r="U26" i="4"/>
  <c r="V25" i="3"/>
  <c r="R25" i="3"/>
  <c r="Z25" i="3"/>
  <c r="U25" i="3"/>
  <c r="Q25" i="3"/>
  <c r="N26" i="3"/>
  <c r="T25" i="3"/>
  <c r="P25" i="3"/>
  <c r="W25" i="3"/>
  <c r="S25" i="3"/>
  <c r="T25" i="6"/>
  <c r="P25" i="6"/>
  <c r="R25" i="6"/>
  <c r="S25" i="6"/>
  <c r="Q25" i="6"/>
  <c r="N26" i="6"/>
  <c r="W25" i="6"/>
  <c r="N26" i="2"/>
  <c r="Q25" i="2"/>
  <c r="T25" i="2"/>
  <c r="P25" i="2"/>
  <c r="S25" i="2"/>
  <c r="W25" i="2"/>
  <c r="R25" i="2"/>
  <c r="Z25" i="1"/>
  <c r="U25" i="1"/>
  <c r="Q25" i="1"/>
  <c r="N26" i="1"/>
  <c r="T25" i="1"/>
  <c r="P25" i="1"/>
  <c r="W25" i="1"/>
  <c r="S25" i="1"/>
  <c r="V25" i="1"/>
  <c r="R25" i="1"/>
  <c r="X24" i="5"/>
  <c r="T27" i="4"/>
  <c r="P27" i="4"/>
  <c r="R27" i="4"/>
  <c r="N28" i="4"/>
  <c r="Q27" i="4"/>
  <c r="W27" i="4"/>
  <c r="S27" i="4"/>
  <c r="U25" i="8"/>
  <c r="X25" i="7" l="1"/>
  <c r="N27" i="1"/>
  <c r="T26" i="1"/>
  <c r="P26" i="1"/>
  <c r="W26" i="1"/>
  <c r="S26" i="1"/>
  <c r="V26" i="1"/>
  <c r="R26" i="1"/>
  <c r="Z26" i="1"/>
  <c r="U26" i="1"/>
  <c r="Q26" i="1"/>
  <c r="W26" i="6"/>
  <c r="R26" i="6"/>
  <c r="N27" i="6"/>
  <c r="S26" i="6"/>
  <c r="Q26" i="6"/>
  <c r="T26" i="6"/>
  <c r="P26" i="6"/>
  <c r="U25" i="6"/>
  <c r="X25" i="3"/>
  <c r="X25" i="1"/>
  <c r="U27" i="4"/>
  <c r="W28" i="4"/>
  <c r="R28" i="4"/>
  <c r="S28" i="4"/>
  <c r="T28" i="4"/>
  <c r="N29" i="4"/>
  <c r="Q28" i="4"/>
  <c r="P28" i="4"/>
  <c r="V26" i="7"/>
  <c r="R26" i="7"/>
  <c r="W26" i="7"/>
  <c r="Q26" i="7"/>
  <c r="N27" i="7"/>
  <c r="Z26" i="7"/>
  <c r="P26" i="7"/>
  <c r="U26" i="7"/>
  <c r="T26" i="7"/>
  <c r="S26" i="7"/>
  <c r="Z26" i="5"/>
  <c r="U26" i="5"/>
  <c r="Q26" i="5"/>
  <c r="N27" i="5"/>
  <c r="V26" i="5"/>
  <c r="P26" i="5"/>
  <c r="S26" i="5"/>
  <c r="R26" i="5"/>
  <c r="W26" i="5"/>
  <c r="T26" i="5"/>
  <c r="U26" i="8"/>
  <c r="T27" i="8"/>
  <c r="P27" i="8"/>
  <c r="S27" i="8"/>
  <c r="R27" i="8"/>
  <c r="N28" i="8"/>
  <c r="W27" i="8"/>
  <c r="Q27" i="8"/>
  <c r="S26" i="2"/>
  <c r="W26" i="2"/>
  <c r="R26" i="2"/>
  <c r="N27" i="2"/>
  <c r="Q26" i="2"/>
  <c r="T26" i="2"/>
  <c r="P26" i="2"/>
  <c r="Z26" i="3"/>
  <c r="U26" i="3"/>
  <c r="Q26" i="3"/>
  <c r="N27" i="3"/>
  <c r="T26" i="3"/>
  <c r="P26" i="3"/>
  <c r="W26" i="3"/>
  <c r="S26" i="3"/>
  <c r="V26" i="3"/>
  <c r="R26" i="3"/>
  <c r="X25" i="5"/>
  <c r="U25" i="2"/>
  <c r="U28" i="4" l="1"/>
  <c r="U26" i="6"/>
  <c r="N28" i="2"/>
  <c r="Q27" i="2"/>
  <c r="T27" i="2"/>
  <c r="P27" i="2"/>
  <c r="S27" i="2"/>
  <c r="W27" i="2"/>
  <c r="R27" i="2"/>
  <c r="X26" i="5"/>
  <c r="N28" i="3"/>
  <c r="T27" i="3"/>
  <c r="P27" i="3"/>
  <c r="W27" i="3"/>
  <c r="S27" i="3"/>
  <c r="V27" i="3"/>
  <c r="R27" i="3"/>
  <c r="Q27" i="3"/>
  <c r="Z27" i="3"/>
  <c r="U27" i="3"/>
  <c r="U26" i="2"/>
  <c r="U27" i="8"/>
  <c r="X26" i="7"/>
  <c r="X26" i="1"/>
  <c r="W28" i="8"/>
  <c r="R28" i="8"/>
  <c r="N29" i="8"/>
  <c r="Q28" i="8"/>
  <c r="S28" i="8"/>
  <c r="T28" i="8"/>
  <c r="P28" i="8"/>
  <c r="N28" i="5"/>
  <c r="T27" i="5"/>
  <c r="P27" i="5"/>
  <c r="U27" i="5"/>
  <c r="W27" i="5"/>
  <c r="Q27" i="5"/>
  <c r="V27" i="5"/>
  <c r="S27" i="5"/>
  <c r="R27" i="5"/>
  <c r="Z27" i="5"/>
  <c r="T29" i="4"/>
  <c r="P29" i="4"/>
  <c r="S29" i="4"/>
  <c r="R29" i="4"/>
  <c r="Q29" i="4"/>
  <c r="N30" i="4"/>
  <c r="W29" i="4"/>
  <c r="X26" i="3"/>
  <c r="Z27" i="7"/>
  <c r="U27" i="7"/>
  <c r="Q27" i="7"/>
  <c r="W27" i="7"/>
  <c r="R27" i="7"/>
  <c r="N28" i="7"/>
  <c r="T27" i="7"/>
  <c r="S27" i="7"/>
  <c r="V27" i="7"/>
  <c r="P27" i="7"/>
  <c r="T27" i="6"/>
  <c r="P27" i="6"/>
  <c r="N28" i="6"/>
  <c r="R27" i="6"/>
  <c r="W27" i="6"/>
  <c r="S27" i="6"/>
  <c r="Q27" i="6"/>
  <c r="W27" i="1"/>
  <c r="S27" i="1"/>
  <c r="V27" i="1"/>
  <c r="R27" i="1"/>
  <c r="Z27" i="1"/>
  <c r="U27" i="1"/>
  <c r="Q27" i="1"/>
  <c r="N28" i="1"/>
  <c r="T27" i="1"/>
  <c r="P27" i="1"/>
  <c r="U27" i="2" l="1"/>
  <c r="V28" i="1"/>
  <c r="R28" i="1"/>
  <c r="Z28" i="1"/>
  <c r="U28" i="1"/>
  <c r="Q28" i="1"/>
  <c r="N29" i="1"/>
  <c r="T28" i="1"/>
  <c r="P28" i="1"/>
  <c r="W28" i="1"/>
  <c r="S28" i="1"/>
  <c r="X27" i="5"/>
  <c r="W28" i="6"/>
  <c r="R28" i="6"/>
  <c r="S28" i="6"/>
  <c r="P28" i="6"/>
  <c r="T28" i="6"/>
  <c r="N29" i="6"/>
  <c r="Q28" i="6"/>
  <c r="U27" i="6"/>
  <c r="X27" i="3"/>
  <c r="X27" i="1"/>
  <c r="W28" i="5"/>
  <c r="S28" i="5"/>
  <c r="R28" i="5"/>
  <c r="T28" i="5"/>
  <c r="Z28" i="5"/>
  <c r="Q28" i="5"/>
  <c r="V28" i="5"/>
  <c r="U28" i="5"/>
  <c r="N29" i="5"/>
  <c r="P28" i="5"/>
  <c r="X27" i="7"/>
  <c r="N29" i="7"/>
  <c r="T28" i="7"/>
  <c r="P28" i="7"/>
  <c r="V28" i="7"/>
  <c r="Q28" i="7"/>
  <c r="W28" i="7"/>
  <c r="Z28" i="7"/>
  <c r="U28" i="7"/>
  <c r="R28" i="7"/>
  <c r="S28" i="7"/>
  <c r="N31" i="4"/>
  <c r="T30" i="4"/>
  <c r="P30" i="4"/>
  <c r="W30" i="4"/>
  <c r="Q30" i="4"/>
  <c r="S30" i="4"/>
  <c r="R30" i="4"/>
  <c r="U29" i="4"/>
  <c r="U28" i="8"/>
  <c r="T29" i="8"/>
  <c r="P29" i="8"/>
  <c r="N30" i="8"/>
  <c r="S29" i="8"/>
  <c r="W29" i="8"/>
  <c r="R29" i="8"/>
  <c r="Q29" i="8"/>
  <c r="W28" i="3"/>
  <c r="S28" i="3"/>
  <c r="V28" i="3"/>
  <c r="R28" i="3"/>
  <c r="Z28" i="3"/>
  <c r="U28" i="3"/>
  <c r="Q28" i="3"/>
  <c r="T28" i="3"/>
  <c r="N29" i="3"/>
  <c r="P28" i="3"/>
  <c r="S28" i="2"/>
  <c r="W28" i="2"/>
  <c r="R28" i="2"/>
  <c r="N29" i="2"/>
  <c r="Q28" i="2"/>
  <c r="T28" i="2"/>
  <c r="P28" i="2"/>
  <c r="X28" i="3" l="1"/>
  <c r="U28" i="2"/>
  <c r="X28" i="1"/>
  <c r="Q29" i="2"/>
  <c r="T29" i="2"/>
  <c r="P29" i="2"/>
  <c r="N30" i="2"/>
  <c r="S29" i="2"/>
  <c r="R29" i="2"/>
  <c r="W29" i="2"/>
  <c r="N30" i="3"/>
  <c r="V29" i="3"/>
  <c r="R29" i="3"/>
  <c r="Z29" i="3"/>
  <c r="U29" i="3"/>
  <c r="Q29" i="3"/>
  <c r="T29" i="3"/>
  <c r="P29" i="3"/>
  <c r="W29" i="3"/>
  <c r="S29" i="3"/>
  <c r="S31" i="4"/>
  <c r="T31" i="4"/>
  <c r="W31" i="4"/>
  <c r="P31" i="4"/>
  <c r="R31" i="4"/>
  <c r="N32" i="4"/>
  <c r="Q31" i="4"/>
  <c r="X28" i="7"/>
  <c r="X28" i="5"/>
  <c r="U28" i="6"/>
  <c r="N31" i="8"/>
  <c r="T30" i="8"/>
  <c r="P30" i="8"/>
  <c r="S30" i="8"/>
  <c r="W30" i="8"/>
  <c r="R30" i="8"/>
  <c r="Q30" i="8"/>
  <c r="N30" i="5"/>
  <c r="V29" i="5"/>
  <c r="R29" i="5"/>
  <c r="U29" i="5"/>
  <c r="P29" i="5"/>
  <c r="T29" i="5"/>
  <c r="Z29" i="5"/>
  <c r="S29" i="5"/>
  <c r="W29" i="5"/>
  <c r="Q29" i="5"/>
  <c r="Z29" i="1"/>
  <c r="U29" i="1"/>
  <c r="Q29" i="1"/>
  <c r="T29" i="1"/>
  <c r="P29" i="1"/>
  <c r="W29" i="1"/>
  <c r="S29" i="1"/>
  <c r="N30" i="1"/>
  <c r="V29" i="1"/>
  <c r="R29" i="1"/>
  <c r="U29" i="8"/>
  <c r="U30" i="4"/>
  <c r="W29" i="7"/>
  <c r="S29" i="7"/>
  <c r="Z29" i="7"/>
  <c r="T29" i="7"/>
  <c r="Q29" i="7"/>
  <c r="U29" i="7"/>
  <c r="V29" i="7"/>
  <c r="R29" i="7"/>
  <c r="N30" i="7"/>
  <c r="P29" i="7"/>
  <c r="T29" i="6"/>
  <c r="P29" i="6"/>
  <c r="S29" i="6"/>
  <c r="W29" i="6"/>
  <c r="N30" i="6"/>
  <c r="R29" i="6"/>
  <c r="Q29" i="6"/>
  <c r="U29" i="6" l="1"/>
  <c r="S31" i="8"/>
  <c r="W31" i="8"/>
  <c r="R31" i="8"/>
  <c r="Q31" i="8"/>
  <c r="N32" i="8"/>
  <c r="T31" i="8"/>
  <c r="P31" i="8"/>
  <c r="N31" i="3"/>
  <c r="W30" i="3"/>
  <c r="S30" i="3"/>
  <c r="V30" i="3"/>
  <c r="R30" i="3"/>
  <c r="Z30" i="3"/>
  <c r="U30" i="3"/>
  <c r="Q30" i="3"/>
  <c r="T30" i="3"/>
  <c r="P30" i="3"/>
  <c r="Q30" i="2"/>
  <c r="N31" i="2"/>
  <c r="T30" i="2"/>
  <c r="P30" i="2"/>
  <c r="S30" i="2"/>
  <c r="W30" i="2"/>
  <c r="R30" i="2"/>
  <c r="N31" i="6"/>
  <c r="T30" i="6"/>
  <c r="P30" i="6"/>
  <c r="W30" i="6"/>
  <c r="Q30" i="6"/>
  <c r="S30" i="6"/>
  <c r="R30" i="6"/>
  <c r="X29" i="5"/>
  <c r="N31" i="5"/>
  <c r="W30" i="5"/>
  <c r="S30" i="5"/>
  <c r="U30" i="5"/>
  <c r="P30" i="5"/>
  <c r="Q30" i="5"/>
  <c r="V30" i="5"/>
  <c r="Z30" i="5"/>
  <c r="T30" i="5"/>
  <c r="R30" i="5"/>
  <c r="W32" i="4"/>
  <c r="R32" i="4"/>
  <c r="S32" i="4"/>
  <c r="N33" i="4"/>
  <c r="Q32" i="4"/>
  <c r="P32" i="4"/>
  <c r="T32" i="4"/>
  <c r="X29" i="3"/>
  <c r="U29" i="2"/>
  <c r="X29" i="7"/>
  <c r="U30" i="8"/>
  <c r="V30" i="1"/>
  <c r="R30" i="1"/>
  <c r="Z30" i="1"/>
  <c r="U30" i="1"/>
  <c r="Q30" i="1"/>
  <c r="T30" i="1"/>
  <c r="P30" i="1"/>
  <c r="N31" i="1"/>
  <c r="W30" i="1"/>
  <c r="S30" i="1"/>
  <c r="T30" i="7"/>
  <c r="P30" i="7"/>
  <c r="Z30" i="7"/>
  <c r="S30" i="7"/>
  <c r="U30" i="7"/>
  <c r="R30" i="7"/>
  <c r="N31" i="7"/>
  <c r="W30" i="7"/>
  <c r="Q30" i="7"/>
  <c r="V30" i="7"/>
  <c r="X29" i="1"/>
  <c r="U31" i="4"/>
  <c r="U31" i="8" l="1"/>
  <c r="X30" i="1"/>
  <c r="U32" i="4"/>
  <c r="N32" i="3"/>
  <c r="W31" i="3"/>
  <c r="S31" i="3"/>
  <c r="V31" i="3"/>
  <c r="R31" i="3"/>
  <c r="Z31" i="3"/>
  <c r="U31" i="3"/>
  <c r="Q31" i="3"/>
  <c r="T31" i="3"/>
  <c r="P31" i="3"/>
  <c r="U30" i="6"/>
  <c r="N32" i="2"/>
  <c r="T31" i="2"/>
  <c r="P31" i="2"/>
  <c r="S31" i="2"/>
  <c r="W31" i="2"/>
  <c r="R31" i="2"/>
  <c r="Q31" i="2"/>
  <c r="T31" i="7"/>
  <c r="P31" i="7"/>
  <c r="W31" i="7"/>
  <c r="R31" i="7"/>
  <c r="N32" i="7"/>
  <c r="Z31" i="7"/>
  <c r="Q31" i="7"/>
  <c r="U31" i="7"/>
  <c r="V31" i="7"/>
  <c r="S31" i="7"/>
  <c r="Q33" i="4"/>
  <c r="R33" i="4"/>
  <c r="W33" i="4"/>
  <c r="N34" i="4"/>
  <c r="P33" i="4"/>
  <c r="T33" i="4"/>
  <c r="S33" i="4"/>
  <c r="X30" i="7"/>
  <c r="V31" i="1"/>
  <c r="R31" i="1"/>
  <c r="Z31" i="1"/>
  <c r="U31" i="1"/>
  <c r="Q31" i="1"/>
  <c r="T31" i="1"/>
  <c r="P31" i="1"/>
  <c r="N32" i="1"/>
  <c r="W31" i="1"/>
  <c r="S31" i="1"/>
  <c r="X30" i="5"/>
  <c r="N32" i="5"/>
  <c r="W31" i="5"/>
  <c r="S31" i="5"/>
  <c r="U31" i="5"/>
  <c r="P31" i="5"/>
  <c r="T31" i="5"/>
  <c r="Z31" i="5"/>
  <c r="R31" i="5"/>
  <c r="Q31" i="5"/>
  <c r="V31" i="5"/>
  <c r="S31" i="6"/>
  <c r="T31" i="6"/>
  <c r="W31" i="6"/>
  <c r="P31" i="6"/>
  <c r="N32" i="6"/>
  <c r="R31" i="6"/>
  <c r="Q31" i="6"/>
  <c r="U30" i="2"/>
  <c r="X30" i="3"/>
  <c r="W32" i="8"/>
  <c r="R32" i="8"/>
  <c r="Q32" i="8"/>
  <c r="N33" i="8"/>
  <c r="T32" i="8"/>
  <c r="P32" i="8"/>
  <c r="S32" i="8"/>
  <c r="U32" i="8" l="1"/>
  <c r="X31" i="5"/>
  <c r="W32" i="5"/>
  <c r="S32" i="5"/>
  <c r="U32" i="5"/>
  <c r="P32" i="5"/>
  <c r="Z32" i="5"/>
  <c r="R32" i="5"/>
  <c r="N33" i="5"/>
  <c r="Q32" i="5"/>
  <c r="V32" i="5"/>
  <c r="T32" i="5"/>
  <c r="N33" i="1"/>
  <c r="V32" i="1"/>
  <c r="R32" i="1"/>
  <c r="Z32" i="1"/>
  <c r="U32" i="1"/>
  <c r="Q32" i="1"/>
  <c r="T32" i="1"/>
  <c r="P32" i="1"/>
  <c r="W32" i="1"/>
  <c r="S32" i="1"/>
  <c r="Q34" i="4"/>
  <c r="N35" i="4"/>
  <c r="W34" i="4"/>
  <c r="P34" i="4"/>
  <c r="S34" i="4"/>
  <c r="T34" i="4"/>
  <c r="R34" i="4"/>
  <c r="X31" i="7"/>
  <c r="S32" i="2"/>
  <c r="W32" i="2"/>
  <c r="R32" i="2"/>
  <c r="Q32" i="2"/>
  <c r="T32" i="2"/>
  <c r="P32" i="2"/>
  <c r="N33" i="2"/>
  <c r="X31" i="1"/>
  <c r="T32" i="7"/>
  <c r="P32" i="7"/>
  <c r="N33" i="7"/>
  <c r="Z32" i="7"/>
  <c r="S32" i="7"/>
  <c r="R32" i="7"/>
  <c r="W32" i="7"/>
  <c r="V32" i="7"/>
  <c r="U32" i="7"/>
  <c r="Q32" i="7"/>
  <c r="Q33" i="8"/>
  <c r="T33" i="8"/>
  <c r="P33" i="8"/>
  <c r="N34" i="8"/>
  <c r="S33" i="8"/>
  <c r="W33" i="8"/>
  <c r="R33" i="8"/>
  <c r="W32" i="6"/>
  <c r="R32" i="6"/>
  <c r="S32" i="6"/>
  <c r="N33" i="6"/>
  <c r="Q32" i="6"/>
  <c r="T32" i="6"/>
  <c r="P32" i="6"/>
  <c r="U31" i="2"/>
  <c r="X31" i="3"/>
  <c r="U31" i="6"/>
  <c r="U33" i="4"/>
  <c r="W32" i="3"/>
  <c r="S32" i="3"/>
  <c r="N33" i="3"/>
  <c r="V32" i="3"/>
  <c r="R32" i="3"/>
  <c r="Z32" i="3"/>
  <c r="U32" i="3"/>
  <c r="Q32" i="3"/>
  <c r="T32" i="3"/>
  <c r="P32" i="3"/>
  <c r="X32" i="3" l="1"/>
  <c r="U32" i="2"/>
  <c r="X32" i="1"/>
  <c r="T33" i="3"/>
  <c r="P33" i="3"/>
  <c r="W33" i="3"/>
  <c r="S33" i="3"/>
  <c r="N34" i="3"/>
  <c r="V33" i="3"/>
  <c r="R33" i="3"/>
  <c r="Q33" i="3"/>
  <c r="Z33" i="3"/>
  <c r="U33" i="3"/>
  <c r="Z33" i="7"/>
  <c r="U33" i="7"/>
  <c r="Q33" i="7"/>
  <c r="T33" i="7"/>
  <c r="S33" i="7"/>
  <c r="N34" i="7"/>
  <c r="V33" i="7"/>
  <c r="P33" i="7"/>
  <c r="R33" i="7"/>
  <c r="W33" i="7"/>
  <c r="W33" i="2"/>
  <c r="R33" i="2"/>
  <c r="Q33" i="2"/>
  <c r="T33" i="2"/>
  <c r="P33" i="2"/>
  <c r="N34" i="2"/>
  <c r="S33" i="2"/>
  <c r="W33" i="1"/>
  <c r="S33" i="1"/>
  <c r="N34" i="1"/>
  <c r="V33" i="1"/>
  <c r="R33" i="1"/>
  <c r="Z33" i="1"/>
  <c r="U33" i="1"/>
  <c r="Q33" i="1"/>
  <c r="T33" i="1"/>
  <c r="P33" i="1"/>
  <c r="T33" i="5"/>
  <c r="P33" i="5"/>
  <c r="V33" i="5"/>
  <c r="Q33" i="5"/>
  <c r="Z33" i="5"/>
  <c r="R33" i="5"/>
  <c r="N34" i="5"/>
  <c r="W33" i="5"/>
  <c r="U33" i="5"/>
  <c r="S33" i="5"/>
  <c r="Q34" i="8"/>
  <c r="T34" i="8"/>
  <c r="P34" i="8"/>
  <c r="N35" i="8"/>
  <c r="S34" i="8"/>
  <c r="W34" i="8"/>
  <c r="R34" i="8"/>
  <c r="X32" i="7"/>
  <c r="Q35" i="4"/>
  <c r="T35" i="4"/>
  <c r="P35" i="4"/>
  <c r="W35" i="4"/>
  <c r="N36" i="4"/>
  <c r="S35" i="4"/>
  <c r="R35" i="4"/>
  <c r="Q33" i="6"/>
  <c r="R33" i="6"/>
  <c r="W33" i="6"/>
  <c r="S33" i="6"/>
  <c r="T33" i="6"/>
  <c r="P33" i="6"/>
  <c r="N34" i="6"/>
  <c r="U33" i="8"/>
  <c r="U32" i="6"/>
  <c r="U34" i="4"/>
  <c r="X32" i="5"/>
  <c r="X33" i="7" l="1"/>
  <c r="U34" i="8"/>
  <c r="U35" i="4"/>
  <c r="U33" i="6"/>
  <c r="W36" i="4"/>
  <c r="R36" i="4"/>
  <c r="S36" i="4"/>
  <c r="P36" i="4"/>
  <c r="T36" i="4"/>
  <c r="N37" i="4"/>
  <c r="Q36" i="4"/>
  <c r="N35" i="5"/>
  <c r="Z34" i="5"/>
  <c r="U34" i="5"/>
  <c r="Q34" i="5"/>
  <c r="W34" i="5"/>
  <c r="R34" i="5"/>
  <c r="P34" i="5"/>
  <c r="V34" i="5"/>
  <c r="T34" i="5"/>
  <c r="S34" i="5"/>
  <c r="V34" i="7"/>
  <c r="R34" i="7"/>
  <c r="U34" i="7"/>
  <c r="P34" i="7"/>
  <c r="Z34" i="7"/>
  <c r="S34" i="7"/>
  <c r="N35" i="7"/>
  <c r="T34" i="7"/>
  <c r="W34" i="7"/>
  <c r="Q34" i="7"/>
  <c r="Q35" i="8"/>
  <c r="T35" i="8"/>
  <c r="P35" i="8"/>
  <c r="S35" i="8"/>
  <c r="N36" i="8"/>
  <c r="R35" i="8"/>
  <c r="W35" i="8"/>
  <c r="X33" i="5"/>
  <c r="W34" i="2"/>
  <c r="R34" i="2"/>
  <c r="Q34" i="2"/>
  <c r="T34" i="2"/>
  <c r="P34" i="2"/>
  <c r="N35" i="2"/>
  <c r="S34" i="2"/>
  <c r="X33" i="3"/>
  <c r="T34" i="1"/>
  <c r="P34" i="1"/>
  <c r="W34" i="1"/>
  <c r="S34" i="1"/>
  <c r="V34" i="1"/>
  <c r="R34" i="1"/>
  <c r="N35" i="1"/>
  <c r="Z34" i="1"/>
  <c r="U34" i="1"/>
  <c r="Q34" i="1"/>
  <c r="Q34" i="6"/>
  <c r="N35" i="6"/>
  <c r="W34" i="6"/>
  <c r="P34" i="6"/>
  <c r="S34" i="6"/>
  <c r="R34" i="6"/>
  <c r="T34" i="6"/>
  <c r="X33" i="1"/>
  <c r="U33" i="2"/>
  <c r="N35" i="3"/>
  <c r="Z34" i="3"/>
  <c r="U34" i="3"/>
  <c r="Q34" i="3"/>
  <c r="T34" i="3"/>
  <c r="P34" i="3"/>
  <c r="W34" i="3"/>
  <c r="S34" i="3"/>
  <c r="V34" i="3"/>
  <c r="R34" i="3"/>
  <c r="U34" i="6" l="1"/>
  <c r="X34" i="5"/>
  <c r="U35" i="8"/>
  <c r="V35" i="1"/>
  <c r="R35" i="1"/>
  <c r="Z35" i="1"/>
  <c r="U35" i="1"/>
  <c r="Q35" i="1"/>
  <c r="N36" i="1"/>
  <c r="T35" i="1"/>
  <c r="P35" i="1"/>
  <c r="W35" i="1"/>
  <c r="S35" i="1"/>
  <c r="T37" i="4"/>
  <c r="P37" i="4"/>
  <c r="N38" i="4"/>
  <c r="S37" i="4"/>
  <c r="Q37" i="4"/>
  <c r="W37" i="4"/>
  <c r="R37" i="4"/>
  <c r="X34" i="1"/>
  <c r="N36" i="2"/>
  <c r="W35" i="2"/>
  <c r="R35" i="2"/>
  <c r="Q35" i="2"/>
  <c r="T35" i="2"/>
  <c r="P35" i="2"/>
  <c r="S35" i="2"/>
  <c r="X34" i="7"/>
  <c r="U34" i="2"/>
  <c r="W36" i="8"/>
  <c r="R36" i="8"/>
  <c r="N37" i="8"/>
  <c r="Q36" i="8"/>
  <c r="T36" i="8"/>
  <c r="P36" i="8"/>
  <c r="S36" i="8"/>
  <c r="N36" i="7"/>
  <c r="T35" i="7"/>
  <c r="P35" i="7"/>
  <c r="Z35" i="7"/>
  <c r="S35" i="7"/>
  <c r="U35" i="7"/>
  <c r="V35" i="7"/>
  <c r="W35" i="7"/>
  <c r="Q35" i="7"/>
  <c r="R35" i="7"/>
  <c r="W35" i="5"/>
  <c r="S35" i="5"/>
  <c r="U35" i="5"/>
  <c r="P35" i="5"/>
  <c r="Z35" i="5"/>
  <c r="R35" i="5"/>
  <c r="Q35" i="5"/>
  <c r="V35" i="5"/>
  <c r="T35" i="5"/>
  <c r="N36" i="5"/>
  <c r="U36" i="4"/>
  <c r="X34" i="3"/>
  <c r="W35" i="3"/>
  <c r="S35" i="3"/>
  <c r="V35" i="3"/>
  <c r="R35" i="3"/>
  <c r="Z35" i="3"/>
  <c r="U35" i="3"/>
  <c r="Q35" i="3"/>
  <c r="T35" i="3"/>
  <c r="N36" i="3"/>
  <c r="P35" i="3"/>
  <c r="Q35" i="6"/>
  <c r="T35" i="6"/>
  <c r="P35" i="6"/>
  <c r="R35" i="6"/>
  <c r="W35" i="6"/>
  <c r="S35" i="6"/>
  <c r="N36" i="6"/>
  <c r="U35" i="2" l="1"/>
  <c r="U37" i="4"/>
  <c r="W36" i="7"/>
  <c r="S36" i="7"/>
  <c r="V36" i="7"/>
  <c r="Q36" i="7"/>
  <c r="U36" i="7"/>
  <c r="N37" i="7"/>
  <c r="Z36" i="7"/>
  <c r="P36" i="7"/>
  <c r="T36" i="7"/>
  <c r="R36" i="7"/>
  <c r="S36" i="2"/>
  <c r="W36" i="2"/>
  <c r="R36" i="2"/>
  <c r="N37" i="2"/>
  <c r="Q36" i="2"/>
  <c r="T36" i="2"/>
  <c r="P36" i="2"/>
  <c r="X35" i="5"/>
  <c r="X35" i="3"/>
  <c r="V36" i="5"/>
  <c r="R36" i="5"/>
  <c r="W36" i="5"/>
  <c r="Q36" i="5"/>
  <c r="N37" i="5"/>
  <c r="Z36" i="5"/>
  <c r="S36" i="5"/>
  <c r="P36" i="5"/>
  <c r="U36" i="5"/>
  <c r="T36" i="5"/>
  <c r="T37" i="8"/>
  <c r="P37" i="8"/>
  <c r="S37" i="8"/>
  <c r="W37" i="8"/>
  <c r="R37" i="8"/>
  <c r="Q37" i="8"/>
  <c r="N38" i="8"/>
  <c r="N37" i="1"/>
  <c r="Z36" i="1"/>
  <c r="U36" i="1"/>
  <c r="Q36" i="1"/>
  <c r="T36" i="1"/>
  <c r="P36" i="1"/>
  <c r="W36" i="1"/>
  <c r="S36" i="1"/>
  <c r="V36" i="1"/>
  <c r="R36" i="1"/>
  <c r="X35" i="1"/>
  <c r="W36" i="6"/>
  <c r="R36" i="6"/>
  <c r="S36" i="6"/>
  <c r="P36" i="6"/>
  <c r="T36" i="6"/>
  <c r="Q36" i="6"/>
  <c r="N37" i="6"/>
  <c r="U35" i="6"/>
  <c r="V36" i="3"/>
  <c r="R36" i="3"/>
  <c r="N37" i="3"/>
  <c r="Z36" i="3"/>
  <c r="U36" i="3"/>
  <c r="Q36" i="3"/>
  <c r="T36" i="3"/>
  <c r="P36" i="3"/>
  <c r="W36" i="3"/>
  <c r="S36" i="3"/>
  <c r="X35" i="7"/>
  <c r="U36" i="8"/>
  <c r="N39" i="4"/>
  <c r="W38" i="4"/>
  <c r="R38" i="4"/>
  <c r="T38" i="4"/>
  <c r="Q38" i="4"/>
  <c r="P38" i="4"/>
  <c r="S38" i="4"/>
  <c r="X36" i="7" l="1"/>
  <c r="T37" i="5"/>
  <c r="P37" i="5"/>
  <c r="N38" i="5"/>
  <c r="W37" i="5"/>
  <c r="R37" i="5"/>
  <c r="V37" i="5"/>
  <c r="U37" i="5"/>
  <c r="Z37" i="5"/>
  <c r="S37" i="5"/>
  <c r="Q37" i="5"/>
  <c r="X36" i="3"/>
  <c r="U36" i="6"/>
  <c r="U37" i="8"/>
  <c r="X36" i="5"/>
  <c r="S39" i="4"/>
  <c r="N40" i="4"/>
  <c r="T39" i="4"/>
  <c r="R39" i="4"/>
  <c r="W39" i="4"/>
  <c r="Q39" i="4"/>
  <c r="P39" i="4"/>
  <c r="T37" i="3"/>
  <c r="P37" i="3"/>
  <c r="W37" i="3"/>
  <c r="S37" i="3"/>
  <c r="V37" i="3"/>
  <c r="R37" i="3"/>
  <c r="Z37" i="3"/>
  <c r="U37" i="3"/>
  <c r="N38" i="3"/>
  <c r="Q37" i="3"/>
  <c r="T37" i="6"/>
  <c r="P37" i="6"/>
  <c r="N38" i="6"/>
  <c r="S37" i="6"/>
  <c r="R37" i="6"/>
  <c r="W37" i="6"/>
  <c r="Q37" i="6"/>
  <c r="X36" i="1"/>
  <c r="N38" i="2"/>
  <c r="Q37" i="2"/>
  <c r="T37" i="2"/>
  <c r="P37" i="2"/>
  <c r="S37" i="2"/>
  <c r="W37" i="2"/>
  <c r="R37" i="2"/>
  <c r="N38" i="7"/>
  <c r="Z37" i="7"/>
  <c r="U37" i="7"/>
  <c r="Q37" i="7"/>
  <c r="W37" i="7"/>
  <c r="R37" i="7"/>
  <c r="S37" i="7"/>
  <c r="P37" i="7"/>
  <c r="T37" i="7"/>
  <c r="V37" i="7"/>
  <c r="N39" i="8"/>
  <c r="W38" i="8"/>
  <c r="R38" i="8"/>
  <c r="Q38" i="8"/>
  <c r="T38" i="8"/>
  <c r="P38" i="8"/>
  <c r="S38" i="8"/>
  <c r="U38" i="4"/>
  <c r="W37" i="1"/>
  <c r="S37" i="1"/>
  <c r="V37" i="1"/>
  <c r="R37" i="1"/>
  <c r="N38" i="1"/>
  <c r="Z37" i="1"/>
  <c r="U37" i="1"/>
  <c r="Q37" i="1"/>
  <c r="T37" i="1"/>
  <c r="P37" i="1"/>
  <c r="U36" i="2"/>
  <c r="N39" i="2" l="1"/>
  <c r="S38" i="2"/>
  <c r="W38" i="2"/>
  <c r="R38" i="2"/>
  <c r="Q38" i="2"/>
  <c r="T38" i="2"/>
  <c r="P38" i="2"/>
  <c r="T40" i="4"/>
  <c r="P40" i="4"/>
  <c r="N41" i="4"/>
  <c r="Q40" i="4"/>
  <c r="W40" i="4"/>
  <c r="S40" i="4"/>
  <c r="R40" i="4"/>
  <c r="W38" i="7"/>
  <c r="S38" i="7"/>
  <c r="N39" i="7"/>
  <c r="Z38" i="7"/>
  <c r="T38" i="7"/>
  <c r="Q38" i="7"/>
  <c r="P38" i="7"/>
  <c r="V38" i="7"/>
  <c r="R38" i="7"/>
  <c r="U38" i="7"/>
  <c r="U37" i="2"/>
  <c r="X37" i="3"/>
  <c r="N39" i="5"/>
  <c r="V38" i="5"/>
  <c r="R38" i="5"/>
  <c r="Z38" i="5"/>
  <c r="T38" i="5"/>
  <c r="W38" i="5"/>
  <c r="P38" i="5"/>
  <c r="U38" i="5"/>
  <c r="S38" i="5"/>
  <c r="Q38" i="5"/>
  <c r="Z38" i="1"/>
  <c r="U38" i="1"/>
  <c r="Q38" i="1"/>
  <c r="T38" i="1"/>
  <c r="P38" i="1"/>
  <c r="W38" i="1"/>
  <c r="S38" i="1"/>
  <c r="N39" i="1"/>
  <c r="V38" i="1"/>
  <c r="R38" i="1"/>
  <c r="X37" i="1"/>
  <c r="U38" i="8"/>
  <c r="X37" i="7"/>
  <c r="N39" i="6"/>
  <c r="W38" i="6"/>
  <c r="R38" i="6"/>
  <c r="T38" i="6"/>
  <c r="Q38" i="6"/>
  <c r="S38" i="6"/>
  <c r="P38" i="6"/>
  <c r="N39" i="3"/>
  <c r="V38" i="3"/>
  <c r="R38" i="3"/>
  <c r="Z38" i="3"/>
  <c r="U38" i="3"/>
  <c r="Q38" i="3"/>
  <c r="T38" i="3"/>
  <c r="P38" i="3"/>
  <c r="W38" i="3"/>
  <c r="S38" i="3"/>
  <c r="X37" i="5"/>
  <c r="S39" i="8"/>
  <c r="N40" i="8"/>
  <c r="W39" i="8"/>
  <c r="R39" i="8"/>
  <c r="Q39" i="8"/>
  <c r="T39" i="8"/>
  <c r="P39" i="8"/>
  <c r="U37" i="6"/>
  <c r="U39" i="4"/>
  <c r="X38" i="3" l="1"/>
  <c r="U38" i="6"/>
  <c r="N40" i="5"/>
  <c r="W39" i="5"/>
  <c r="S39" i="5"/>
  <c r="U39" i="5"/>
  <c r="P39" i="5"/>
  <c r="V39" i="5"/>
  <c r="T39" i="5"/>
  <c r="Z39" i="5"/>
  <c r="R39" i="5"/>
  <c r="Q39" i="5"/>
  <c r="U38" i="2"/>
  <c r="V39" i="1"/>
  <c r="R39" i="1"/>
  <c r="Z39" i="1"/>
  <c r="U39" i="1"/>
  <c r="Q39" i="1"/>
  <c r="T39" i="1"/>
  <c r="P39" i="1"/>
  <c r="N40" i="1"/>
  <c r="W39" i="1"/>
  <c r="S39" i="1"/>
  <c r="U39" i="8"/>
  <c r="S39" i="6"/>
  <c r="N40" i="6"/>
  <c r="T39" i="6"/>
  <c r="R39" i="6"/>
  <c r="P39" i="6"/>
  <c r="W39" i="6"/>
  <c r="Q39" i="6"/>
  <c r="N42" i="4"/>
  <c r="Q41" i="4"/>
  <c r="T41" i="4"/>
  <c r="W41" i="4"/>
  <c r="S41" i="4"/>
  <c r="R41" i="4"/>
  <c r="P41" i="4"/>
  <c r="T40" i="8"/>
  <c r="P40" i="8"/>
  <c r="S40" i="8"/>
  <c r="N41" i="8"/>
  <c r="W40" i="8"/>
  <c r="R40" i="8"/>
  <c r="Q40" i="8"/>
  <c r="W39" i="3"/>
  <c r="S39" i="3"/>
  <c r="V39" i="3"/>
  <c r="R39" i="3"/>
  <c r="N40" i="3"/>
  <c r="Z39" i="3"/>
  <c r="U39" i="3"/>
  <c r="Q39" i="3"/>
  <c r="P39" i="3"/>
  <c r="T39" i="3"/>
  <c r="X38" i="1"/>
  <c r="X38" i="5"/>
  <c r="X38" i="7"/>
  <c r="T39" i="7"/>
  <c r="P39" i="7"/>
  <c r="U39" i="7"/>
  <c r="W39" i="7"/>
  <c r="Q39" i="7"/>
  <c r="S39" i="7"/>
  <c r="N40" i="7"/>
  <c r="V39" i="7"/>
  <c r="R39" i="7"/>
  <c r="Z39" i="7"/>
  <c r="U40" i="4"/>
  <c r="S39" i="2"/>
  <c r="N40" i="2"/>
  <c r="W39" i="2"/>
  <c r="R39" i="2"/>
  <c r="Q39" i="2"/>
  <c r="T39" i="2"/>
  <c r="P39" i="2"/>
  <c r="U41" i="4" l="1"/>
  <c r="X39" i="3"/>
  <c r="U39" i="6"/>
  <c r="N41" i="1"/>
  <c r="V40" i="1"/>
  <c r="R40" i="1"/>
  <c r="Z40" i="1"/>
  <c r="U40" i="1"/>
  <c r="Q40" i="1"/>
  <c r="T40" i="1"/>
  <c r="P40" i="1"/>
  <c r="W40" i="1"/>
  <c r="S40" i="1"/>
  <c r="Z40" i="3"/>
  <c r="U40" i="3"/>
  <c r="Q40" i="3"/>
  <c r="N41" i="3"/>
  <c r="W40" i="3"/>
  <c r="R40" i="3"/>
  <c r="V40" i="3"/>
  <c r="P40" i="3"/>
  <c r="T40" i="3"/>
  <c r="S40" i="3"/>
  <c r="N42" i="8"/>
  <c r="Q41" i="8"/>
  <c r="T41" i="8"/>
  <c r="P41" i="8"/>
  <c r="S41" i="8"/>
  <c r="W41" i="8"/>
  <c r="R41" i="8"/>
  <c r="T40" i="6"/>
  <c r="P40" i="6"/>
  <c r="N41" i="6"/>
  <c r="Q40" i="6"/>
  <c r="R40" i="6"/>
  <c r="W40" i="6"/>
  <c r="S40" i="6"/>
  <c r="T40" i="7"/>
  <c r="P40" i="7"/>
  <c r="N41" i="7"/>
  <c r="Z40" i="7"/>
  <c r="S40" i="7"/>
  <c r="U40" i="7"/>
  <c r="V40" i="7"/>
  <c r="Q40" i="7"/>
  <c r="W40" i="7"/>
  <c r="R40" i="7"/>
  <c r="U39" i="2"/>
  <c r="X39" i="7"/>
  <c r="U40" i="8"/>
  <c r="S42" i="4"/>
  <c r="P42" i="4"/>
  <c r="R42" i="4"/>
  <c r="N43" i="4"/>
  <c r="W42" i="4"/>
  <c r="T42" i="4"/>
  <c r="Q42" i="4"/>
  <c r="X39" i="1"/>
  <c r="T40" i="2"/>
  <c r="P40" i="2"/>
  <c r="S40" i="2"/>
  <c r="N41" i="2"/>
  <c r="W40" i="2"/>
  <c r="R40" i="2"/>
  <c r="Q40" i="2"/>
  <c r="X39" i="5"/>
  <c r="W40" i="5"/>
  <c r="S40" i="5"/>
  <c r="U40" i="5"/>
  <c r="P40" i="5"/>
  <c r="T40" i="5"/>
  <c r="Z40" i="5"/>
  <c r="R40" i="5"/>
  <c r="N41" i="5"/>
  <c r="V40" i="5"/>
  <c r="Q40" i="5"/>
  <c r="X40" i="5" l="1"/>
  <c r="N42" i="6"/>
  <c r="Q41" i="6"/>
  <c r="T41" i="6"/>
  <c r="W41" i="6"/>
  <c r="P41" i="6"/>
  <c r="S41" i="6"/>
  <c r="R41" i="6"/>
  <c r="X40" i="3"/>
  <c r="V41" i="3"/>
  <c r="R41" i="3"/>
  <c r="Z41" i="3"/>
  <c r="T41" i="3"/>
  <c r="S41" i="3"/>
  <c r="N42" i="3"/>
  <c r="W41" i="3"/>
  <c r="Q41" i="3"/>
  <c r="P41" i="3"/>
  <c r="U41" i="3"/>
  <c r="N42" i="2"/>
  <c r="Q41" i="2"/>
  <c r="T41" i="2"/>
  <c r="P41" i="2"/>
  <c r="S41" i="2"/>
  <c r="W41" i="2"/>
  <c r="R41" i="2"/>
  <c r="U40" i="2"/>
  <c r="U42" i="4"/>
  <c r="N42" i="7"/>
  <c r="Z41" i="7"/>
  <c r="U41" i="7"/>
  <c r="Q41" i="7"/>
  <c r="T41" i="7"/>
  <c r="V41" i="7"/>
  <c r="S41" i="7"/>
  <c r="R41" i="7"/>
  <c r="W41" i="7"/>
  <c r="P41" i="7"/>
  <c r="U40" i="6"/>
  <c r="S42" i="8"/>
  <c r="N43" i="8"/>
  <c r="W42" i="8"/>
  <c r="R42" i="8"/>
  <c r="Q42" i="8"/>
  <c r="P42" i="8"/>
  <c r="T42" i="8"/>
  <c r="W41" i="1"/>
  <c r="S41" i="1"/>
  <c r="V41" i="1"/>
  <c r="R41" i="1"/>
  <c r="N42" i="1"/>
  <c r="Z41" i="1"/>
  <c r="U41" i="1"/>
  <c r="Q41" i="1"/>
  <c r="T41" i="1"/>
  <c r="P41" i="1"/>
  <c r="T41" i="5"/>
  <c r="P41" i="5"/>
  <c r="V41" i="5"/>
  <c r="Q41" i="5"/>
  <c r="S41" i="5"/>
  <c r="Z41" i="5"/>
  <c r="R41" i="5"/>
  <c r="N42" i="5"/>
  <c r="W41" i="5"/>
  <c r="U41" i="5"/>
  <c r="T43" i="4"/>
  <c r="P43" i="4"/>
  <c r="W43" i="4"/>
  <c r="Q43" i="4"/>
  <c r="N44" i="4"/>
  <c r="R43" i="4"/>
  <c r="S43" i="4"/>
  <c r="X40" i="7"/>
  <c r="U41" i="8"/>
  <c r="X40" i="1"/>
  <c r="U42" i="8" l="1"/>
  <c r="U41" i="6"/>
  <c r="T43" i="8"/>
  <c r="P43" i="8"/>
  <c r="S43" i="8"/>
  <c r="N44" i="8"/>
  <c r="W43" i="8"/>
  <c r="R43" i="8"/>
  <c r="Q43" i="8"/>
  <c r="W42" i="7"/>
  <c r="S42" i="7"/>
  <c r="R42" i="7"/>
  <c r="V42" i="7"/>
  <c r="P42" i="7"/>
  <c r="Q42" i="7"/>
  <c r="T42" i="7"/>
  <c r="U42" i="7"/>
  <c r="N43" i="7"/>
  <c r="Z42" i="7"/>
  <c r="U43" i="4"/>
  <c r="V42" i="5"/>
  <c r="R42" i="5"/>
  <c r="W42" i="5"/>
  <c r="Q42" i="5"/>
  <c r="Z42" i="5"/>
  <c r="S42" i="5"/>
  <c r="P42" i="5"/>
  <c r="T42" i="5"/>
  <c r="N43" i="5"/>
  <c r="U42" i="5"/>
  <c r="X41" i="1"/>
  <c r="S42" i="2"/>
  <c r="N43" i="2"/>
  <c r="W42" i="2"/>
  <c r="R42" i="2"/>
  <c r="Q42" i="2"/>
  <c r="T42" i="2"/>
  <c r="P42" i="2"/>
  <c r="Q44" i="4"/>
  <c r="W44" i="4"/>
  <c r="P44" i="4"/>
  <c r="N45" i="4"/>
  <c r="R44" i="4"/>
  <c r="T44" i="4"/>
  <c r="S44" i="4"/>
  <c r="N43" i="1"/>
  <c r="Z42" i="1"/>
  <c r="U42" i="1"/>
  <c r="Q42" i="1"/>
  <c r="T42" i="1"/>
  <c r="P42" i="1"/>
  <c r="W42" i="1"/>
  <c r="S42" i="1"/>
  <c r="V42" i="1"/>
  <c r="R42" i="1"/>
  <c r="U41" i="2"/>
  <c r="N43" i="3"/>
  <c r="T42" i="3"/>
  <c r="P42" i="3"/>
  <c r="W42" i="3"/>
  <c r="R42" i="3"/>
  <c r="V42" i="3"/>
  <c r="Q42" i="3"/>
  <c r="U42" i="3"/>
  <c r="Z42" i="3"/>
  <c r="S42" i="3"/>
  <c r="X41" i="5"/>
  <c r="X41" i="7"/>
  <c r="X41" i="3"/>
  <c r="S42" i="6"/>
  <c r="P42" i="6"/>
  <c r="R42" i="6"/>
  <c r="Q42" i="6"/>
  <c r="N43" i="6"/>
  <c r="W42" i="6"/>
  <c r="T42" i="6"/>
  <c r="U42" i="2" l="1"/>
  <c r="V43" i="7"/>
  <c r="R43" i="7"/>
  <c r="U43" i="7"/>
  <c r="P43" i="7"/>
  <c r="Z43" i="7"/>
  <c r="S43" i="7"/>
  <c r="Q43" i="7"/>
  <c r="W43" i="7"/>
  <c r="T43" i="7"/>
  <c r="N44" i="7"/>
  <c r="W43" i="3"/>
  <c r="S43" i="3"/>
  <c r="U43" i="3"/>
  <c r="P43" i="3"/>
  <c r="Z43" i="3"/>
  <c r="T43" i="3"/>
  <c r="R43" i="3"/>
  <c r="V43" i="3"/>
  <c r="Q43" i="3"/>
  <c r="N44" i="3"/>
  <c r="U44" i="4"/>
  <c r="T43" i="2"/>
  <c r="P43" i="2"/>
  <c r="S43" i="2"/>
  <c r="N44" i="2"/>
  <c r="W43" i="2"/>
  <c r="R43" i="2"/>
  <c r="Q43" i="2"/>
  <c r="Z43" i="5"/>
  <c r="U43" i="5"/>
  <c r="Q43" i="5"/>
  <c r="V43" i="5"/>
  <c r="P43" i="5"/>
  <c r="N44" i="5"/>
  <c r="T43" i="5"/>
  <c r="S43" i="5"/>
  <c r="W43" i="5"/>
  <c r="R43" i="5"/>
  <c r="T43" i="6"/>
  <c r="P43" i="6"/>
  <c r="W43" i="6"/>
  <c r="Q43" i="6"/>
  <c r="N44" i="6"/>
  <c r="R43" i="6"/>
  <c r="S43" i="6"/>
  <c r="W43" i="1"/>
  <c r="S43" i="1"/>
  <c r="V43" i="1"/>
  <c r="R43" i="1"/>
  <c r="N44" i="1"/>
  <c r="Z43" i="1"/>
  <c r="U43" i="1"/>
  <c r="Q43" i="1"/>
  <c r="T43" i="1"/>
  <c r="P43" i="1"/>
  <c r="Q44" i="8"/>
  <c r="N45" i="8"/>
  <c r="T44" i="8"/>
  <c r="P44" i="8"/>
  <c r="S44" i="8"/>
  <c r="W44" i="8"/>
  <c r="R44" i="8"/>
  <c r="U43" i="8"/>
  <c r="T45" i="4"/>
  <c r="P45" i="4"/>
  <c r="R45" i="4"/>
  <c r="W45" i="4"/>
  <c r="N46" i="4"/>
  <c r="S45" i="4"/>
  <c r="Q45" i="4"/>
  <c r="X42" i="7"/>
  <c r="U42" i="6"/>
  <c r="X42" i="3"/>
  <c r="X42" i="1"/>
  <c r="X42" i="5"/>
  <c r="X43" i="7" l="1"/>
  <c r="U43" i="6"/>
  <c r="Q46" i="4"/>
  <c r="R46" i="4"/>
  <c r="N47" i="4"/>
  <c r="P46" i="4"/>
  <c r="W46" i="4"/>
  <c r="T46" i="4"/>
  <c r="S46" i="4"/>
  <c r="U44" i="8"/>
  <c r="X43" i="1"/>
  <c r="Q44" i="6"/>
  <c r="W44" i="6"/>
  <c r="P44" i="6"/>
  <c r="S44" i="6"/>
  <c r="N45" i="6"/>
  <c r="T44" i="6"/>
  <c r="R44" i="6"/>
  <c r="U43" i="2"/>
  <c r="V44" i="3"/>
  <c r="R44" i="3"/>
  <c r="S44" i="3"/>
  <c r="N45" i="3"/>
  <c r="W44" i="3"/>
  <c r="Q44" i="3"/>
  <c r="U44" i="3"/>
  <c r="P44" i="3"/>
  <c r="Z44" i="3"/>
  <c r="T44" i="3"/>
  <c r="Z44" i="1"/>
  <c r="U44" i="1"/>
  <c r="Q44" i="1"/>
  <c r="T44" i="1"/>
  <c r="P44" i="1"/>
  <c r="N45" i="1"/>
  <c r="W44" i="1"/>
  <c r="S44" i="1"/>
  <c r="V44" i="1"/>
  <c r="R44" i="1"/>
  <c r="T44" i="5"/>
  <c r="P44" i="5"/>
  <c r="Z44" i="5"/>
  <c r="S44" i="5"/>
  <c r="V44" i="5"/>
  <c r="N45" i="5"/>
  <c r="U44" i="5"/>
  <c r="R44" i="5"/>
  <c r="Q44" i="5"/>
  <c r="W44" i="5"/>
  <c r="X43" i="3"/>
  <c r="Z44" i="7"/>
  <c r="U44" i="7"/>
  <c r="Q44" i="7"/>
  <c r="S44" i="7"/>
  <c r="R44" i="7"/>
  <c r="V44" i="7"/>
  <c r="N45" i="7"/>
  <c r="P44" i="7"/>
  <c r="T44" i="7"/>
  <c r="W44" i="7"/>
  <c r="U45" i="4"/>
  <c r="T45" i="8"/>
  <c r="P45" i="8"/>
  <c r="S45" i="8"/>
  <c r="N46" i="8"/>
  <c r="W45" i="8"/>
  <c r="R45" i="8"/>
  <c r="Q45" i="8"/>
  <c r="X43" i="5"/>
  <c r="Q44" i="2"/>
  <c r="N45" i="2"/>
  <c r="T44" i="2"/>
  <c r="P44" i="2"/>
  <c r="S44" i="2"/>
  <c r="W44" i="2"/>
  <c r="R44" i="2"/>
  <c r="X44" i="7" l="1"/>
  <c r="X44" i="1"/>
  <c r="U46" i="4"/>
  <c r="U44" i="6"/>
  <c r="U44" i="2"/>
  <c r="Q46" i="8"/>
  <c r="T46" i="8"/>
  <c r="P46" i="8"/>
  <c r="S46" i="8"/>
  <c r="N47" i="8"/>
  <c r="R46" i="8"/>
  <c r="W46" i="8"/>
  <c r="N46" i="7"/>
  <c r="Z45" i="7"/>
  <c r="U45" i="7"/>
  <c r="Q45" i="7"/>
  <c r="W45" i="7"/>
  <c r="R45" i="7"/>
  <c r="T45" i="7"/>
  <c r="P45" i="7"/>
  <c r="V45" i="7"/>
  <c r="S45" i="7"/>
  <c r="T45" i="5"/>
  <c r="P45" i="5"/>
  <c r="W45" i="5"/>
  <c r="R45" i="5"/>
  <c r="N46" i="5"/>
  <c r="Z45" i="5"/>
  <c r="Q45" i="5"/>
  <c r="V45" i="5"/>
  <c r="U45" i="5"/>
  <c r="S45" i="5"/>
  <c r="X44" i="5"/>
  <c r="W47" i="4"/>
  <c r="R47" i="4"/>
  <c r="Q47" i="4"/>
  <c r="T47" i="4"/>
  <c r="P47" i="4"/>
  <c r="N48" i="4"/>
  <c r="S47" i="4"/>
  <c r="T45" i="6"/>
  <c r="P45" i="6"/>
  <c r="R45" i="6"/>
  <c r="N46" i="6"/>
  <c r="S45" i="6"/>
  <c r="W45" i="6"/>
  <c r="Q45" i="6"/>
  <c r="T45" i="2"/>
  <c r="P45" i="2"/>
  <c r="S45" i="2"/>
  <c r="N46" i="2"/>
  <c r="W45" i="2"/>
  <c r="R45" i="2"/>
  <c r="Q45" i="2"/>
  <c r="U45" i="8"/>
  <c r="N46" i="1"/>
  <c r="Z45" i="1"/>
  <c r="U45" i="1"/>
  <c r="Q45" i="1"/>
  <c r="T45" i="1"/>
  <c r="P45" i="1"/>
  <c r="W45" i="1"/>
  <c r="S45" i="1"/>
  <c r="V45" i="1"/>
  <c r="R45" i="1"/>
  <c r="X44" i="3"/>
  <c r="V45" i="3"/>
  <c r="R45" i="3"/>
  <c r="U45" i="3"/>
  <c r="P45" i="3"/>
  <c r="Z45" i="3"/>
  <c r="T45" i="3"/>
  <c r="N46" i="3"/>
  <c r="S45" i="3"/>
  <c r="W45" i="3"/>
  <c r="Q45" i="3"/>
  <c r="U46" i="8" l="1"/>
  <c r="X45" i="7"/>
  <c r="Q46" i="2"/>
  <c r="T46" i="2"/>
  <c r="P46" i="2"/>
  <c r="S46" i="2"/>
  <c r="R46" i="2"/>
  <c r="N47" i="2"/>
  <c r="W46" i="2"/>
  <c r="T48" i="4"/>
  <c r="T49" i="4" s="1"/>
  <c r="P58" i="4" s="1"/>
  <c r="R58" i="4" s="1"/>
  <c r="P48" i="4"/>
  <c r="S48" i="4"/>
  <c r="S49" i="4" s="1"/>
  <c r="R48" i="4"/>
  <c r="R49" i="4" s="1"/>
  <c r="W48" i="4"/>
  <c r="Q48" i="4"/>
  <c r="Q49" i="4" s="1"/>
  <c r="P56" i="4" s="1"/>
  <c r="R56" i="4" s="1"/>
  <c r="V46" i="5"/>
  <c r="R46" i="5"/>
  <c r="S46" i="5"/>
  <c r="U46" i="5"/>
  <c r="N47" i="5"/>
  <c r="T46" i="5"/>
  <c r="P46" i="5"/>
  <c r="Z46" i="5"/>
  <c r="W46" i="5"/>
  <c r="Q46" i="5"/>
  <c r="Q46" i="6"/>
  <c r="R46" i="6"/>
  <c r="W46" i="6"/>
  <c r="P46" i="6"/>
  <c r="N47" i="6"/>
  <c r="T46" i="6"/>
  <c r="S46" i="6"/>
  <c r="X45" i="3"/>
  <c r="U45" i="6"/>
  <c r="U47" i="4"/>
  <c r="W47" i="8"/>
  <c r="R47" i="8"/>
  <c r="N48" i="8"/>
  <c r="Q47" i="8"/>
  <c r="T47" i="8"/>
  <c r="P47" i="8"/>
  <c r="S47" i="8"/>
  <c r="W46" i="1"/>
  <c r="S46" i="1"/>
  <c r="V46" i="1"/>
  <c r="R46" i="1"/>
  <c r="N47" i="1"/>
  <c r="Z46" i="1"/>
  <c r="U46" i="1"/>
  <c r="Q46" i="1"/>
  <c r="T46" i="1"/>
  <c r="P46" i="1"/>
  <c r="X45" i="5"/>
  <c r="T46" i="3"/>
  <c r="P46" i="3"/>
  <c r="N47" i="3"/>
  <c r="W46" i="3"/>
  <c r="R46" i="3"/>
  <c r="V46" i="3"/>
  <c r="Q46" i="3"/>
  <c r="U46" i="3"/>
  <c r="Z46" i="3"/>
  <c r="S46" i="3"/>
  <c r="X45" i="1"/>
  <c r="U45" i="2"/>
  <c r="W46" i="7"/>
  <c r="S46" i="7"/>
  <c r="Z46" i="7"/>
  <c r="T46" i="7"/>
  <c r="R46" i="7"/>
  <c r="U46" i="7"/>
  <c r="V46" i="7"/>
  <c r="P46" i="7"/>
  <c r="N47" i="7"/>
  <c r="Q46" i="7"/>
  <c r="X46" i="5" l="1"/>
  <c r="U47" i="8"/>
  <c r="U46" i="6"/>
  <c r="P57" i="4"/>
  <c r="R57" i="4" s="1"/>
  <c r="R50" i="4"/>
  <c r="U46" i="2"/>
  <c r="T48" i="8"/>
  <c r="T49" i="8" s="1"/>
  <c r="P58" i="8" s="1"/>
  <c r="R58" i="8" s="1"/>
  <c r="P48" i="8"/>
  <c r="S48" i="8"/>
  <c r="S49" i="8" s="1"/>
  <c r="W48" i="8"/>
  <c r="R48" i="8"/>
  <c r="R49" i="8" s="1"/>
  <c r="Q48" i="8"/>
  <c r="Q49" i="8" s="1"/>
  <c r="P56" i="8" s="1"/>
  <c r="R56" i="8" s="1"/>
  <c r="V47" i="3"/>
  <c r="R47" i="3"/>
  <c r="Z47" i="3"/>
  <c r="T47" i="3"/>
  <c r="S47" i="3"/>
  <c r="N48" i="3"/>
  <c r="W47" i="3"/>
  <c r="Q47" i="3"/>
  <c r="U47" i="3"/>
  <c r="P47" i="3"/>
  <c r="X46" i="1"/>
  <c r="T47" i="5"/>
  <c r="P47" i="5"/>
  <c r="V47" i="5"/>
  <c r="Q47" i="5"/>
  <c r="Z47" i="5"/>
  <c r="R47" i="5"/>
  <c r="W47" i="5"/>
  <c r="N48" i="5"/>
  <c r="U47" i="5"/>
  <c r="S47" i="5"/>
  <c r="W47" i="2"/>
  <c r="R47" i="2"/>
  <c r="N48" i="2"/>
  <c r="Q47" i="2"/>
  <c r="T47" i="2"/>
  <c r="P47" i="2"/>
  <c r="S47" i="2"/>
  <c r="N48" i="7"/>
  <c r="Z47" i="7"/>
  <c r="U47" i="7"/>
  <c r="Q47" i="7"/>
  <c r="V47" i="7"/>
  <c r="P47" i="7"/>
  <c r="T47" i="7"/>
  <c r="S47" i="7"/>
  <c r="W47" i="7"/>
  <c r="R47" i="7"/>
  <c r="W47" i="6"/>
  <c r="R47" i="6"/>
  <c r="Q47" i="6"/>
  <c r="T47" i="6"/>
  <c r="P47" i="6"/>
  <c r="S47" i="6"/>
  <c r="N48" i="6"/>
  <c r="X46" i="7"/>
  <c r="X46" i="3"/>
  <c r="N48" i="1"/>
  <c r="Z47" i="1"/>
  <c r="U47" i="1"/>
  <c r="Q47" i="1"/>
  <c r="T47" i="1"/>
  <c r="P47" i="1"/>
  <c r="W47" i="1"/>
  <c r="S47" i="1"/>
  <c r="V47" i="1"/>
  <c r="R47" i="1"/>
  <c r="U48" i="4"/>
  <c r="U49" i="4" s="1"/>
  <c r="AB53" i="4" s="1"/>
  <c r="P49" i="4"/>
  <c r="P55" i="4" s="1"/>
  <c r="X47" i="5" l="1"/>
  <c r="W48" i="7"/>
  <c r="W49" i="7" s="1"/>
  <c r="P59" i="7" s="1"/>
  <c r="R59" i="7" s="1"/>
  <c r="S48" i="7"/>
  <c r="S49" i="7" s="1"/>
  <c r="Z48" i="7"/>
  <c r="T48" i="7"/>
  <c r="T49" i="7" s="1"/>
  <c r="Q48" i="7"/>
  <c r="Q49" i="7" s="1"/>
  <c r="R48" i="7"/>
  <c r="R49" i="7" s="1"/>
  <c r="V48" i="7"/>
  <c r="V49" i="7" s="1"/>
  <c r="U48" i="7"/>
  <c r="U49" i="7" s="1"/>
  <c r="P48" i="7"/>
  <c r="W48" i="1"/>
  <c r="W49" i="1" s="1"/>
  <c r="P59" i="1" s="1"/>
  <c r="R59" i="1" s="1"/>
  <c r="S48" i="1"/>
  <c r="S49" i="1" s="1"/>
  <c r="V48" i="1"/>
  <c r="V49" i="1" s="1"/>
  <c r="R48" i="1"/>
  <c r="R49" i="1" s="1"/>
  <c r="Z48" i="1"/>
  <c r="U48" i="1"/>
  <c r="U49" i="1" s="1"/>
  <c r="Q48" i="1"/>
  <c r="Q49" i="1" s="1"/>
  <c r="T48" i="1"/>
  <c r="T49" i="1" s="1"/>
  <c r="P48" i="1"/>
  <c r="T48" i="2"/>
  <c r="T49" i="2" s="1"/>
  <c r="P58" i="2" s="1"/>
  <c r="R58" i="2" s="1"/>
  <c r="P48" i="2"/>
  <c r="S48" i="2"/>
  <c r="S49" i="2" s="1"/>
  <c r="W48" i="2"/>
  <c r="R48" i="2"/>
  <c r="R49" i="2" s="1"/>
  <c r="Q48" i="2"/>
  <c r="Q49" i="2" s="1"/>
  <c r="P56" i="2" s="1"/>
  <c r="R56" i="2" s="1"/>
  <c r="U48" i="8"/>
  <c r="U49" i="8" s="1"/>
  <c r="P49" i="8"/>
  <c r="P55" i="8" s="1"/>
  <c r="X47" i="1"/>
  <c r="T48" i="6"/>
  <c r="T49" i="6" s="1"/>
  <c r="P58" i="6" s="1"/>
  <c r="R58" i="6" s="1"/>
  <c r="P48" i="6"/>
  <c r="S48" i="6"/>
  <c r="S49" i="6" s="1"/>
  <c r="R48" i="6"/>
  <c r="R49" i="6" s="1"/>
  <c r="W48" i="6"/>
  <c r="Q48" i="6"/>
  <c r="Q49" i="6" s="1"/>
  <c r="P56" i="6" s="1"/>
  <c r="R56" i="6" s="1"/>
  <c r="U47" i="6"/>
  <c r="U47" i="2"/>
  <c r="V48" i="5"/>
  <c r="V49" i="5" s="1"/>
  <c r="R48" i="5"/>
  <c r="R49" i="5" s="1"/>
  <c r="S48" i="5"/>
  <c r="S49" i="5" s="1"/>
  <c r="Z48" i="5"/>
  <c r="Q48" i="5"/>
  <c r="Q49" i="5" s="1"/>
  <c r="W48" i="5"/>
  <c r="W49" i="5" s="1"/>
  <c r="P59" i="5" s="1"/>
  <c r="R59" i="5" s="1"/>
  <c r="P48" i="5"/>
  <c r="U48" i="5"/>
  <c r="U49" i="5" s="1"/>
  <c r="T48" i="5"/>
  <c r="T49" i="5" s="1"/>
  <c r="P57" i="8"/>
  <c r="R57" i="8" s="1"/>
  <c r="P60" i="4"/>
  <c r="R55" i="4"/>
  <c r="R60" i="4" s="1"/>
  <c r="AB23" i="4"/>
  <c r="AG38" i="4"/>
  <c r="AB38" i="4"/>
  <c r="AG23" i="4"/>
  <c r="B2" i="4"/>
  <c r="B3" i="4" s="1"/>
  <c r="X47" i="7"/>
  <c r="X47" i="3"/>
  <c r="T48" i="3"/>
  <c r="T49" i="3" s="1"/>
  <c r="P48" i="3"/>
  <c r="W48" i="3"/>
  <c r="W49" i="3" s="1"/>
  <c r="P59" i="3" s="1"/>
  <c r="R59" i="3" s="1"/>
  <c r="R48" i="3"/>
  <c r="R49" i="3" s="1"/>
  <c r="V48" i="3"/>
  <c r="V49" i="3" s="1"/>
  <c r="Q48" i="3"/>
  <c r="Q49" i="3" s="1"/>
  <c r="U48" i="3"/>
  <c r="U49" i="3" s="1"/>
  <c r="Z48" i="3"/>
  <c r="S48" i="3"/>
  <c r="S49" i="3" s="1"/>
  <c r="P58" i="3" l="1"/>
  <c r="R58" i="3" s="1"/>
  <c r="P56" i="3"/>
  <c r="R56" i="3" s="1"/>
  <c r="P57" i="3"/>
  <c r="R57" i="3" s="1"/>
  <c r="P56" i="1"/>
  <c r="R56" i="1" s="1"/>
  <c r="P56" i="7"/>
  <c r="R56" i="7" s="1"/>
  <c r="P56" i="5"/>
  <c r="R56" i="5" s="1"/>
  <c r="P58" i="7"/>
  <c r="R58" i="7" s="1"/>
  <c r="X48" i="3"/>
  <c r="X49" i="3" s="1"/>
  <c r="P49" i="3"/>
  <c r="P55" i="3" s="1"/>
  <c r="P58" i="5"/>
  <c r="R58" i="5" s="1"/>
  <c r="P57" i="6"/>
  <c r="R57" i="6" s="1"/>
  <c r="R50" i="6"/>
  <c r="P57" i="2"/>
  <c r="R57" i="2" s="1"/>
  <c r="R50" i="2"/>
  <c r="P58" i="1"/>
  <c r="R58" i="1" s="1"/>
  <c r="P57" i="1"/>
  <c r="R57" i="1" s="1"/>
  <c r="R50" i="3"/>
  <c r="X48" i="5"/>
  <c r="X49" i="5" s="1"/>
  <c r="P49" i="5"/>
  <c r="P55" i="5" s="1"/>
  <c r="P57" i="5"/>
  <c r="R57" i="5" s="1"/>
  <c r="R55" i="8"/>
  <c r="R60" i="8" s="1"/>
  <c r="P60" i="8"/>
  <c r="X48" i="1"/>
  <c r="X49" i="1" s="1"/>
  <c r="AD68" i="1" s="1"/>
  <c r="P49" i="1"/>
  <c r="P55" i="1" s="1"/>
  <c r="P57" i="7"/>
  <c r="R57" i="7" s="1"/>
  <c r="U48" i="2"/>
  <c r="U49" i="2" s="1"/>
  <c r="AB53" i="2" s="1"/>
  <c r="P49" i="2"/>
  <c r="P55" i="2" s="1"/>
  <c r="U48" i="6"/>
  <c r="U49" i="6" s="1"/>
  <c r="AB53" i="6" s="1"/>
  <c r="P49" i="6"/>
  <c r="P55" i="6" s="1"/>
  <c r="AG23" i="8"/>
  <c r="AB23" i="8"/>
  <c r="AG38" i="8"/>
  <c r="B2" i="8"/>
  <c r="B3" i="8" s="1"/>
  <c r="AB38" i="8"/>
  <c r="X48" i="7"/>
  <c r="X49" i="7" s="1"/>
  <c r="P49" i="7"/>
  <c r="AI53" i="5" l="1"/>
  <c r="AD68" i="5"/>
  <c r="AI53" i="3"/>
  <c r="AD68" i="3"/>
  <c r="AD53" i="1"/>
  <c r="AI53" i="1"/>
  <c r="P55" i="7"/>
  <c r="R55" i="7" s="1"/>
  <c r="R60" i="7" s="1"/>
  <c r="AI38" i="7"/>
  <c r="AD23" i="7"/>
  <c r="AD38" i="7"/>
  <c r="AD53" i="7"/>
  <c r="AI23" i="7"/>
  <c r="B2" i="7"/>
  <c r="B3" i="7" s="1"/>
  <c r="R55" i="5"/>
  <c r="R60" i="5" s="1"/>
  <c r="P60" i="5"/>
  <c r="AG23" i="2"/>
  <c r="AG38" i="2"/>
  <c r="AB23" i="2"/>
  <c r="B2" i="2"/>
  <c r="B3" i="2" s="1"/>
  <c r="AB38" i="2"/>
  <c r="AD38" i="5"/>
  <c r="AD53" i="5"/>
  <c r="AI23" i="5"/>
  <c r="B2" i="5"/>
  <c r="B3" i="5" s="1"/>
  <c r="AI38" i="5"/>
  <c r="AD23" i="5"/>
  <c r="P60" i="2"/>
  <c r="R55" i="2"/>
  <c r="R60" i="2" s="1"/>
  <c r="P60" i="6"/>
  <c r="R55" i="6"/>
  <c r="R60" i="6" s="1"/>
  <c r="P60" i="3"/>
  <c r="R55" i="3"/>
  <c r="R60" i="3" s="1"/>
  <c r="AI23" i="1"/>
  <c r="AI38" i="1"/>
  <c r="AD23" i="1"/>
  <c r="AD38" i="1"/>
  <c r="B2" i="1"/>
  <c r="B3" i="1" s="1"/>
  <c r="AG23" i="6"/>
  <c r="AG38" i="6"/>
  <c r="B2" i="6"/>
  <c r="B3" i="6" s="1"/>
  <c r="AB23" i="6"/>
  <c r="AB38" i="6"/>
  <c r="R55" i="1"/>
  <c r="R60" i="1" s="1"/>
  <c r="P60" i="1"/>
  <c r="AD53" i="3"/>
  <c r="AD38" i="3"/>
  <c r="AI23" i="3"/>
  <c r="B2" i="3"/>
  <c r="B3" i="3" s="1"/>
  <c r="AI38" i="3"/>
  <c r="AD23" i="3"/>
  <c r="P60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7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======
ID#AAABKUDsovk
tc={D4CEFC3C-7325-4E34-A64D-30E52256CE03}    (2024-04-14 08:45:10)
[Threaded comment]
Your version of Excel allows you to read this threaded comment; however, any edits to it will get removed if the file is opened in a newer version of Excel. Learn more: https://go.microsoft.com/fwlink/?linkid=870924
Comment:
    Dipengaruhi dengan growth tidak? 25000 apakah diasumsikan konstan?</t>
        </r>
      </text>
    </comment>
    <comment ref="U7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======
ID#AAABKUDsou8
tc={928E7189-DF96-4AF8-901E-1C3117C12B69}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V7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======
ID#AAABKUDsovE
tc={928E7189-DF96-4AF9-901E-1C3117C12B69}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Q9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======
ID#AAABKT7n0XI
tc={BEE3DC45-D192-48E4-B051-DA830092375D}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1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======
ID#AAABKUDsous
tc={F2DB11B4-C1EA-4124-BA56-5F48EB7330B3}    (2024-04-14 08:45:10)
[Threaded comment]
Your version of Excel allows you to read this threaded comment; however, any edits to it will get removed if the file is opened in a newer version of Excel. Learn more: https://go.microsoft.com/fwlink/?linkid=870924
Comment:
    Sumber ??</t>
        </r>
      </text>
    </comment>
    <comment ref="F12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======
ID#AAABKUDsots
tc={E41ACF69-01B3-4294-ABBC-3CDD6864AE75}    (2024-04-14 08:45:10)
[Threaded comment]
Your version of Excel allows you to read this threaded comment; however, any edits to it will get removed if the file is opened in a newer version of Excel. Learn more: https://go.microsoft.com/fwlink/?linkid=870924
Comment:
    Yang benar 70353</t>
        </r>
      </text>
    </comment>
    <comment ref="J12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======
ID#AAABKT7n0XE
tc={1441CF6E-179D-48AC-8E2D-BEBA291509B8}    (2024-04-14 08:45:10)
[Threaded comment]
Your version of Excel allows you to read this threaded comment; however, any edits to it will get removed if the file is opened in a newer version of Excel. Learn more: https://go.microsoft.com/fwlink/?linkid=870924
Comment:
    Konfirmasi km/cycle berapa? Lihat gambar dibawah</t>
        </r>
      </text>
    </comment>
    <comment ref="B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======
ID#AAABKUDsovM
tc={385EEFF5-A841-4ED6-BE90-80A2C1B646C9}    (2024-04-14 08:45:10)
[Threaded comment]
Your version of Excel allows you to read this threaded comment; however, any edits to it will get removed if the file is opened in a newer version of Excel. Learn more: https://go.microsoft.com/fwlink/?linkid=870924
Comment:
    PERATURAN MENTERI KEUANGAN REPUBLIK INDONESIA NOMOR 41/PMK.010/ 2022</t>
        </r>
      </text>
    </comment>
    <comment ref="B17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======
ID#AAABKUDsoto
tc={7E87CB02-46C9-41D9-9F0A-5E06594AAB21}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F24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======
ID#AAABKT7n0XM
tc={4864E3F9-0560-4288-92E6-9293BC3416B9}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41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======
ID#AAABKUDsovY
tc={004D7F3F-C5C1-4610-A019-7D9E4061B6F1}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  <comment ref="B46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======
ID#AAABKUDsov0
tc={C56CAB35-0F73-4DA9-9E08-15FB1529777D}    (2024-04-14 08:45:10)
[Threaded comment]
Your version of Excel allows you to read this threaded comment; however, any edits to it will get removed if the file is opened in a newer version of Excel. Learn more: https://go.microsoft.com/fwlink/?linkid=870924
Comment:
    Perlu di breakdown untuk analisa komposisi biaya TCO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rL6l0A1guUqeDAo67yreYHyxCbQ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9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ID#AAABKT7n0Xw
tc={BEE3DC45-D192-48E5-B051-DA830092375D}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F12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ID#AAABKT7n0XA
tc={E41ACF69-01B3-4295-ABBC-3CDD6864AE75}    (2024-04-14 08:45:10)
[Threaded comment]
Your version of Excel allows you to read this threaded comment; however, any edits to it will get removed if the file is opened in a newer version of Excel. Learn more: https://go.microsoft.com/fwlink/?linkid=870924
Comment:
    Yang benar 70353</t>
        </r>
      </text>
    </comment>
    <comment ref="B1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ID#AAABKUDsowI
tc={7E87CB02-46C9-41DA-9F0A-5E06594AAB21}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B18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ID#AAABKUDsowc
tc={9A9FA5CC-E227-4B66-AD09-B395DB19CBD4}    (2024-04-14 08:45:10)
[Threaded comment]
Your version of Excel allows you to read this threaded comment; however, any edits to it will get removed if the file is opened in a newer version of Excel. Learn more: https://go.microsoft.com/fwlink/?linkid=870924
Comment:
    60%*12.5%
Reply:
    NOMOR 6 TAHUN 2019 TENTANG PERUBAHAN ATAS PERATURAN DAERAH NOMOR 9 TAHUN 2010 TENTANG BEA BALIK NAMA KENDARAAN BERMOTOR</t>
        </r>
      </text>
    </comment>
    <comment ref="F22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ID#AAABKT7n0XU
tc={7833DF23-FE90-4F19-9FD0-611220B2E488}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38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ID#AAABKUDsotY
tc={004D7F3F-C5C1-4611-A019-7D9E4061B6F1}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dSnWbQbscOy/W6Wkd3M3GrkqCtw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7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======
ID#AAABKUDsoug
tc={D4CEFC3C-7325-4E34-A64D-30E52256CE03}    (2024-04-14 08:45:10)
[Threaded comment]
Your version of Excel allows you to read this threaded comment; however, any edits to it will get removed if the file is opened in a newer version of Excel. Learn more: https://go.microsoft.com/fwlink/?linkid=870924
Comment:
    Dipengaruhi dengan growth tidak? 25000 apakah diasumsikan konstan?</t>
        </r>
      </text>
    </comment>
    <comment ref="U7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======
ID#AAABKUDsotE
tc={928E7189-DF96-4AF8-901E-1C3117C12B69}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V7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======
ID#AAABKUDsot8
tc={928E7189-DF96-4AF9-901E-1C3117C12B69}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Q9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======
ID#AAABKUDsotc
tc={BEE3DC45-D192-48E4-B051-DA830092375D}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1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======
ID#AAABKUDsotM
tc={E992383A-DDF7-479A-807A-377CA4907051}    (2024-04-14 08:45:10)
[Threaded comment]
Your version of Excel allows you to read this threaded comment; however, any edits to it will get removed if the file is opened in a newer version of Excel. Learn more: https://go.microsoft.com/fwlink/?linkid=870924
Comment:
    Sumber ??</t>
        </r>
      </text>
    </comment>
    <comment ref="J12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======
ID#AAABKUDsovA
tc={E992383A-DDF7-479A-807A-377CA4907051}    (2024-04-14 08:45:10)
[Threaded comment]
Your version of Excel allows you to read this threaded comment; however, any edits to it will get removed if the file is opened in a newer version of Excel. Learn more: https://go.microsoft.com/fwlink/?linkid=870924
Comment:
    Sumber ??</t>
        </r>
      </text>
    </comment>
    <comment ref="B14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======
ID#AAABKUDsouU
tc={385EEFF5-A841-4ED6-BE90-80A2C1B646C9}    (2024-04-14 08:45:10)
[Threaded comment]
Your version of Excel allows you to read this threaded comment; however, any edits to it will get removed if the file is opened in a newer version of Excel. Learn more: https://go.microsoft.com/fwlink/?linkid=870924
Comment:
    PERATURAN MENTERI KEUANGAN REPUBLIK INDONESIA NOMOR 41/PMK.010/ 2022</t>
        </r>
      </text>
    </comment>
    <comment ref="B17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======
ID#AAABKUDsouk
tc={7E87CB02-46C9-41D9-9F0A-5E06594AAB21}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F24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======
ID#AAABKUDsou0
tc={4864E3F9-0560-4288-92E6-9293BC3416B9}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4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ID#AAABKUDsowY
tc={004D7F3F-C5C1-4610-A019-7D9E4061B6F1}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  <comment ref="B48" authorId="0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======
ID#AAABKT7n0Xs
tc={C56CAB35-0F73-4DA9-9E08-15FB1529777D}    (2024-04-14 08:45:10)
[Threaded comment]
Your version of Excel allows you to read this threaded comment; however, any edits to it will get removed if the file is opened in a newer version of Excel. Learn more: https://go.microsoft.com/fwlink/?linkid=870924
Comment:
    Perlu di breakdown untuk analisa komposisi biaya TCO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8TNrC4mZr1xzvVq71rEEzsG7m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9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ID#AAABKUDsowQ
tc={BEE3DC45-D192-48E5-B051-DA830092375D}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B17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ID#AAABKUDsouM
tc={7E87CB02-46C9-41DA-9F0A-5E06594AAB21}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B1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ID#AAABKT7n0Xc
tc={9A9FA5CC-E227-4B66-AD09-B395DB19CBD4}    (2024-04-14 08:45:10)
[Threaded comment]
Your version of Excel allows you to read this threaded comment; however, any edits to it will get removed if the file is opened in a newer version of Excel. Learn more: https://go.microsoft.com/fwlink/?linkid=870924
Comment:
    60%*12.5%
Reply:
    NOMOR 6 TAHUN 2019 TENTANG PERUBAHAN ATAS PERATURAN DAERAH NOMOR 9 TAHUN 2010 TENTANG BEA BALIK NAMA KENDARAAN BERMOTOR</t>
        </r>
      </text>
    </comment>
    <comment ref="F22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ID#AAABKUDsouY
tc={7833DF23-FE90-4F19-9FD0-611220B2E488}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38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ID#AAABKUDsouo
tc={004D7F3F-C5C1-4611-A019-7D9E4061B6F1}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C95Tj8Hi9/qYWcu56oYEa1v3r9w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7" authorId="0" shapeId="0" xr:uid="{00000000-0006-0000-0400-000007000000}">
      <text>
        <r>
          <rPr>
            <sz val="11"/>
            <color theme="1"/>
            <rFont val="Calibri"/>
            <family val="2"/>
            <scheme val="minor"/>
          </rPr>
          <t>======
ID#AAABKUDsot4
tc={D4CEFC3C-7325-4E34-A64D-30E52256CE03}    (2024-04-14 08:45:10)
[Threaded comment]
Your version of Excel allows you to read this threaded comment; however, any edits to it will get removed if the file is opened in a newer version of Excel. Learn more: https://go.microsoft.com/fwlink/?linkid=870924
Comment:
    Dipengaruhi dengan growth tidak? 25000 apakah diasumsikan konstan?</t>
        </r>
      </text>
    </comment>
    <comment ref="U7" authorId="0" shapeId="0" xr:uid="{00000000-0006-0000-0400-000008000000}">
      <text>
        <r>
          <rPr>
            <sz val="11"/>
            <color theme="1"/>
            <rFont val="Calibri"/>
            <family val="2"/>
            <scheme val="minor"/>
          </rPr>
          <t>======
ID#AAABKUDsot0
tc={928E7189-DF96-4AF8-901E-1C3117C12B69}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V7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======
ID#AAABKUDsovo
tc={928E7189-DF96-4AF9-901E-1C3117C12B69}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Q9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>======
ID#AAABKUDsowU
tc={BEE3DC45-D192-48E4-B051-DA830092375D}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0" authorId="0" shapeId="0" xr:uid="{00000000-0006-0000-0400-000006000000}">
      <text>
        <r>
          <rPr>
            <sz val="11"/>
            <color theme="1"/>
            <rFont val="Calibri"/>
            <family val="2"/>
            <scheme val="minor"/>
          </rPr>
          <t>======
ID#AAABKUDsouw
tc={67D947ED-88BE-48E6-B313-9A497FAA28F5}    (2024-04-14 08:45:10)
[Threaded comment]
Your version of Excel allows you to read this threaded comment; however, any edits to it will get removed if the file is opened in a newer version of Excel. Learn more: https://go.microsoft.com/fwlink/?linkid=870924
Comment:
    Brosur DFSK, lihat gambar di bawah</t>
        </r>
      </text>
    </comment>
    <comment ref="J11" authorId="0" shapeId="0" xr:uid="{00000000-0006-0000-0400-000009000000}">
      <text>
        <r>
          <rPr>
            <sz val="11"/>
            <color theme="1"/>
            <rFont val="Calibri"/>
            <family val="2"/>
            <scheme val="minor"/>
          </rPr>
          <t>======
ID#AAABKUDsotg
tc={F2DB11B4-C1EA-4124-BA56-5F48EB7330B3}    (2024-04-14 08:45:10)
[Threaded comment]
Your version of Excel allows you to read this threaded comment; however, any edits to it will get removed if the file is opened in a newer version of Excel. Learn more: https://go.microsoft.com/fwlink/?linkid=870924
Comment:
    Sumber ??</t>
        </r>
      </text>
    </comment>
    <comment ref="J12" authorId="0" shapeId="0" xr:uid="{00000000-0006-0000-0400-00000A000000}">
      <text>
        <r>
          <rPr>
            <sz val="11"/>
            <color theme="1"/>
            <rFont val="Calibri"/>
            <family val="2"/>
            <scheme val="minor"/>
          </rPr>
          <t>======
ID#AAABKUDsotQ
tc={1441CF6E-179D-48AC-8E2D-BEBA291509B8}    (2024-04-14 08:45:10)
[Threaded comment]
Your version of Excel allows you to read this threaded comment; however, any edits to it will get removed if the file is opened in a newer version of Excel. Learn more: https://go.microsoft.com/fwlink/?linkid=870924
Comment:
    Konfirmasi km/cycle berapa? Lihat gambar dibawah</t>
        </r>
      </text>
    </comment>
    <comment ref="B14" authorId="0" shapeId="0" xr:uid="{00000000-0006-0000-0400-00000D000000}">
      <text>
        <r>
          <rPr>
            <sz val="11"/>
            <color theme="1"/>
            <rFont val="Calibri"/>
            <family val="2"/>
            <scheme val="minor"/>
          </rPr>
          <t>======
ID#AAABKT7n0XQ
tc={385EEFF5-A841-4ED6-BE90-80A2C1B646C9}    (2024-04-14 08:45:10)
[Threaded comment]
Your version of Excel allows you to read this threaded comment; however, any edits to it will get removed if the file is opened in a newer version of Excel. Learn more: https://go.microsoft.com/fwlink/?linkid=870924
Comment:
    PERATURAN MENTERI KEUANGAN REPUBLIK INDONESIA NOMOR 41/PMK.010/ 2022</t>
        </r>
      </text>
    </comment>
    <comment ref="B17" authorId="0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======
ID#AAABKUDsovs
tc={7E87CB02-46C9-41D9-9F0A-5E06594AAB21}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J17" authorId="0" shapeId="0" xr:uid="{00000000-0006-0000-0400-00000C000000}">
      <text>
        <r>
          <rPr>
            <sz val="11"/>
            <color theme="1"/>
            <rFont val="Calibri"/>
            <family val="2"/>
            <scheme val="minor"/>
          </rPr>
          <t>======
ID#AAABKT7n0Xo
tc={82F62B6C-237A-4712-86A9-B09BC722851E}    (2024-04-14 08:45:10)
[Threaded comment]
Your version of Excel allows you to read this threaded comment; however, any edits to it will get removed if the file is opened in a newer version of Excel. Learn more: https://go.microsoft.com/fwlink/?linkid=870924
Comment:
    Brosur DFSK, lihat gambar di bawah</t>
        </r>
      </text>
    </comment>
    <comment ref="F24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>======
ID#AAABKUDsov8
tc={4864E3F9-0560-4288-92E6-9293BC3416B9}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41" authorId="0" shapeId="0" xr:uid="{00000000-0006-0000-0400-00000B000000}">
      <text>
        <r>
          <rPr>
            <sz val="11"/>
            <color theme="1"/>
            <rFont val="Calibri"/>
            <family val="2"/>
            <scheme val="minor"/>
          </rPr>
          <t>======
ID#AAABKUDsotA
tc={004D7F3F-C5C1-4610-A019-7D9E4061B6F1}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  <comment ref="B48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======
ID#AAABKUDsovQ
tc={C56CAB35-0F73-4DA9-9E08-15FB1529777D}    (2024-04-14 08:45:10)
[Threaded comment]
Your version of Excel allows you to read this threaded comment; however, any edits to it will get removed if the file is opened in a newer version of Excel. Learn more: https://go.microsoft.com/fwlink/?linkid=870924
Comment:
    Perlu di breakdown untuk analisa komposisi biaya TCO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xvGF2eD1Yx+/bm5X+HMaCKvCh/g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9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======
ID#AAABKUDsouA
tc={BEE3DC45-D192-48E5-B051-DA830092375D}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0" authorId="0" shapeId="0" xr:uid="{00000000-0006-0000-0500-000006000000}">
      <text>
        <r>
          <rPr>
            <sz val="11"/>
            <color theme="1"/>
            <rFont val="Calibri"/>
            <family val="2"/>
            <scheme val="minor"/>
          </rPr>
          <t>======
ID#AAABKUDsotk
tc={3B0670CF-17C8-4B34-9A71-0D42C30D4D07}    (2024-04-14 08:45:10)
[Threaded comment]
Your version of Excel allows you to read this threaded comment; however, any edits to it will get removed if the file is opened in a newer version of Excel. Learn more: https://go.microsoft.com/fwlink/?linkid=870924
Comment:
    https://www.autofun.co.id/mobil/dfsk/gelora/konsumsi-bahan-bakar</t>
        </r>
      </text>
    </comment>
    <comment ref="B17" authorId="0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======
ID#AAABKUDsovg
tc={7E87CB02-46C9-41DA-9F0A-5E06594AAB21}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B18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>======
ID#AAABKUDsov4
tc={9A9FA5CC-E227-4B66-AD09-B395DB19CBD4}    (2024-04-14 08:45:10)
[Threaded comment]
Your version of Excel allows you to read this threaded comment; however, any edits to it will get removed if the file is opened in a newer version of Excel. Learn more: https://go.microsoft.com/fwlink/?linkid=870924
Comment:
    60%*12.5%
Reply:
    NOMOR 6 TAHUN 2019 TENTANG PERUBAHAN ATAS PERATURAN DAERAH NOMOR 9 TAHUN 2010 TENTANG BEA BALIK NAMA KENDARAAN BERMOTOR</t>
        </r>
      </text>
    </comment>
    <comment ref="F22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======
ID#AAABKUDsouQ
tc={7833DF23-FE90-4F19-9FD0-611220B2E488}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38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>======
ID#AAABKUDsowE
tc={004D7F3F-C5C1-4611-A019-7D9E4061B6F1}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i/sKpYoE/XOa4/f4hH9hxpoDq3Q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7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======
ID#AAABKT7n0X0
tc={D4CEFC3C-7325-4E34-A64D-30E52256CE03}    (2024-04-14 08:45:10)
[Threaded comment]
Your version of Excel allows you to read this threaded comment; however, any edits to it will get removed if the file is opened in a newer version of Excel. Learn more: https://go.microsoft.com/fwlink/?linkid=870924
Comment:
    Dipengaruhi dengan growth tidak? 25000 apakah diasumsikan konstan?</t>
        </r>
      </text>
    </comment>
    <comment ref="U7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======
ID#AAABKUDsovc
tc={928E7189-DF96-4AF8-901E-1C3117C12B69}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V7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======
ID#AAABKUDsovI
tc={928E7189-DF96-4AF9-901E-1C3117C12B69}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Q9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>======
ID#AAABKT7n0XY
tc={BEE3DC45-D192-48E4-B051-DA830092375D}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1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======
ID#AAABKT7n0W8
tc={67D947ED-88BE-48E6-B313-9A497FAA28F5}    (2024-04-14 08:45:10)
[Threaded comment]
Your version of Excel allows you to read this threaded comment; however, any edits to it will get removed if the file is opened in a newer version of Excel. Learn more: https://go.microsoft.com/fwlink/?linkid=870924
Comment:
    Brosur DFSK, lihat gambar di bawah</t>
        </r>
      </text>
    </comment>
    <comment ref="J12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======
ID#AAABKUDsovU
tc={B4D953D8-05AE-4FB3-986C-7983D4361C5D}    (2024-04-14 08:45:10)
[Threaded comment]
Your version of Excel allows you to read this threaded comment; however, any edits to it will get removed if the file is opened in a newer version of Excel. Learn more: https://go.microsoft.com/fwlink/?linkid=870924
Comment:
    Warranty Statement for All DFSK Model vans and light commercial vehicles 
Lihat gambar di bawah</t>
        </r>
      </text>
    </comment>
    <comment ref="J1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======
ID#AAABKUDsotU
tc={1441CF6E-179D-48AC-8E2D-BEBA291509B8}    (2024-04-14 08:45:10)
[Threaded comment]
Your version of Excel allows you to read this threaded comment; however, any edits to it will get removed if the file is opened in a newer version of Excel. Learn more: https://go.microsoft.com/fwlink/?linkid=870924
Comment:
    Konfirmasi km/cycle berapa? Lihat gambar dibawah</t>
        </r>
      </text>
    </comment>
    <comment ref="B14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======
ID#AAABKUDsowA
tc={385EEFF5-A841-4ED6-BE90-80A2C1B646C9}    (2024-04-14 08:45:10)
[Threaded comment]
Your version of Excel allows you to read this threaded comment; however, any edits to it will get removed if the file is opened in a newer version of Excel. Learn more: https://go.microsoft.com/fwlink/?linkid=870924
Comment:
    PERATURAN MENTERI KEUANGAN REPUBLIK INDONESIA NOMOR 41/PMK.010/ 2022</t>
        </r>
      </text>
    </comment>
    <comment ref="B17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======
ID#AAABKUDsotw
tc={7E87CB02-46C9-41D9-9F0A-5E06594AAB21}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J18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======
ID#AAABKUDsotI
tc={82F62B6C-237A-4712-86A9-B09BC722851E}    (2024-04-14 08:45:10)
[Threaded comment]
Your version of Excel allows you to read this threaded comment; however, any edits to it will get removed if the file is opened in a newer version of Excel. Learn more: https://go.microsoft.com/fwlink/?linkid=870924
Comment:
    Brosur DFSK, lihat gambar di bawah</t>
        </r>
      </text>
    </comment>
    <comment ref="F2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======
ID#AAABKUDsowg
tc={4864E3F9-0560-4288-92E6-9293BC3416B9}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41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======
ID#AAABKUDsowM
tc={004D7F3F-C5C1-4610-A019-7D9E4061B6F1}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  <comment ref="B48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======
ID#AAABKUDsouE
tc={C56CAB35-0F73-4DA9-9E08-15FB1529777D}    (2024-04-14 08:45:10)
[Threaded comment]
Your version of Excel allows you to read this threaded comment; however, any edits to it will get removed if the file is opened in a newer version of Excel. Learn more: https://go.microsoft.com/fwlink/?linkid=870924
Comment:
    Perlu di breakdown untuk analisa komposisi biaya TCO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hO9dwmcEq4/07lfTtEPExlJs5XQ=="/>
    </ext>
  </extL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9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======
ID#AAABKUDsovw
tc={BEE3DC45-D192-48E5-B051-DA830092375D}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0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======
ID#AAABKUDsouI
tc={7EEEF54B-1770-40C0-8110-A72DBC35445C}    (2024-04-14 08:45:10)
[Threaded comment]
Your version of Excel allows you to read this threaded comment; however, any edits to it will get removed if the file is opened in a newer version of Excel. Learn more: https://go.microsoft.com/fwlink/?linkid=870924
Comment:
    43.2 km/ liter</t>
        </r>
      </text>
    </comment>
    <comment ref="B17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======
ID#AAABKT7n0Xg
tc={7E87CB02-46C9-41DA-9F0A-5E06594AAB21}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B18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======
ID#AAABKT7n0Xk
tc={9A9FA5CC-E227-4B66-AD09-B395DB19CBD4}    (2024-04-14 08:45:10)
[Threaded comment]
Your version of Excel allows you to read this threaded comment; however, any edits to it will get removed if the file is opened in a newer version of Excel. Learn more: https://go.microsoft.com/fwlink/?linkid=870924
Comment:
    60%*12.5%
Reply:
    NOMOR 6 TAHUN 2019 TENTANG PERUBAHAN ATAS PERATURAN DAERAH NOMOR 9 TAHUN 2010 TENTANG BEA BALIK NAMA KENDARAAN BERMOTOR</t>
        </r>
      </text>
    </comment>
    <comment ref="F22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======
ID#AAABKUDsouc
tc={E12AAE8A-3FB5-4C47-AEE2-9FB3D6C1DA24}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760.000, STNK 100.000</t>
        </r>
      </text>
    </comment>
    <comment ref="F38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======
ID#AAABKUDsou4
tc={004D7F3F-C5C1-4611-A019-7D9E4061B6F1}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qONk7+ag1/RaPZp3rRuITGNSOXw=="/>
    </ext>
  </extLst>
</comments>
</file>

<file path=xl/sharedStrings.xml><?xml version="1.0" encoding="utf-8"?>
<sst xmlns="http://schemas.openxmlformats.org/spreadsheetml/2006/main" count="2020" uniqueCount="199">
  <si>
    <t>Country name</t>
  </si>
  <si>
    <t>Indonesia</t>
  </si>
  <si>
    <t>TCO</t>
  </si>
  <si>
    <t>US$</t>
  </si>
  <si>
    <t>US$/km</t>
  </si>
  <si>
    <t>ASSUMPTIONS</t>
  </si>
  <si>
    <t>TCO Estimation</t>
  </si>
  <si>
    <t>Sensitivity Analysis</t>
  </si>
  <si>
    <t>Analysis period</t>
  </si>
  <si>
    <t>Years</t>
  </si>
  <si>
    <t>Discounted TCO</t>
  </si>
  <si>
    <t>Country specific costs</t>
  </si>
  <si>
    <t>Vehicle-related Costs</t>
  </si>
  <si>
    <t>Year</t>
  </si>
  <si>
    <t>Equity (US$)</t>
  </si>
  <si>
    <t>Installment (US$)</t>
  </si>
  <si>
    <t>Electricity cost (US$)</t>
  </si>
  <si>
    <t>Charging surcharge cost (US$)</t>
  </si>
  <si>
    <t>O&amp;M Costs  (US$)</t>
  </si>
  <si>
    <t>Taxes (US$)</t>
  </si>
  <si>
    <t>Battery replacement costs (US$)</t>
  </si>
  <si>
    <t>Battery leasing costs (US$)</t>
  </si>
  <si>
    <t>Resale Value (US$)</t>
  </si>
  <si>
    <t>TCO (US$)</t>
  </si>
  <si>
    <t>Vehicle values (US$) for tax calculation</t>
  </si>
  <si>
    <t>Please copy paste following values (values only) to the formula value if there is update/ differences with reference values in tables</t>
  </si>
  <si>
    <t>Exchange rate</t>
  </si>
  <si>
    <t>IDR/US$</t>
  </si>
  <si>
    <t>Vehicle price</t>
  </si>
  <si>
    <t>IDR</t>
  </si>
  <si>
    <t>Electricity tariff</t>
  </si>
  <si>
    <t>US$/kWh</t>
  </si>
  <si>
    <t>Battery cost unit</t>
  </si>
  <si>
    <t>Battery cost</t>
  </si>
  <si>
    <t>One-time Costs</t>
  </si>
  <si>
    <t>Related to Yearly Costs</t>
  </si>
  <si>
    <t>Battery capacity</t>
  </si>
  <si>
    <t>kWh</t>
  </si>
  <si>
    <t>%</t>
  </si>
  <si>
    <t>Discount rate</t>
  </si>
  <si>
    <t>Battery lifecycle</t>
  </si>
  <si>
    <t>cycles</t>
  </si>
  <si>
    <t>Annual kilometres travelled (AKT)</t>
  </si>
  <si>
    <t>km/year</t>
  </si>
  <si>
    <t>Retail discount</t>
  </si>
  <si>
    <t>Annual kilometres traveled (AKT)</t>
  </si>
  <si>
    <t>Battery range</t>
  </si>
  <si>
    <t>km/cycle</t>
  </si>
  <si>
    <t>Other O&amp;M costs</t>
  </si>
  <si>
    <t>US$/year</t>
  </si>
  <si>
    <t>VAT</t>
  </si>
  <si>
    <t>IDR/kWh</t>
  </si>
  <si>
    <t>Vehicle lifespan</t>
  </si>
  <si>
    <t>years</t>
  </si>
  <si>
    <t>Income tax impor (PPh 22)</t>
  </si>
  <si>
    <t>Electricity tariff growth</t>
  </si>
  <si>
    <t>%/year</t>
  </si>
  <si>
    <t>SOC</t>
  </si>
  <si>
    <t xml:space="preserve">   Income tax corporate (PPh 17)</t>
  </si>
  <si>
    <t>Battery leasing cost</t>
  </si>
  <si>
    <t>Vehicle Depreciation</t>
  </si>
  <si>
    <t>%/ year</t>
  </si>
  <si>
    <t>Import tariff</t>
  </si>
  <si>
    <t>Emission test costs</t>
  </si>
  <si>
    <t>IDR/year</t>
  </si>
  <si>
    <t>Battery Depreciation</t>
  </si>
  <si>
    <t>Coefficient for Basis of Taxation</t>
  </si>
  <si>
    <t>Technical control cost unit</t>
  </si>
  <si>
    <t>Electricity consumption</t>
  </si>
  <si>
    <t>kWh/km</t>
  </si>
  <si>
    <t>Basic vehicle tax</t>
  </si>
  <si>
    <t>The imposition of vehicle tax</t>
  </si>
  <si>
    <t>Charging Station</t>
  </si>
  <si>
    <t>Certified Entiltment</t>
  </si>
  <si>
    <t>Road insurance</t>
  </si>
  <si>
    <t>One time tax</t>
  </si>
  <si>
    <t>Initial/Surcharge Charging Cost</t>
  </si>
  <si>
    <t>IDR/times</t>
  </si>
  <si>
    <t>Government Premium</t>
  </si>
  <si>
    <t>Financing costs</t>
  </si>
  <si>
    <t>Relative change (%)</t>
  </si>
  <si>
    <t>Electricity tariff (US$/kWh)</t>
  </si>
  <si>
    <t>TCO changes (%)</t>
  </si>
  <si>
    <t>Vehicle price (US$)</t>
  </si>
  <si>
    <t>Interest rate (flat)</t>
  </si>
  <si>
    <t>Loan length</t>
  </si>
  <si>
    <t>Reference value</t>
  </si>
  <si>
    <t>Formula value</t>
  </si>
  <si>
    <t xml:space="preserve">  Administration Cost</t>
  </si>
  <si>
    <t>Downpayment</t>
  </si>
  <si>
    <t>% of capital cost</t>
  </si>
  <si>
    <t>TCO ESTIMATION</t>
  </si>
  <si>
    <t>Country specific cost</t>
  </si>
  <si>
    <t>Financing cost</t>
  </si>
  <si>
    <t>Battery</t>
  </si>
  <si>
    <t>Equity</t>
  </si>
  <si>
    <t>Battery lifespan</t>
  </si>
  <si>
    <t>Debt</t>
  </si>
  <si>
    <t>Debt interest</t>
  </si>
  <si>
    <t>Income tax - import (PPh 22)</t>
  </si>
  <si>
    <t>Total kilometres travelled during lifecycle</t>
  </si>
  <si>
    <t>km</t>
  </si>
  <si>
    <t xml:space="preserve">   Income tax - corporate (PPh 17)</t>
  </si>
  <si>
    <t>Energy costs</t>
  </si>
  <si>
    <t>Annual kilometres travelled</t>
  </si>
  <si>
    <t>Charging cost</t>
  </si>
  <si>
    <t>Yearly Operational Cost</t>
  </si>
  <si>
    <t>Battery cost (US$)</t>
  </si>
  <si>
    <t>AKT (km/year)</t>
  </si>
  <si>
    <t>Electricity cost per km</t>
  </si>
  <si>
    <t>Technical control cost</t>
  </si>
  <si>
    <t>Yearly charging surcharge cost</t>
  </si>
  <si>
    <t>Yearly charging cost</t>
  </si>
  <si>
    <t>Capital cost</t>
  </si>
  <si>
    <t>Battery price</t>
  </si>
  <si>
    <t>Vehicle price + import levy</t>
  </si>
  <si>
    <t>Battery Price + import levy</t>
  </si>
  <si>
    <t xml:space="preserve">   CIF (Cost, Insurance, Freight)</t>
  </si>
  <si>
    <t>Vehicle Price+taxes</t>
  </si>
  <si>
    <t>Total</t>
  </si>
  <si>
    <t>Total Investment</t>
  </si>
  <si>
    <t>Other O&amp;M costs (US$/L)</t>
  </si>
  <si>
    <t>Cost component</t>
  </si>
  <si>
    <t>Capital costs</t>
  </si>
  <si>
    <t>Yearly Cost + Taxes</t>
  </si>
  <si>
    <t>Battery costs</t>
  </si>
  <si>
    <t>Resale value</t>
  </si>
  <si>
    <t>Fuel cost (US$)</t>
  </si>
  <si>
    <t>O&amp;M Cost  (US$)</t>
  </si>
  <si>
    <t>Fuel price</t>
  </si>
  <si>
    <t>US$/L</t>
  </si>
  <si>
    <t>Specific fuel consumption</t>
  </si>
  <si>
    <t>L/km</t>
  </si>
  <si>
    <t>IDR/liter</t>
  </si>
  <si>
    <t>Income tax</t>
  </si>
  <si>
    <t>Fuel price growth</t>
  </si>
  <si>
    <t>Fuel price (US$/L)</t>
  </si>
  <si>
    <t>Yearly fuel cost</t>
  </si>
  <si>
    <t>Vehicle price + taxes/costs</t>
  </si>
  <si>
    <t>Other O&amp;M costs (US$)</t>
  </si>
  <si>
    <t>cycle</t>
  </si>
  <si>
    <t>Conversion cost</t>
  </si>
  <si>
    <t>Type testing cost</t>
  </si>
  <si>
    <t>Variables</t>
  </si>
  <si>
    <t>Country</t>
  </si>
  <si>
    <t>Descriptions</t>
  </si>
  <si>
    <t>All</t>
  </si>
  <si>
    <t>Basis of Taxation</t>
  </si>
  <si>
    <t>ID</t>
  </si>
  <si>
    <t>Dasar Pengenaan Pajak</t>
  </si>
  <si>
    <t>SG</t>
  </si>
  <si>
    <t>Resale Value</t>
  </si>
  <si>
    <t>IDR/km</t>
  </si>
  <si>
    <t>Battery leasing model</t>
  </si>
  <si>
    <t>Battery leasing?</t>
  </si>
  <si>
    <t>Profit ratio</t>
  </si>
  <si>
    <t>(minimum: 1)</t>
  </si>
  <si>
    <t>Battery Leasing?</t>
  </si>
  <si>
    <t>Yes</t>
  </si>
  <si>
    <t>No</t>
  </si>
  <si>
    <t>Battery Leasing Model</t>
  </si>
  <si>
    <t>km/day</t>
  </si>
  <si>
    <t>Battery rental cost unit</t>
  </si>
  <si>
    <t>Minimum battery rental cost</t>
  </si>
  <si>
    <t>Additional battery rental cost</t>
  </si>
  <si>
    <t>Minimum AKT</t>
  </si>
  <si>
    <t>Minimimum Kilometre Travelled</t>
  </si>
  <si>
    <t>Battery price (plus taxes)</t>
  </si>
  <si>
    <t>Battery price (plus interests)</t>
  </si>
  <si>
    <t>Mininum travelled (km)</t>
  </si>
  <si>
    <t>Mininum Kilometres traveled</t>
  </si>
  <si>
    <t>Incentive</t>
  </si>
  <si>
    <t>Incentive &amp; discount</t>
  </si>
  <si>
    <t>Basic vehicle price</t>
  </si>
  <si>
    <t>Net vehicle price</t>
  </si>
  <si>
    <t>Diesel price per L</t>
  </si>
  <si>
    <t>Diesel cost per km</t>
  </si>
  <si>
    <t>Gasoline price per L</t>
  </si>
  <si>
    <t>Gasoline cost per km</t>
  </si>
  <si>
    <t>New registration fee</t>
  </si>
  <si>
    <t>Prefential Additional registration fee  (PARF) Benefits</t>
  </si>
  <si>
    <t>Diesel price</t>
  </si>
  <si>
    <t>Gasoline price</t>
  </si>
  <si>
    <t>Vehicle Price</t>
  </si>
  <si>
    <t>Electricity tarrif</t>
  </si>
  <si>
    <t>Annual kilometers travelled</t>
  </si>
  <si>
    <t>INDONESIA</t>
  </si>
  <si>
    <t>E-bus</t>
  </si>
  <si>
    <t>AKT</t>
  </si>
  <si>
    <t>O&amp;M costs</t>
  </si>
  <si>
    <t>TCO Change (%)</t>
  </si>
  <si>
    <t>Parameter change (%)</t>
  </si>
  <si>
    <t>E-truck</t>
  </si>
  <si>
    <t>E-cargo</t>
  </si>
  <si>
    <t>ICE-bus</t>
  </si>
  <si>
    <t>ICE-truck</t>
  </si>
  <si>
    <t>ICE-cargo</t>
  </si>
  <si>
    <t>Energy Efficiency</t>
  </si>
  <si>
    <t>Manufacturer’s Recommended Retail Price (MRRP)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</si>
</sst>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_-* #,##0_-;\-* #,##0_-;_-* &quot;-&quot;??_-;_-@"/>
    <numFmt numFmtId="165" formatCode="_(* #,##0_);_(* \(#,##0\);_(* &quot;-&quot;??_);_(@_)"/>
    <numFmt numFmtId="166" formatCode="_-* #,##0_-;\-* #,##0_-;_-* &quot;-&quot;_-;_-@"/>
    <numFmt numFmtId="167" formatCode="_-* #,##0.0000_-;\-* #,##0.0000_-;_-* &quot;-&quot;_-;_-@"/>
    <numFmt numFmtId="168" formatCode="_-* #,##0.00_-;\-* #,##0.00_-;_-* &quot;-&quot;??_-;_-@"/>
    <numFmt numFmtId="169" formatCode="_-* #,##0.00_-;\-* #,##0.00_-;_-* &quot;-&quot;_-;_-@"/>
    <numFmt numFmtId="170" formatCode="0.0000"/>
    <numFmt numFmtId="171" formatCode="_-* #,##0.000_-;\-* #,##0.000_-;_-* &quot;-&quot;_-;_-@"/>
  </numFmts>
  <fonts count="1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4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  <fill>
      <patternFill patternType="solid">
        <fgColor theme="7" tint="0.79998168889431442"/>
        <bgColor rgb="FFFEF2CB"/>
      </patternFill>
    </fill>
    <fill>
      <patternFill patternType="solid">
        <fgColor theme="7" tint="0.79998168889431442"/>
        <bgColor rgb="FFD8D8D8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97">
    <xf numFmtId="0" fontId="0" fillId="0" borderId="0" xfId="0"/>
    <xf numFmtId="0" fontId="3" fillId="2" borderId="1" xfId="0" applyFont="1" applyFill="1" applyBorder="1"/>
    <xf numFmtId="0" fontId="4" fillId="2" borderId="1" xfId="0" applyFont="1" applyFill="1" applyBorder="1"/>
    <xf numFmtId="164" fontId="3" fillId="2" borderId="1" xfId="0" applyNumberFormat="1" applyFont="1" applyFill="1" applyBorder="1"/>
    <xf numFmtId="2" fontId="3" fillId="2" borderId="1" xfId="0" applyNumberFormat="1" applyFont="1" applyFill="1" applyBorder="1"/>
    <xf numFmtId="165" fontId="4" fillId="2" borderId="1" xfId="0" applyNumberFormat="1" applyFont="1" applyFill="1" applyBorder="1"/>
    <xf numFmtId="166" fontId="4" fillId="2" borderId="1" xfId="0" applyNumberFormat="1" applyFont="1" applyFill="1" applyBorder="1"/>
    <xf numFmtId="0" fontId="3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3" fillId="2" borderId="3" xfId="0" applyFont="1" applyFill="1" applyBorder="1"/>
    <xf numFmtId="0" fontId="4" fillId="3" borderId="1" xfId="0" applyFont="1" applyFill="1" applyBorder="1"/>
    <xf numFmtId="0" fontId="3" fillId="3" borderId="1" xfId="0" applyFont="1" applyFill="1" applyBorder="1"/>
    <xf numFmtId="0" fontId="4" fillId="2" borderId="5" xfId="0" applyFont="1" applyFill="1" applyBorder="1"/>
    <xf numFmtId="0" fontId="4" fillId="2" borderId="6" xfId="0" applyFont="1" applyFill="1" applyBorder="1"/>
    <xf numFmtId="0" fontId="4" fillId="2" borderId="1" xfId="0" applyFont="1" applyFill="1" applyBorder="1" applyAlignment="1">
      <alignment horizontal="left"/>
    </xf>
    <xf numFmtId="164" fontId="4" fillId="3" borderId="1" xfId="0" applyNumberFormat="1" applyFont="1" applyFill="1" applyBorder="1"/>
    <xf numFmtId="164" fontId="3" fillId="3" borderId="1" xfId="0" applyNumberFormat="1" applyFont="1" applyFill="1" applyBorder="1"/>
    <xf numFmtId="167" fontId="4" fillId="2" borderId="1" xfId="0" applyNumberFormat="1" applyFont="1" applyFill="1" applyBorder="1"/>
    <xf numFmtId="168" fontId="4" fillId="2" borderId="1" xfId="0" applyNumberFormat="1" applyFont="1" applyFill="1" applyBorder="1"/>
    <xf numFmtId="166" fontId="4" fillId="3" borderId="1" xfId="0" applyNumberFormat="1" applyFont="1" applyFill="1" applyBorder="1"/>
    <xf numFmtId="169" fontId="4" fillId="3" borderId="1" xfId="0" applyNumberFormat="1" applyFont="1" applyFill="1" applyBorder="1"/>
    <xf numFmtId="0" fontId="3" fillId="2" borderId="5" xfId="0" applyFont="1" applyFill="1" applyBorder="1"/>
    <xf numFmtId="164" fontId="4" fillId="2" borderId="1" xfId="0" applyNumberFormat="1" applyFont="1" applyFill="1" applyBorder="1"/>
    <xf numFmtId="0" fontId="4" fillId="2" borderId="5" xfId="0" applyFont="1" applyFill="1" applyBorder="1" applyAlignment="1">
      <alignment horizontal="left"/>
    </xf>
    <xf numFmtId="0" fontId="5" fillId="0" borderId="0" xfId="0" applyFont="1"/>
    <xf numFmtId="169" fontId="4" fillId="2" borderId="1" xfId="0" applyNumberFormat="1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6" fillId="2" borderId="1" xfId="0" applyFont="1" applyFill="1" applyBorder="1"/>
    <xf numFmtId="168" fontId="4" fillId="4" borderId="1" xfId="0" applyNumberFormat="1" applyFont="1" applyFill="1" applyBorder="1"/>
    <xf numFmtId="166" fontId="4" fillId="4" borderId="1" xfId="0" applyNumberFormat="1" applyFont="1" applyFill="1" applyBorder="1"/>
    <xf numFmtId="164" fontId="4" fillId="4" borderId="1" xfId="0" applyNumberFormat="1" applyFont="1" applyFill="1" applyBorder="1"/>
    <xf numFmtId="168" fontId="6" fillId="2" borderId="1" xfId="0" applyNumberFormat="1" applyFont="1" applyFill="1" applyBorder="1"/>
    <xf numFmtId="166" fontId="6" fillId="2" borderId="1" xfId="0" applyNumberFormat="1" applyFont="1" applyFill="1" applyBorder="1"/>
    <xf numFmtId="43" fontId="4" fillId="2" borderId="1" xfId="0" applyNumberFormat="1" applyFont="1" applyFill="1" applyBorder="1"/>
    <xf numFmtId="1" fontId="4" fillId="4" borderId="1" xfId="0" applyNumberFormat="1" applyFont="1" applyFill="1" applyBorder="1"/>
    <xf numFmtId="1" fontId="6" fillId="2" borderId="1" xfId="0" applyNumberFormat="1" applyFont="1" applyFill="1" applyBorder="1"/>
    <xf numFmtId="0" fontId="4" fillId="2" borderId="7" xfId="0" applyFont="1" applyFill="1" applyBorder="1"/>
    <xf numFmtId="0" fontId="4" fillId="2" borderId="8" xfId="0" applyFont="1" applyFill="1" applyBorder="1"/>
    <xf numFmtId="0" fontId="4" fillId="2" borderId="9" xfId="0" applyFont="1" applyFill="1" applyBorder="1"/>
    <xf numFmtId="0" fontId="4" fillId="5" borderId="1" xfId="0" applyFont="1" applyFill="1" applyBorder="1"/>
    <xf numFmtId="166" fontId="4" fillId="5" borderId="1" xfId="0" applyNumberFormat="1" applyFont="1" applyFill="1" applyBorder="1"/>
    <xf numFmtId="166" fontId="4" fillId="2" borderId="3" xfId="0" applyNumberFormat="1" applyFont="1" applyFill="1" applyBorder="1"/>
    <xf numFmtId="170" fontId="4" fillId="2" borderId="1" xfId="0" applyNumberFormat="1" applyFont="1" applyFill="1" applyBorder="1"/>
    <xf numFmtId="169" fontId="3" fillId="2" borderId="1" xfId="0" applyNumberFormat="1" applyFont="1" applyFill="1" applyBorder="1"/>
    <xf numFmtId="168" fontId="3" fillId="2" borderId="1" xfId="0" applyNumberFormat="1" applyFont="1" applyFill="1" applyBorder="1"/>
    <xf numFmtId="164" fontId="4" fillId="5" borderId="1" xfId="0" applyNumberFormat="1" applyFont="1" applyFill="1" applyBorder="1"/>
    <xf numFmtId="0" fontId="4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165" fontId="4" fillId="2" borderId="1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/>
    <xf numFmtId="1" fontId="4" fillId="2" borderId="1" xfId="0" applyNumberFormat="1" applyFont="1" applyFill="1" applyBorder="1"/>
    <xf numFmtId="10" fontId="4" fillId="2" borderId="1" xfId="0" applyNumberFormat="1" applyFont="1" applyFill="1" applyBorder="1"/>
    <xf numFmtId="168" fontId="4" fillId="5" borderId="1" xfId="0" applyNumberFormat="1" applyFont="1" applyFill="1" applyBorder="1"/>
    <xf numFmtId="1" fontId="4" fillId="5" borderId="1" xfId="0" applyNumberFormat="1" applyFont="1" applyFill="1" applyBorder="1"/>
    <xf numFmtId="166" fontId="4" fillId="0" borderId="0" xfId="0" applyNumberFormat="1" applyFont="1"/>
    <xf numFmtId="171" fontId="4" fillId="2" borderId="1" xfId="0" applyNumberFormat="1" applyFont="1" applyFill="1" applyBorder="1"/>
    <xf numFmtId="0" fontId="4" fillId="6" borderId="1" xfId="0" applyFont="1" applyFill="1" applyBorder="1"/>
    <xf numFmtId="168" fontId="4" fillId="7" borderId="1" xfId="0" applyNumberFormat="1" applyFont="1" applyFill="1" applyBorder="1"/>
    <xf numFmtId="166" fontId="4" fillId="6" borderId="1" xfId="0" applyNumberFormat="1" applyFont="1" applyFill="1" applyBorder="1"/>
    <xf numFmtId="1" fontId="4" fillId="7" borderId="1" xfId="0" applyNumberFormat="1" applyFont="1" applyFill="1" applyBorder="1"/>
    <xf numFmtId="164" fontId="4" fillId="7" borderId="1" xfId="0" applyNumberFormat="1" applyFont="1" applyFill="1" applyBorder="1"/>
    <xf numFmtId="0" fontId="0" fillId="8" borderId="0" xfId="0" applyFill="1"/>
    <xf numFmtId="0" fontId="4" fillId="9" borderId="6" xfId="0" applyFont="1" applyFill="1" applyBorder="1"/>
    <xf numFmtId="0" fontId="8" fillId="8" borderId="0" xfId="0" applyFont="1" applyFill="1"/>
    <xf numFmtId="0" fontId="4" fillId="9" borderId="1" xfId="0" applyFont="1" applyFill="1" applyBorder="1"/>
    <xf numFmtId="0" fontId="2" fillId="0" borderId="0" xfId="0" applyFont="1"/>
    <xf numFmtId="0" fontId="0" fillId="10" borderId="0" xfId="0" applyFill="1"/>
    <xf numFmtId="165" fontId="4" fillId="2" borderId="1" xfId="1" applyNumberFormat="1" applyFont="1" applyFill="1" applyBorder="1"/>
    <xf numFmtId="166" fontId="4" fillId="2" borderId="8" xfId="0" applyNumberFormat="1" applyFont="1" applyFill="1" applyBorder="1"/>
    <xf numFmtId="0" fontId="5" fillId="11" borderId="0" xfId="0" applyFont="1" applyFill="1"/>
    <xf numFmtId="0" fontId="0" fillId="11" borderId="0" xfId="0" applyFill="1"/>
    <xf numFmtId="43" fontId="4" fillId="2" borderId="1" xfId="1" applyFont="1" applyFill="1" applyBorder="1"/>
    <xf numFmtId="166" fontId="4" fillId="2" borderId="0" xfId="0" applyNumberFormat="1" applyFont="1" applyFill="1"/>
    <xf numFmtId="0" fontId="9" fillId="12" borderId="1" xfId="0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1" fontId="10" fillId="2" borderId="1" xfId="0" applyNumberFormat="1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0" fontId="11" fillId="0" borderId="0" xfId="0" applyFont="1"/>
    <xf numFmtId="0" fontId="0" fillId="13" borderId="0" xfId="0" applyFill="1"/>
    <xf numFmtId="0" fontId="8" fillId="13" borderId="0" xfId="0" applyFont="1" applyFill="1"/>
    <xf numFmtId="1" fontId="0" fillId="11" borderId="0" xfId="0" applyNumberFormat="1" applyFill="1"/>
    <xf numFmtId="0" fontId="0" fillId="0" borderId="0" xfId="0" applyAlignment="1">
      <alignment wrapText="1"/>
    </xf>
    <xf numFmtId="1" fontId="0" fillId="11" borderId="0" xfId="0" applyNumberFormat="1" applyFill="1" applyAlignment="1">
      <alignment wrapText="1"/>
    </xf>
    <xf numFmtId="0" fontId="8" fillId="13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 wrapText="1"/>
    </xf>
    <xf numFmtId="0" fontId="8" fillId="13" borderId="0" xfId="0" applyFont="1" applyFill="1" applyAlignment="1">
      <alignment horizontal="center" wrapText="1"/>
    </xf>
    <xf numFmtId="0" fontId="8" fillId="0" borderId="0" xfId="0" applyFont="1" applyAlignment="1">
      <alignment wrapText="1"/>
    </xf>
    <xf numFmtId="0" fontId="1" fillId="0" borderId="0" xfId="0" applyFont="1"/>
    <xf numFmtId="0" fontId="10" fillId="2" borderId="1" xfId="0" applyFont="1" applyFill="1" applyBorder="1"/>
    <xf numFmtId="169" fontId="10" fillId="2" borderId="1" xfId="0" applyNumberFormat="1" applyFont="1" applyFill="1" applyBorder="1"/>
    <xf numFmtId="0" fontId="3" fillId="12" borderId="1" xfId="0" applyFont="1" applyFill="1" applyBorder="1"/>
    <xf numFmtId="0" fontId="8" fillId="13" borderId="0" xfId="0" applyFont="1" applyFill="1" applyAlignment="1">
      <alignment horizontal="center" vertical="center" wrapText="1"/>
    </xf>
    <xf numFmtId="0" fontId="8" fillId="13" borderId="1" xfId="0" applyFont="1" applyFill="1" applyBorder="1" applyAlignment="1">
      <alignment horizontal="center" vertical="center"/>
    </xf>
    <xf numFmtId="0" fontId="8" fillId="13" borderId="0" xfId="0" applyFont="1" applyFill="1" applyAlignment="1">
      <alignment horizont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en-ID" sz="1400" b="0" i="0">
                <a:solidFill>
                  <a:srgbClr val="000000"/>
                </a:solidFill>
                <a:latin typeface="Times New Roman"/>
              </a:rPr>
              <a:t>Electric buses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ID'!$P$55</c:f>
              <c:numCache>
                <c:formatCode>_-* #,##0_-;\-* #,##0_-;_-* "-"??_-;_-@</c:formatCode>
                <c:ptCount val="1"/>
                <c:pt idx="0">
                  <c:v>478964.75407627964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351-440C-996E-BE8DDB71380E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ID'!$P$56</c:f>
              <c:numCache>
                <c:formatCode>_-* #,##0_-;\-* #,##0_-;_-* "-"??_-;_-@</c:formatCode>
                <c:ptCount val="1"/>
                <c:pt idx="0">
                  <c:v>29829.375656737921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351-440C-996E-BE8DDB71380E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ID'!$P$57</c:f>
              <c:numCache>
                <c:formatCode>_-* #,##0_-;\-* #,##0_-;_-* "-"??_-;_-@</c:formatCode>
                <c:ptCount val="1"/>
                <c:pt idx="0">
                  <c:v>190470.39829112618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351-440C-996E-BE8DDB71380E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ID'!$P$58</c:f>
              <c:numCache>
                <c:formatCode>_-* #,##0_-;\-* #,##0_-;_-* "-"??_-;_-@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351-440C-996E-BE8DDB71380E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ID'!$P$59</c:f>
              <c:numCache>
                <c:formatCode>_-* #,##0_-;\-* #,##0_-;_-* "-"??_-;_-@</c:formatCode>
                <c:ptCount val="1"/>
                <c:pt idx="0">
                  <c:v>-70899.07291199264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351-440C-996E-BE8DDB713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2214879"/>
        <c:axId val="459569938"/>
      </c:barChart>
      <c:catAx>
        <c:axId val="1512214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459569938"/>
        <c:crosses val="autoZero"/>
        <c:auto val="1"/>
        <c:lblAlgn val="ctr"/>
        <c:lblOffset val="100"/>
        <c:noMultiLvlLbl val="1"/>
      </c:catAx>
      <c:valAx>
        <c:axId val="4595699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en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51221487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en-ID" sz="1400" b="0" i="0">
                <a:solidFill>
                  <a:srgbClr val="000000"/>
                </a:solidFill>
                <a:latin typeface="Times New Roman"/>
              </a:rPr>
              <a:t>Electric buses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3667786526684161"/>
          <c:y val="0.1299050076454176"/>
          <c:w val="0.83221102362204724"/>
          <c:h val="0.82942978465521655"/>
        </c:manualLayout>
      </c:layout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ID'!$R$55</c:f>
              <c:numCache>
                <c:formatCode>0.00</c:formatCode>
                <c:ptCount val="1"/>
                <c:pt idx="0">
                  <c:v>0.68080217485576966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035-4B74-8B0E-F53EE4EB2DCB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ID'!$R$56</c:f>
              <c:numCache>
                <c:formatCode>0.00</c:formatCode>
                <c:ptCount val="1"/>
                <c:pt idx="0">
                  <c:v>4.2399578776651917E-2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035-4B74-8B0E-F53EE4EB2DCB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ID'!$R$57</c:f>
              <c:numCache>
                <c:formatCode>0.00</c:formatCode>
                <c:ptCount val="1"/>
                <c:pt idx="0">
                  <c:v>0.27073528959834858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035-4B74-8B0E-F53EE4EB2DCB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ID'!$R$58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035-4B74-8B0E-F53EE4EB2DCB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ID'!$R$59</c:f>
              <c:numCache>
                <c:formatCode>0.00</c:formatCode>
                <c:ptCount val="1"/>
                <c:pt idx="0">
                  <c:v>-0.10077618994498122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035-4B74-8B0E-F53EE4EB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411829"/>
        <c:axId val="497793032"/>
      </c:barChart>
      <c:catAx>
        <c:axId val="1234118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497793032"/>
        <c:crosses val="autoZero"/>
        <c:auto val="1"/>
        <c:lblAlgn val="ctr"/>
        <c:lblOffset val="100"/>
        <c:noMultiLvlLbl val="1"/>
      </c:catAx>
      <c:valAx>
        <c:axId val="4977930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en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2341182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en-ID" sz="1400" b="0" i="0">
                <a:solidFill>
                  <a:srgbClr val="000000"/>
                </a:solidFill>
                <a:latin typeface="Times New Roman"/>
              </a:rPr>
              <a:t>ICE buses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ID'!$P$55</c:f>
              <c:numCache>
                <c:formatCode>_-* #,##0_-;\-* #,##0_-;_-* "-"??_-;_-@</c:formatCode>
                <c:ptCount val="1"/>
                <c:pt idx="0">
                  <c:v>183416.35316640601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D5A-4624-BD2E-F0175ADEAB18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ID'!$P$56</c:f>
              <c:numCache>
                <c:formatCode>_-* #,##0_-;\-* #,##0_-;_-* "-"??_-;_-@</c:formatCode>
                <c:ptCount val="1"/>
                <c:pt idx="0">
                  <c:v>121691.4351861044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D5A-4624-BD2E-F0175ADEAB18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D5A-4624-BD2E-F0175ADEAB18}"/>
              </c:ext>
            </c:extLst>
          </c:dPt>
          <c:val>
            <c:numRef>
              <c:f>'ICE-Bus ID'!$P$57</c:f>
              <c:numCache>
                <c:formatCode>_-* #,##0_-;\-* #,##0_-;_-* "-"??_-;_-@</c:formatCode>
                <c:ptCount val="1"/>
                <c:pt idx="0">
                  <c:v>113887.66178524151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D5A-4624-BD2E-F0175ADEAB18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ID'!$P$58</c:f>
              <c:numCache>
                <c:formatCode>_-* #,##0_-;\-* #,##0_-;_-* "-"??_-;_-@</c:formatCode>
                <c:ptCount val="1"/>
                <c:pt idx="0">
                  <c:v>-31529.254959793707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D5A-4624-BD2E-F0175ADEA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5677254"/>
        <c:axId val="785894348"/>
      </c:barChart>
      <c:catAx>
        <c:axId val="20456772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785894348"/>
        <c:crosses val="autoZero"/>
        <c:auto val="1"/>
        <c:lblAlgn val="ctr"/>
        <c:lblOffset val="100"/>
        <c:noMultiLvlLbl val="1"/>
      </c:catAx>
      <c:valAx>
        <c:axId val="7858943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en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204567725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en-ID" sz="1400" b="0" i="0">
                <a:solidFill>
                  <a:srgbClr val="000000"/>
                </a:solidFill>
                <a:latin typeface="Times New Roman"/>
              </a:rPr>
              <a:t>ICE buses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ID'!$R$55</c:f>
              <c:numCache>
                <c:formatCode>0.00</c:formatCode>
                <c:ptCount val="1"/>
                <c:pt idx="0">
                  <c:v>0.26070864521257942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A62-4D01-AB72-3BC8B44FE74E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ID'!$R$56</c:f>
              <c:numCache>
                <c:formatCode>0.00</c:formatCode>
                <c:ptCount val="1"/>
                <c:pt idx="0">
                  <c:v>0.17297263114025613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A62-4D01-AB72-3BC8B44FE74E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ID'!$R$57</c:f>
              <c:numCache>
                <c:formatCode>0.00</c:formatCode>
                <c:ptCount val="1"/>
                <c:pt idx="0">
                  <c:v>0.16188032036336975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A62-4D01-AB72-3BC8B44FE74E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ID'!$R$58</c:f>
              <c:numCache>
                <c:formatCode>0.00</c:formatCode>
                <c:ptCount val="1"/>
                <c:pt idx="0">
                  <c:v>-4.4815793157070356E-2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A62-4D01-AB72-3BC8B44FE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931851"/>
        <c:axId val="786281081"/>
      </c:barChart>
      <c:catAx>
        <c:axId val="5179318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786281081"/>
        <c:crosses val="autoZero"/>
        <c:auto val="1"/>
        <c:lblAlgn val="ctr"/>
        <c:lblOffset val="100"/>
        <c:noMultiLvlLbl val="1"/>
      </c:catAx>
      <c:valAx>
        <c:axId val="7862810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en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51793185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truck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ID'!$P$55</c:f>
              <c:numCache>
                <c:formatCode>_-* #,##0_-;\-* #,##0_-;_-* "-"??_-;_-@</c:formatCode>
                <c:ptCount val="1"/>
                <c:pt idx="0">
                  <c:v>85267.347122331805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465-4FD1-AF91-10F670BC8363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ID'!$P$56</c:f>
              <c:numCache>
                <c:formatCode>_-* #,##0_-;\-* #,##0_-;_-* "-"??_-;_-@</c:formatCode>
                <c:ptCount val="1"/>
                <c:pt idx="0">
                  <c:v>20577.674201678616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465-4FD1-AF91-10F670BC8363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ID'!$P$57</c:f>
              <c:numCache>
                <c:formatCode>_-* #,##0_-;\-* #,##0_-;_-* "-"??_-;_-@</c:formatCode>
                <c:ptCount val="1"/>
                <c:pt idx="0">
                  <c:v>34263.86562808531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465-4FD1-AF91-10F670BC8363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ID'!$P$58</c:f>
              <c:numCache>
                <c:formatCode>_-* #,##0_-;\-* #,##0_-;_-* "-"??_-;_-@</c:formatCode>
                <c:ptCount val="1"/>
                <c:pt idx="0">
                  <c:v>32035.78320620333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465-4FD1-AF91-10F670BC8363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ID'!$P$59</c:f>
              <c:numCache>
                <c:formatCode>_-* #,##0_-;\-* #,##0_-;_-* "-"??_-;_-@</c:formatCode>
                <c:ptCount val="1"/>
                <c:pt idx="0">
                  <c:v>-14171.38526068286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465-4FD1-AF91-10F670BC8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4241773"/>
        <c:axId val="1709850880"/>
      </c:barChart>
      <c:catAx>
        <c:axId val="7742417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709850880"/>
        <c:crosses val="autoZero"/>
        <c:auto val="1"/>
        <c:lblAlgn val="ctr"/>
        <c:lblOffset val="100"/>
        <c:noMultiLvlLbl val="1"/>
      </c:catAx>
      <c:valAx>
        <c:axId val="17098508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77424177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truck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3667786526684161"/>
          <c:y val="0.1299050076454176"/>
          <c:w val="0.83221102362204724"/>
          <c:h val="0.82942978465521655"/>
        </c:manualLayout>
      </c:layout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ID'!$R$55</c:f>
              <c:numCache>
                <c:formatCode>0.00</c:formatCode>
                <c:ptCount val="1"/>
                <c:pt idx="0">
                  <c:v>0.11595982571123216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243-473E-AF0D-8258F6C19182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ID'!$R$56</c:f>
              <c:numCache>
                <c:formatCode>0.00</c:formatCode>
                <c:ptCount val="1"/>
                <c:pt idx="0">
                  <c:v>2.7984727970318441E-2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243-473E-AF0D-8258F6C19182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ID'!$R$57</c:f>
              <c:numCache>
                <c:formatCode>0.00</c:formatCode>
                <c:ptCount val="1"/>
                <c:pt idx="0">
                  <c:v>4.6597343772470289E-2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243-473E-AF0D-8258F6C19182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ID'!$R$58</c:f>
              <c:numCache>
                <c:formatCode>0.00</c:formatCode>
                <c:ptCount val="1"/>
                <c:pt idx="0">
                  <c:v>4.3567250096153406E-2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243-473E-AF0D-8258F6C19182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ID'!$R$59</c:f>
              <c:numCache>
                <c:formatCode>0.00</c:formatCode>
                <c:ptCount val="1"/>
                <c:pt idx="0">
                  <c:v>-1.9272457985093333E-2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D243-473E-AF0D-8258F6C19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4307175"/>
        <c:axId val="1549791247"/>
      </c:barChart>
      <c:catAx>
        <c:axId val="994307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549791247"/>
        <c:crosses val="autoZero"/>
        <c:auto val="1"/>
        <c:lblAlgn val="ctr"/>
        <c:lblOffset val="100"/>
        <c:noMultiLvlLbl val="1"/>
      </c:catAx>
      <c:valAx>
        <c:axId val="15497912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99430717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truck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ID'!$P$55</c:f>
              <c:numCache>
                <c:formatCode>_-* #,##0_-;\-* #,##0_-;_-* "-"??_-;_-@</c:formatCode>
                <c:ptCount val="1"/>
                <c:pt idx="0">
                  <c:v>23820.828175967428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037-451A-B654-29E8AB75305E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ID'!$P$56</c:f>
              <c:numCache>
                <c:formatCode>_-* #,##0_-;\-* #,##0_-;_-* "-"??_-;_-@</c:formatCode>
                <c:ptCount val="1"/>
                <c:pt idx="0">
                  <c:v>41531.392386870495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037-451A-B654-29E8AB75305E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037-451A-B654-29E8AB75305E}"/>
              </c:ext>
            </c:extLst>
          </c:dPt>
          <c:val>
            <c:numRef>
              <c:f>'ICE-Truck ID'!$P$57</c:f>
              <c:numCache>
                <c:formatCode>_-* #,##0_-;\-* #,##0_-;_-* "-"??_-;_-@</c:formatCode>
                <c:ptCount val="1"/>
                <c:pt idx="0">
                  <c:v>57075.559291198821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037-451A-B654-29E8AB75305E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ID'!$P$58</c:f>
              <c:numCache>
                <c:formatCode>_-* #,##0_-;\-* #,##0_-;_-* "-"??_-;_-@</c:formatCode>
                <c:ptCount val="1"/>
                <c:pt idx="0">
                  <c:v>-3991.0449316194563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037-451A-B654-29E8AB753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522842"/>
        <c:axId val="810389732"/>
      </c:barChart>
      <c:catAx>
        <c:axId val="4455228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810389732"/>
        <c:crosses val="autoZero"/>
        <c:auto val="1"/>
        <c:lblAlgn val="ctr"/>
        <c:lblOffset val="100"/>
        <c:noMultiLvlLbl val="1"/>
      </c:catAx>
      <c:valAx>
        <c:axId val="8103897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4455228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truck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ID'!$R$55</c:f>
              <c:numCache>
                <c:formatCode>0.00</c:formatCode>
                <c:ptCount val="1"/>
                <c:pt idx="0">
                  <c:v>3.2395274120812258E-2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07C-4F24-8E55-EDE7CF4EE22B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ID'!$R$56</c:f>
              <c:numCache>
                <c:formatCode>0.00</c:formatCode>
                <c:ptCount val="1"/>
                <c:pt idx="0">
                  <c:v>5.648085914783875E-2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07C-4F24-8E55-EDE7CF4EE22B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ID'!$R$57</c:f>
              <c:numCache>
                <c:formatCode>0.00</c:formatCode>
                <c:ptCount val="1"/>
                <c:pt idx="0">
                  <c:v>7.7620239530650434E-2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07C-4F24-8E55-EDE7CF4EE22B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ID'!$R$58</c:f>
              <c:numCache>
                <c:formatCode>0.00</c:formatCode>
                <c:ptCount val="1"/>
                <c:pt idx="0">
                  <c:v>-5.4276448170988015E-3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07C-4F24-8E55-EDE7CF4EE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383693"/>
        <c:axId val="489333060"/>
      </c:barChart>
      <c:catAx>
        <c:axId val="4783836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489333060"/>
        <c:crosses val="autoZero"/>
        <c:auto val="1"/>
        <c:lblAlgn val="ctr"/>
        <c:lblOffset val="100"/>
        <c:noMultiLvlLbl val="1"/>
      </c:catAx>
      <c:valAx>
        <c:axId val="4893330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47838369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cargo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ID'!$P$55</c:f>
              <c:numCache>
                <c:formatCode>_-* #,##0_-;\-* #,##0_-;_-* "-"??_-;_-@</c:formatCode>
                <c:ptCount val="1"/>
                <c:pt idx="0">
                  <c:v>26959.28935129353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A3C-43FF-A2E4-597485588F14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ID'!$P$56</c:f>
              <c:numCache>
                <c:formatCode>_-* #,##0_-;\-* #,##0_-;_-* "-"??_-;_-@</c:formatCode>
                <c:ptCount val="1"/>
                <c:pt idx="0">
                  <c:v>4689.8331918618769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A3C-43FF-A2E4-597485588F14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ID'!$P$57</c:f>
              <c:numCache>
                <c:formatCode>_-* #,##0_-;\-* #,##0_-;_-* "-"??_-;_-@</c:formatCode>
                <c:ptCount val="1"/>
                <c:pt idx="0">
                  <c:v>4031.7419859285601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A3C-43FF-A2E4-597485588F14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ID'!$P$58</c:f>
              <c:numCache>
                <c:formatCode>_-* #,##0_-;\-* #,##0_-;_-* "-"??_-;_-@</c:formatCode>
                <c:ptCount val="1"/>
                <c:pt idx="0">
                  <c:v>2984.8615865465104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A3C-43FF-A2E4-597485588F14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ID'!$P$59</c:f>
              <c:numCache>
                <c:formatCode>_-* #,##0_-;\-* #,##0_-;_-* "-"??_-;_-@</c:formatCode>
                <c:ptCount val="1"/>
                <c:pt idx="0">
                  <c:v>-4303.1062243777496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A3C-43FF-A2E4-59748558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3153507"/>
        <c:axId val="929610455"/>
      </c:barChart>
      <c:catAx>
        <c:axId val="13631535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929610455"/>
        <c:crosses val="autoZero"/>
        <c:auto val="1"/>
        <c:lblAlgn val="ctr"/>
        <c:lblOffset val="100"/>
        <c:noMultiLvlLbl val="1"/>
      </c:catAx>
      <c:valAx>
        <c:axId val="9296104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363153507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cargo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3667786526684161"/>
          <c:y val="0.1299050076454176"/>
          <c:w val="0.83221102362204724"/>
          <c:h val="0.82942978465521655"/>
        </c:manualLayout>
      </c:layout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ID'!$R$55</c:f>
              <c:numCache>
                <c:formatCode>0.00</c:formatCode>
                <c:ptCount val="1"/>
                <c:pt idx="0">
                  <c:v>0.13479644675646765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D5F-4008-84F3-2B7888560FC7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ID'!$R$56</c:f>
              <c:numCache>
                <c:formatCode>0.00</c:formatCode>
                <c:ptCount val="1"/>
                <c:pt idx="0">
                  <c:v>2.3449165959309383E-2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D5F-4008-84F3-2B7888560FC7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ID'!$R$57</c:f>
              <c:numCache>
                <c:formatCode>0.00</c:formatCode>
                <c:ptCount val="1"/>
                <c:pt idx="0">
                  <c:v>2.0158709929642801E-2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D5F-4008-84F3-2B7888560FC7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ID'!$R$58</c:f>
              <c:numCache>
                <c:formatCode>0.00</c:formatCode>
                <c:ptCount val="1"/>
                <c:pt idx="0">
                  <c:v>1.4924307932732552E-2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D5F-4008-84F3-2B7888560FC7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ID'!$R$59</c:f>
              <c:numCache>
                <c:formatCode>0.00</c:formatCode>
                <c:ptCount val="1"/>
                <c:pt idx="0">
                  <c:v>-2.1515531121888747E-2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D5F-4008-84F3-2B7888560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864894"/>
        <c:axId val="705515156"/>
      </c:barChart>
      <c:catAx>
        <c:axId val="1458648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705515156"/>
        <c:crosses val="autoZero"/>
        <c:auto val="1"/>
        <c:lblAlgn val="ctr"/>
        <c:lblOffset val="100"/>
        <c:noMultiLvlLbl val="1"/>
      </c:catAx>
      <c:valAx>
        <c:axId val="7055151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4586489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cargo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ID'!$P$55</c:f>
              <c:numCache>
                <c:formatCode>_-* #,##0_-;\-* #,##0_-;_-* "-"??_-;_-@</c:formatCode>
                <c:ptCount val="1"/>
                <c:pt idx="0">
                  <c:v>11433.997524464368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2BA-4F4D-A3DC-2E6B30C5775E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ID'!$P$56</c:f>
              <c:numCache>
                <c:formatCode>_-* #,##0_-;\-* #,##0_-;_-* "-"??_-;_-@</c:formatCode>
                <c:ptCount val="1"/>
                <c:pt idx="0">
                  <c:v>7527.320382754242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2BA-4F4D-A3DC-2E6B30C5775E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2BA-4F4D-A3DC-2E6B30C5775E}"/>
              </c:ext>
            </c:extLst>
          </c:dPt>
          <c:val>
            <c:numRef>
              <c:f>'ICE-Cargo ID'!$P$57</c:f>
              <c:numCache>
                <c:formatCode>_-* #,##0_-;\-* #,##0_-;_-* "-"??_-;_-@</c:formatCode>
                <c:ptCount val="1"/>
                <c:pt idx="0">
                  <c:v>5159.4274262059462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2BA-4F4D-A3DC-2E6B30C5775E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ID'!$P$58</c:f>
              <c:numCache>
                <c:formatCode>_-* #,##0_-;\-* #,##0_-;_-* "-"??_-;_-@</c:formatCode>
                <c:ptCount val="1"/>
                <c:pt idx="0">
                  <c:v>-1915.701567177339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2BA-4F4D-A3DC-2E6B30C57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351034"/>
        <c:axId val="1957546183"/>
      </c:barChart>
      <c:catAx>
        <c:axId val="1343510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957546183"/>
        <c:crosses val="autoZero"/>
        <c:auto val="1"/>
        <c:lblAlgn val="ctr"/>
        <c:lblOffset val="100"/>
        <c:noMultiLvlLbl val="1"/>
      </c:catAx>
      <c:valAx>
        <c:axId val="19575461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3435103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cargo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ID'!$R$55</c:f>
              <c:numCache>
                <c:formatCode>0.00</c:formatCode>
                <c:ptCount val="1"/>
                <c:pt idx="0">
                  <c:v>5.7169987622321838E-2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033-48AC-BF7F-69A362C398EB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ID'!$R$56</c:f>
              <c:numCache>
                <c:formatCode>0.00</c:formatCode>
                <c:ptCount val="1"/>
                <c:pt idx="0">
                  <c:v>3.763660191377121E-2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033-48AC-BF7F-69A362C398EB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ID'!$R$57</c:f>
              <c:numCache>
                <c:formatCode>0.00</c:formatCode>
                <c:ptCount val="1"/>
                <c:pt idx="0">
                  <c:v>2.579713713102973E-2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033-48AC-BF7F-69A362C398EB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ID'!$R$58</c:f>
              <c:numCache>
                <c:formatCode>0.00</c:formatCode>
                <c:ptCount val="1"/>
                <c:pt idx="0">
                  <c:v>-9.5785078358866949E-3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033-48AC-BF7F-69A362C39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903855"/>
        <c:axId val="1374952949"/>
      </c:barChart>
      <c:catAx>
        <c:axId val="542903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374952949"/>
        <c:crosses val="autoZero"/>
        <c:auto val="1"/>
        <c:lblAlgn val="ctr"/>
        <c:lblOffset val="100"/>
        <c:noMultiLvlLbl val="1"/>
      </c:catAx>
      <c:valAx>
        <c:axId val="13749529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54290385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 b="1"/>
              <a:t>E-bus</a:t>
            </a:r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0305023314883552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Sensitivity!$C$4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Sensitivity!$C$5:$C$15</c:f>
              <c:numCache>
                <c:formatCode>0</c:formatCode>
                <c:ptCount val="11"/>
                <c:pt idx="0">
                  <c:v>-33.5379719852859</c:v>
                </c:pt>
                <c:pt idx="1">
                  <c:v>-26.830377588228714</c:v>
                </c:pt>
                <c:pt idx="2">
                  <c:v>-20.122783191171564</c:v>
                </c:pt>
                <c:pt idx="3">
                  <c:v>-13.415188794114345</c:v>
                </c:pt>
                <c:pt idx="4">
                  <c:v>-6.7075943970571821</c:v>
                </c:pt>
                <c:pt idx="5">
                  <c:v>0</c:v>
                </c:pt>
                <c:pt idx="6">
                  <c:v>6.7075943970571634</c:v>
                </c:pt>
                <c:pt idx="7">
                  <c:v>13.415188794114327</c:v>
                </c:pt>
                <c:pt idx="8">
                  <c:v>20.122783191171528</c:v>
                </c:pt>
                <c:pt idx="9">
                  <c:v>26.830377588228689</c:v>
                </c:pt>
                <c:pt idx="10">
                  <c:v>33.537971985285871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B-4FCB-80D8-4FB6E377CE17}"/>
            </c:ext>
          </c:extLst>
        </c:ser>
        <c:ser>
          <c:idx val="2"/>
          <c:order val="1"/>
          <c:tx>
            <c:strRef>
              <c:f>Sensitivity!$D$4</c:f>
              <c:strCache>
                <c:ptCount val="1"/>
                <c:pt idx="0">
                  <c:v>Electricity tarrif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Sensitivity!$D$5:$D$15</c:f>
              <c:numCache>
                <c:formatCode>0</c:formatCode>
                <c:ptCount val="11"/>
                <c:pt idx="0">
                  <c:v>-2.3735690285054289</c:v>
                </c:pt>
                <c:pt idx="1">
                  <c:v>-1.8988552228043247</c:v>
                </c:pt>
                <c:pt idx="2">
                  <c:v>-1.4241414171032574</c:v>
                </c:pt>
                <c:pt idx="3">
                  <c:v>-0.94942761140219023</c:v>
                </c:pt>
                <c:pt idx="4">
                  <c:v>-0.47471380570110433</c:v>
                </c:pt>
                <c:pt idx="5">
                  <c:v>0</c:v>
                </c:pt>
                <c:pt idx="6">
                  <c:v>0.47471380570104882</c:v>
                </c:pt>
                <c:pt idx="7">
                  <c:v>0.94942761140215315</c:v>
                </c:pt>
                <c:pt idx="8">
                  <c:v>1.4241414171032019</c:v>
                </c:pt>
                <c:pt idx="9">
                  <c:v>1.8988552228042879</c:v>
                </c:pt>
                <c:pt idx="10">
                  <c:v>2.3735690285053921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B-4FCB-80D8-4FB6E377CE17}"/>
            </c:ext>
          </c:extLst>
        </c:ser>
        <c:ser>
          <c:idx val="3"/>
          <c:order val="2"/>
          <c:tx>
            <c:strRef>
              <c:f>Sensitivity!$E$4</c:f>
              <c:strCache>
                <c:ptCount val="1"/>
                <c:pt idx="0">
                  <c:v>Battery cost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Sensitivity!$E$5:$E$15</c:f>
              <c:numCache>
                <c:formatCode>0</c:formatCode>
                <c:ptCount val="11"/>
                <c:pt idx="0">
                  <c:v>-3.9754144887849709</c:v>
                </c:pt>
                <c:pt idx="1">
                  <c:v>-3.1803315910279841</c:v>
                </c:pt>
                <c:pt idx="2">
                  <c:v>-2.3852486932709969</c:v>
                </c:pt>
                <c:pt idx="3">
                  <c:v>-1.5901657955139921</c:v>
                </c:pt>
                <c:pt idx="4">
                  <c:v>-0.79508289775700525</c:v>
                </c:pt>
                <c:pt idx="5">
                  <c:v>0</c:v>
                </c:pt>
                <c:pt idx="6">
                  <c:v>0.79508289775698671</c:v>
                </c:pt>
                <c:pt idx="7">
                  <c:v>1.5901657955139734</c:v>
                </c:pt>
                <c:pt idx="8">
                  <c:v>2.3852486932709787</c:v>
                </c:pt>
                <c:pt idx="9">
                  <c:v>3.1803315910279655</c:v>
                </c:pt>
                <c:pt idx="10">
                  <c:v>3.9754144887849523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B-4FCB-80D8-4FB6E377CE17}"/>
            </c:ext>
          </c:extLst>
        </c:ser>
        <c:ser>
          <c:idx val="4"/>
          <c:order val="3"/>
          <c:tx>
            <c:strRef>
              <c:f>Sensitivity!$F$4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Sensitivity!$F$5:$F$15</c:f>
              <c:numCache>
                <c:formatCode>0</c:formatCode>
                <c:ptCount val="11"/>
                <c:pt idx="0">
                  <c:v>-17.520313924637801</c:v>
                </c:pt>
                <c:pt idx="1">
                  <c:v>-14.016251139710231</c:v>
                </c:pt>
                <c:pt idx="2">
                  <c:v>-10.512188354782687</c:v>
                </c:pt>
                <c:pt idx="3">
                  <c:v>-7.0081255698551237</c:v>
                </c:pt>
                <c:pt idx="4">
                  <c:v>-3.5040627849275432</c:v>
                </c:pt>
                <c:pt idx="5">
                  <c:v>0</c:v>
                </c:pt>
                <c:pt idx="6">
                  <c:v>3.5040627849275432</c:v>
                </c:pt>
                <c:pt idx="7">
                  <c:v>7.0081255698550864</c:v>
                </c:pt>
                <c:pt idx="8">
                  <c:v>13.815426451871929</c:v>
                </c:pt>
                <c:pt idx="9">
                  <c:v>17.484651141653977</c:v>
                </c:pt>
                <c:pt idx="10">
                  <c:v>21.16213392667871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2B-4FCB-80D8-4FB6E377CE17}"/>
            </c:ext>
          </c:extLst>
        </c:ser>
        <c:ser>
          <c:idx val="5"/>
          <c:order val="4"/>
          <c:tx>
            <c:strRef>
              <c:f>Sensitivity!$G$4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Sensitivity!$G$5:$G$15</c:f>
              <c:numCache>
                <c:formatCode>0</c:formatCode>
                <c:ptCount val="11"/>
                <c:pt idx="0">
                  <c:v>-15.14674489613242</c:v>
                </c:pt>
                <c:pt idx="1">
                  <c:v>-12.117395916905942</c:v>
                </c:pt>
                <c:pt idx="2">
                  <c:v>-9.088046937679465</c:v>
                </c:pt>
                <c:pt idx="3">
                  <c:v>-6.058697958452953</c:v>
                </c:pt>
                <c:pt idx="4">
                  <c:v>-3.0293489792264947</c:v>
                </c:pt>
                <c:pt idx="5">
                  <c:v>0</c:v>
                </c:pt>
                <c:pt idx="6">
                  <c:v>3.0293489792264947</c:v>
                </c:pt>
                <c:pt idx="7">
                  <c:v>6.0586979584529344</c:v>
                </c:pt>
                <c:pt idx="8">
                  <c:v>9.08804693767941</c:v>
                </c:pt>
                <c:pt idx="9">
                  <c:v>12.117395916905906</c:v>
                </c:pt>
                <c:pt idx="10">
                  <c:v>15.1467448961324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2B-4FCB-80D8-4FB6E377CE17}"/>
            </c:ext>
          </c:extLst>
        </c:ser>
        <c:ser>
          <c:idx val="0"/>
          <c:order val="5"/>
          <c:tx>
            <c:strRef>
              <c:f>Sensitivity!$H$4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Sensitivity!$H$5:$H$15</c:f>
              <c:numCache>
                <c:formatCode>0</c:formatCode>
                <c:ptCount val="11"/>
                <c:pt idx="0">
                  <c:v>2.3735690285053921</c:v>
                </c:pt>
                <c:pt idx="1">
                  <c:v>1.8988552228042879</c:v>
                </c:pt>
                <c:pt idx="2">
                  <c:v>1.4241414171032019</c:v>
                </c:pt>
                <c:pt idx="3">
                  <c:v>0.94942761140215315</c:v>
                </c:pt>
                <c:pt idx="4">
                  <c:v>0.47471380570104882</c:v>
                </c:pt>
                <c:pt idx="5">
                  <c:v>0</c:v>
                </c:pt>
                <c:pt idx="6">
                  <c:v>-0.47471380570110433</c:v>
                </c:pt>
                <c:pt idx="7">
                  <c:v>-0.94942761140219023</c:v>
                </c:pt>
                <c:pt idx="8">
                  <c:v>-1.4241414171032574</c:v>
                </c:pt>
                <c:pt idx="9">
                  <c:v>-1.8988552228043247</c:v>
                </c:pt>
                <c:pt idx="10">
                  <c:v>-2.3735690285054289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2B-4FCB-80D8-4FB6E377C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189275070103599"/>
              <c:y val="0.484194553802959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∆TCO (%)</a:t>
                </a:r>
              </a:p>
            </c:rich>
          </c:tx>
          <c:layout>
            <c:manualLayout>
              <c:xMode val="edge"/>
              <c:yMode val="edge"/>
              <c:x val="0.52798793642239705"/>
              <c:y val="9.69131922496989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974890194164904E-2"/>
          <c:y val="0.85037360035678544"/>
          <c:w val="0.93649009886074819"/>
          <c:h val="0.119963259096150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E-truck</a:t>
            </a:r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0305023314883552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Sensitivity!$C$19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Sensitivity!$C$20:$C$30</c:f>
              <c:numCache>
                <c:formatCode>0</c:formatCode>
                <c:ptCount val="11"/>
                <c:pt idx="0">
                  <c:v>-26.987900890202525</c:v>
                </c:pt>
                <c:pt idx="1">
                  <c:v>-21.590320712162004</c:v>
                </c:pt>
                <c:pt idx="2">
                  <c:v>-16.192740534121491</c:v>
                </c:pt>
                <c:pt idx="3">
                  <c:v>-10.795160356080988</c:v>
                </c:pt>
                <c:pt idx="4">
                  <c:v>-5.3975801780404851</c:v>
                </c:pt>
                <c:pt idx="5">
                  <c:v>0</c:v>
                </c:pt>
                <c:pt idx="6">
                  <c:v>5.3975801780405028</c:v>
                </c:pt>
                <c:pt idx="7">
                  <c:v>10.795160356081006</c:v>
                </c:pt>
                <c:pt idx="8">
                  <c:v>16.192740534121508</c:v>
                </c:pt>
                <c:pt idx="9">
                  <c:v>21.590320712162033</c:v>
                </c:pt>
                <c:pt idx="10">
                  <c:v>26.987900890202514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C-42F9-B848-ADAADADD7AC0}"/>
            </c:ext>
          </c:extLst>
        </c:ser>
        <c:ser>
          <c:idx val="2"/>
          <c:order val="1"/>
          <c:tx>
            <c:strRef>
              <c:f>Sensitivity!$D$19</c:f>
              <c:strCache>
                <c:ptCount val="1"/>
                <c:pt idx="0">
                  <c:v>Electricity tarrif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Sensitivity!$D$20:$D$30</c:f>
              <c:numCache>
                <c:formatCode>0</c:formatCode>
                <c:ptCount val="11"/>
                <c:pt idx="0">
                  <c:v>-5.6631322276038034</c:v>
                </c:pt>
                <c:pt idx="1">
                  <c:v>-4.530505782083039</c:v>
                </c:pt>
                <c:pt idx="2">
                  <c:v>-3.3978793365622746</c:v>
                </c:pt>
                <c:pt idx="3">
                  <c:v>-2.2652528910415288</c:v>
                </c:pt>
                <c:pt idx="4">
                  <c:v>-1.1326264455207828</c:v>
                </c:pt>
                <c:pt idx="5">
                  <c:v>0</c:v>
                </c:pt>
                <c:pt idx="6">
                  <c:v>1.1326264455207276</c:v>
                </c:pt>
                <c:pt idx="7">
                  <c:v>2.265252891041492</c:v>
                </c:pt>
                <c:pt idx="8">
                  <c:v>3.3978793365622746</c:v>
                </c:pt>
                <c:pt idx="9">
                  <c:v>4.5305057820830203</c:v>
                </c:pt>
                <c:pt idx="10">
                  <c:v>5.663132227603767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C-42F9-B848-ADAADADD7AC0}"/>
            </c:ext>
          </c:extLst>
        </c:ser>
        <c:ser>
          <c:idx val="3"/>
          <c:order val="2"/>
          <c:tx>
            <c:strRef>
              <c:f>Sensitivity!$E$19</c:f>
              <c:strCache>
                <c:ptCount val="1"/>
                <c:pt idx="0">
                  <c:v>Battery cost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Sensitivity!$E$20:$E$30</c:f>
              <c:numCache>
                <c:formatCode>0</c:formatCode>
                <c:ptCount val="11"/>
                <c:pt idx="0">
                  <c:v>-3.9777750169354844</c:v>
                </c:pt>
                <c:pt idx="1">
                  <c:v>-3.1822200135483909</c:v>
                </c:pt>
                <c:pt idx="2">
                  <c:v>-2.3866650101612978</c:v>
                </c:pt>
                <c:pt idx="3">
                  <c:v>-1.591110006774205</c:v>
                </c:pt>
                <c:pt idx="4">
                  <c:v>-0.79555500338709306</c:v>
                </c:pt>
                <c:pt idx="5">
                  <c:v>0</c:v>
                </c:pt>
                <c:pt idx="6">
                  <c:v>0.7955550033871116</c:v>
                </c:pt>
                <c:pt idx="7">
                  <c:v>1.591110006774205</c:v>
                </c:pt>
                <c:pt idx="8">
                  <c:v>2.386665010161316</c:v>
                </c:pt>
                <c:pt idx="9">
                  <c:v>3.18222001354841</c:v>
                </c:pt>
                <c:pt idx="10">
                  <c:v>3.9777750169355399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C-42F9-B848-ADAADADD7AC0}"/>
            </c:ext>
          </c:extLst>
        </c:ser>
        <c:ser>
          <c:idx val="4"/>
          <c:order val="3"/>
          <c:tx>
            <c:strRef>
              <c:f>Sensitivity!$F$19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Sensitivity!$F$20:$F$30</c:f>
              <c:numCache>
                <c:formatCode>0</c:formatCode>
                <c:ptCount val="11"/>
                <c:pt idx="0">
                  <c:v>-29.501702815804347</c:v>
                </c:pt>
                <c:pt idx="1">
                  <c:v>-26.042557280846033</c:v>
                </c:pt>
                <c:pt idx="2">
                  <c:v>-18.517979898762142</c:v>
                </c:pt>
                <c:pt idx="3">
                  <c:v>-15.058834363803808</c:v>
                </c:pt>
                <c:pt idx="4">
                  <c:v>-3.4591455349583153</c:v>
                </c:pt>
                <c:pt idx="5">
                  <c:v>0</c:v>
                </c:pt>
                <c:pt idx="6">
                  <c:v>3.459145534958278</c:v>
                </c:pt>
                <c:pt idx="7">
                  <c:v>6.9182910699165934</c:v>
                </c:pt>
                <c:pt idx="8">
                  <c:v>31.670639685582032</c:v>
                </c:pt>
                <c:pt idx="9">
                  <c:v>35.129785220540349</c:v>
                </c:pt>
                <c:pt idx="10">
                  <c:v>38.58893075549868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3C-42F9-B848-ADAADADD7AC0}"/>
            </c:ext>
          </c:extLst>
        </c:ser>
        <c:ser>
          <c:idx val="5"/>
          <c:order val="4"/>
          <c:tx>
            <c:strRef>
              <c:f>Sensitivity!$G$19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Sensitivity!$G$20:$G$30</c:f>
              <c:numCache>
                <c:formatCode>0</c:formatCode>
                <c:ptCount val="11"/>
                <c:pt idx="0">
                  <c:v>-10.78270421800414</c:v>
                </c:pt>
                <c:pt idx="1">
                  <c:v>-8.6261633744033386</c:v>
                </c:pt>
                <c:pt idx="2">
                  <c:v>-6.469622530802499</c:v>
                </c:pt>
                <c:pt idx="3">
                  <c:v>-4.3130816872016409</c:v>
                </c:pt>
                <c:pt idx="4">
                  <c:v>-2.1565408436008573</c:v>
                </c:pt>
                <c:pt idx="5">
                  <c:v>0</c:v>
                </c:pt>
                <c:pt idx="6">
                  <c:v>2.1565408436008204</c:v>
                </c:pt>
                <c:pt idx="7">
                  <c:v>4.3130816872016222</c:v>
                </c:pt>
                <c:pt idx="8">
                  <c:v>6.4696225308024617</c:v>
                </c:pt>
                <c:pt idx="9">
                  <c:v>8.626163374403319</c:v>
                </c:pt>
                <c:pt idx="10">
                  <c:v>10.782704218004122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3C-42F9-B848-ADAADADD7AC0}"/>
            </c:ext>
          </c:extLst>
        </c:ser>
        <c:ser>
          <c:idx val="0"/>
          <c:order val="5"/>
          <c:tx>
            <c:strRef>
              <c:f>Sensitivity!$H$19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Sensitivity!$H$20:$H$30</c:f>
              <c:numCache>
                <c:formatCode>0</c:formatCode>
                <c:ptCount val="11"/>
                <c:pt idx="0">
                  <c:v>6.5130234567873995</c:v>
                </c:pt>
                <c:pt idx="1">
                  <c:v>5.2104187654299228</c:v>
                </c:pt>
                <c:pt idx="2">
                  <c:v>3.9078140740724283</c:v>
                </c:pt>
                <c:pt idx="3">
                  <c:v>2.6052093827149521</c:v>
                </c:pt>
                <c:pt idx="4">
                  <c:v>1.3026046913574945</c:v>
                </c:pt>
                <c:pt idx="5">
                  <c:v>0</c:v>
                </c:pt>
                <c:pt idx="6">
                  <c:v>-1.3026046913574945</c:v>
                </c:pt>
                <c:pt idx="7">
                  <c:v>-2.6052093827149521</c:v>
                </c:pt>
                <c:pt idx="8">
                  <c:v>-3.9078140740724465</c:v>
                </c:pt>
                <c:pt idx="9">
                  <c:v>-5.2104187654299228</c:v>
                </c:pt>
                <c:pt idx="10">
                  <c:v>-6.5130234567873995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3C-42F9-B848-ADAADADD7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2575371243996611"/>
              <c:y val="0.4853482810763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∆TCO (%)</a:t>
                </a:r>
              </a:p>
            </c:rich>
          </c:tx>
          <c:layout>
            <c:manualLayout>
              <c:xMode val="edge"/>
              <c:yMode val="edge"/>
              <c:x val="0.52537078366796508"/>
              <c:y val="6.82559211348581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974890194164904E-2"/>
          <c:y val="0.84045314648168978"/>
          <c:w val="0.93649009886074819"/>
          <c:h val="0.1298837645294338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E-</a:t>
            </a:r>
            <a:r>
              <a:rPr lang="en-US"/>
              <a:t>van</a:t>
            </a:r>
            <a:endParaRPr lang="id-ID"/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0305023314883552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Sensitivity!$C$34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Sensitivity!$C$35:$C$45</c:f>
              <c:numCache>
                <c:formatCode>0</c:formatCode>
                <c:ptCount val="11"/>
                <c:pt idx="0">
                  <c:v>-39.227639563880047</c:v>
                </c:pt>
                <c:pt idx="1">
                  <c:v>-31.382111651104051</c:v>
                </c:pt>
                <c:pt idx="2">
                  <c:v>-23.536583738328037</c:v>
                </c:pt>
                <c:pt idx="3">
                  <c:v>-15.691055825552025</c:v>
                </c:pt>
                <c:pt idx="4">
                  <c:v>-7.8455279127760127</c:v>
                </c:pt>
                <c:pt idx="5">
                  <c:v>0</c:v>
                </c:pt>
                <c:pt idx="6">
                  <c:v>7.8455279127760127</c:v>
                </c:pt>
                <c:pt idx="7">
                  <c:v>15.691055825552006</c:v>
                </c:pt>
                <c:pt idx="8">
                  <c:v>23.536583738328019</c:v>
                </c:pt>
                <c:pt idx="9">
                  <c:v>31.382111651104012</c:v>
                </c:pt>
                <c:pt idx="10">
                  <c:v>39.227639563880004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46-4284-A9DE-8324E745641C}"/>
            </c:ext>
          </c:extLst>
        </c:ser>
        <c:ser>
          <c:idx val="2"/>
          <c:order val="1"/>
          <c:tx>
            <c:strRef>
              <c:f>Sensitivity!$D$34</c:f>
              <c:strCache>
                <c:ptCount val="1"/>
                <c:pt idx="0">
                  <c:v>Electricity tarrif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Sensitivity!$D$35:$D$45</c:f>
              <c:numCache>
                <c:formatCode>0</c:formatCode>
                <c:ptCount val="11"/>
                <c:pt idx="0">
                  <c:v>-5.2922898856258005</c:v>
                </c:pt>
                <c:pt idx="1">
                  <c:v>-4.2338319085006537</c:v>
                </c:pt>
                <c:pt idx="2">
                  <c:v>-3.1753739313755061</c:v>
                </c:pt>
                <c:pt idx="3">
                  <c:v>-2.1169159542503371</c:v>
                </c:pt>
                <c:pt idx="4">
                  <c:v>-1.0584579771251685</c:v>
                </c:pt>
                <c:pt idx="5">
                  <c:v>0</c:v>
                </c:pt>
                <c:pt idx="6">
                  <c:v>1.0584579771251263</c:v>
                </c:pt>
                <c:pt idx="7">
                  <c:v>2.1169159542502949</c:v>
                </c:pt>
                <c:pt idx="8">
                  <c:v>3.1753739313754634</c:v>
                </c:pt>
                <c:pt idx="9">
                  <c:v>4.2338319085006102</c:v>
                </c:pt>
                <c:pt idx="10">
                  <c:v>5.2922898856258005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46-4284-A9DE-8324E745641C}"/>
            </c:ext>
          </c:extLst>
        </c:ser>
        <c:ser>
          <c:idx val="3"/>
          <c:order val="2"/>
          <c:tx>
            <c:strRef>
              <c:f>Sensitivity!$E$34</c:f>
              <c:strCache>
                <c:ptCount val="1"/>
                <c:pt idx="0">
                  <c:v>Battery cost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Sensitivity!$E$35:$E$45</c:f>
              <c:numCache>
                <c:formatCode>0</c:formatCode>
                <c:ptCount val="11"/>
                <c:pt idx="0">
                  <c:v>-9.4820418578078804</c:v>
                </c:pt>
                <c:pt idx="1">
                  <c:v>-7.5856334862463166</c:v>
                </c:pt>
                <c:pt idx="2">
                  <c:v>-5.6892251146847528</c:v>
                </c:pt>
                <c:pt idx="3">
                  <c:v>-3.7928167431231472</c:v>
                </c:pt>
                <c:pt idx="4">
                  <c:v>-1.8964083715615632</c:v>
                </c:pt>
                <c:pt idx="5">
                  <c:v>0</c:v>
                </c:pt>
                <c:pt idx="6">
                  <c:v>1.8964083715615845</c:v>
                </c:pt>
                <c:pt idx="7">
                  <c:v>3.792816743123169</c:v>
                </c:pt>
                <c:pt idx="8">
                  <c:v>5.6892251146847315</c:v>
                </c:pt>
                <c:pt idx="9">
                  <c:v>7.5856334862463379</c:v>
                </c:pt>
                <c:pt idx="10">
                  <c:v>9.4820418578079213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46-4284-A9DE-8324E745641C}"/>
            </c:ext>
          </c:extLst>
        </c:ser>
        <c:ser>
          <c:idx val="4"/>
          <c:order val="3"/>
          <c:tx>
            <c:strRef>
              <c:f>Sensitivity!$F$34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Sensitivity!$F$35:$F$45</c:f>
              <c:numCache>
                <c:formatCode>0</c:formatCode>
                <c:ptCount val="11"/>
                <c:pt idx="0">
                  <c:v>-21.10575445875897</c:v>
                </c:pt>
                <c:pt idx="1">
                  <c:v>-18.621875984531037</c:v>
                </c:pt>
                <c:pt idx="2">
                  <c:v>-16.137997510303119</c:v>
                </c:pt>
                <c:pt idx="3">
                  <c:v>-5.7753325620440759</c:v>
                </c:pt>
                <c:pt idx="4">
                  <c:v>-2.4838784742279518</c:v>
                </c:pt>
                <c:pt idx="5">
                  <c:v>0</c:v>
                </c:pt>
                <c:pt idx="6">
                  <c:v>2.9181965786088901</c:v>
                </c:pt>
                <c:pt idx="7">
                  <c:v>5.8581090624368217</c:v>
                </c:pt>
                <c:pt idx="8">
                  <c:v>8.3419875366647744</c:v>
                </c:pt>
                <c:pt idx="9">
                  <c:v>19.183488195003829</c:v>
                </c:pt>
                <c:pt idx="10">
                  <c:v>21.667366669231779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46-4284-A9DE-8324E745641C}"/>
            </c:ext>
          </c:extLst>
        </c:ser>
        <c:ser>
          <c:idx val="5"/>
          <c:order val="4"/>
          <c:tx>
            <c:strRef>
              <c:f>Sensitivity!$G$34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Sensitivity!$G$35:$G$45</c:f>
              <c:numCache>
                <c:formatCode>0</c:formatCode>
                <c:ptCount val="11"/>
                <c:pt idx="0">
                  <c:v>-5.5953591532072453</c:v>
                </c:pt>
                <c:pt idx="1">
                  <c:v>-4.4762873225658177</c:v>
                </c:pt>
                <c:pt idx="2">
                  <c:v>-3.357215491924336</c:v>
                </c:pt>
                <c:pt idx="3">
                  <c:v>-2.2381436612828978</c:v>
                </c:pt>
                <c:pt idx="4">
                  <c:v>-1.1190718306414595</c:v>
                </c:pt>
                <c:pt idx="5">
                  <c:v>0</c:v>
                </c:pt>
                <c:pt idx="6">
                  <c:v>1.1190718306414384</c:v>
                </c:pt>
                <c:pt idx="7">
                  <c:v>2.2381436612828769</c:v>
                </c:pt>
                <c:pt idx="8">
                  <c:v>3.3572154919243578</c:v>
                </c:pt>
                <c:pt idx="9">
                  <c:v>4.4762873225657751</c:v>
                </c:pt>
                <c:pt idx="10">
                  <c:v>5.5953591532071707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46-4284-A9DE-8324E745641C}"/>
            </c:ext>
          </c:extLst>
        </c:ser>
        <c:ser>
          <c:idx val="0"/>
          <c:order val="5"/>
          <c:tx>
            <c:strRef>
              <c:f>Sensitivity!$H$34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Sensitivity!$H$35:$H$45</c:f>
              <c:numCache>
                <c:formatCode>0</c:formatCode>
                <c:ptCount val="11"/>
                <c:pt idx="0">
                  <c:v>6.8240332179324197</c:v>
                </c:pt>
                <c:pt idx="1">
                  <c:v>5.4592265743459265</c:v>
                </c:pt>
                <c:pt idx="2">
                  <c:v>4.0944199307594555</c:v>
                </c:pt>
                <c:pt idx="3">
                  <c:v>2.7296132871728997</c:v>
                </c:pt>
                <c:pt idx="4">
                  <c:v>1.3648066435864923</c:v>
                </c:pt>
                <c:pt idx="5">
                  <c:v>0</c:v>
                </c:pt>
                <c:pt idx="6">
                  <c:v>-1.3648066435864712</c:v>
                </c:pt>
                <c:pt idx="7">
                  <c:v>-2.7296132871729846</c:v>
                </c:pt>
                <c:pt idx="8">
                  <c:v>-4.0944199307594769</c:v>
                </c:pt>
                <c:pt idx="9">
                  <c:v>-5.4592265743459585</c:v>
                </c:pt>
                <c:pt idx="10">
                  <c:v>-6.8240332179324401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46-4284-A9DE-8324E7456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1688876220583397"/>
              <c:y val="0.503517578683309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∆TCO (%)</a:t>
                </a:r>
              </a:p>
            </c:rich>
          </c:tx>
          <c:layout>
            <c:manualLayout>
              <c:xMode val="edge"/>
              <c:yMode val="edge"/>
              <c:x val="0.52531261858585176"/>
              <c:y val="6.63417659254690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974890194164904E-2"/>
          <c:y val="0.85037360035678544"/>
          <c:w val="0.93649009886074819"/>
          <c:h val="0.119963259096150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ICE-bus</a:t>
            </a:r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140144195932564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Sensitivity!$P$4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Sensitivity!$O$5:$O$15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Sensitivity!$P$5:$P$15</c:f>
              <c:numCache>
                <c:formatCode>0</c:formatCode>
                <c:ptCount val="11"/>
                <c:pt idx="0">
                  <c:v>-23.668691030215587</c:v>
                </c:pt>
                <c:pt idx="1">
                  <c:v>-18.934952824172456</c:v>
                </c:pt>
                <c:pt idx="2">
                  <c:v>-14.201214618129351</c:v>
                </c:pt>
                <c:pt idx="3">
                  <c:v>-9.4674764120862349</c:v>
                </c:pt>
                <c:pt idx="4">
                  <c:v>-4.7337382060431175</c:v>
                </c:pt>
                <c:pt idx="5">
                  <c:v>0</c:v>
                </c:pt>
                <c:pt idx="6">
                  <c:v>4.7337382060431175</c:v>
                </c:pt>
                <c:pt idx="7">
                  <c:v>9.4674764120862349</c:v>
                </c:pt>
                <c:pt idx="8">
                  <c:v>14.201214618129351</c:v>
                </c:pt>
                <c:pt idx="9">
                  <c:v>18.934952824172456</c:v>
                </c:pt>
                <c:pt idx="10">
                  <c:v>23.668691030215602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E-4137-9C62-0EFF29343B23}"/>
            </c:ext>
          </c:extLst>
        </c:ser>
        <c:ser>
          <c:idx val="2"/>
          <c:order val="1"/>
          <c:tx>
            <c:strRef>
              <c:f>Sensitivity!$Q$4</c:f>
              <c:strCache>
                <c:ptCount val="1"/>
                <c:pt idx="0">
                  <c:v>Fuel price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Sensitivity!$O$5:$O$15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Sensitivity!$Q$5:$Q$15</c:f>
              <c:numCache>
                <c:formatCode>0</c:formatCode>
                <c:ptCount val="11"/>
                <c:pt idx="0">
                  <c:v>-15.703490614221607</c:v>
                </c:pt>
                <c:pt idx="1">
                  <c:v>-12.562792491377287</c:v>
                </c:pt>
                <c:pt idx="2">
                  <c:v>-9.4220943685329495</c:v>
                </c:pt>
                <c:pt idx="3">
                  <c:v>-6.2813962456886436</c:v>
                </c:pt>
                <c:pt idx="4">
                  <c:v>-3.1406981228443218</c:v>
                </c:pt>
                <c:pt idx="5">
                  <c:v>0</c:v>
                </c:pt>
                <c:pt idx="6">
                  <c:v>3.1406981228443072</c:v>
                </c:pt>
                <c:pt idx="7">
                  <c:v>6.2813962456886436</c:v>
                </c:pt>
                <c:pt idx="8">
                  <c:v>9.4220943685329654</c:v>
                </c:pt>
                <c:pt idx="9">
                  <c:v>12.562792491377243</c:v>
                </c:pt>
                <c:pt idx="10">
                  <c:v>15.703490614221579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E-4137-9C62-0EFF29343B23}"/>
            </c:ext>
          </c:extLst>
        </c:ser>
        <c:ser>
          <c:idx val="3"/>
          <c:order val="2"/>
          <c:tx>
            <c:strRef>
              <c:f>Sensitivity!$R$4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rgbClr val="5B9BD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5B9BD5"/>
              </a:solidFill>
              <a:ln w="9525">
                <a:noFill/>
              </a:ln>
              <a:effectLst/>
            </c:spPr>
          </c:marker>
          <c:cat>
            <c:numRef>
              <c:f>Sensitivity!$O$5:$O$15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Sensitivity!$R$5:$R$15</c:f>
              <c:numCache>
                <c:formatCode>0</c:formatCode>
                <c:ptCount val="11"/>
                <c:pt idx="0">
                  <c:v>-14.581326402226397</c:v>
                </c:pt>
                <c:pt idx="1">
                  <c:v>-11.665061121781127</c:v>
                </c:pt>
                <c:pt idx="2">
                  <c:v>-8.7487958413358413</c:v>
                </c:pt>
                <c:pt idx="3">
                  <c:v>-5.8325305608905555</c:v>
                </c:pt>
                <c:pt idx="4">
                  <c:v>-2.9162652804452858</c:v>
                </c:pt>
                <c:pt idx="5">
                  <c:v>0</c:v>
                </c:pt>
                <c:pt idx="6">
                  <c:v>2.9162652804452702</c:v>
                </c:pt>
                <c:pt idx="7">
                  <c:v>5.8325305608905404</c:v>
                </c:pt>
                <c:pt idx="8">
                  <c:v>8.7487958413358271</c:v>
                </c:pt>
                <c:pt idx="9">
                  <c:v>11.665061121781127</c:v>
                </c:pt>
                <c:pt idx="10">
                  <c:v>14.581326402226383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E-4137-9C62-0EFF29343B23}"/>
            </c:ext>
          </c:extLst>
        </c:ser>
        <c:ser>
          <c:idx val="4"/>
          <c:order val="3"/>
          <c:tx>
            <c:strRef>
              <c:f>Sensitivity!$S$4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Sensitivity!$O$5:$O$15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Sensitivity!$S$5:$S$15</c:f>
              <c:numCache>
                <c:formatCode>0</c:formatCode>
                <c:ptCount val="11"/>
                <c:pt idx="0">
                  <c:v>-30.284817016447992</c:v>
                </c:pt>
                <c:pt idx="1">
                  <c:v>-24.227853613158398</c:v>
                </c:pt>
                <c:pt idx="2">
                  <c:v>-18.170890209868805</c:v>
                </c:pt>
                <c:pt idx="3">
                  <c:v>-12.113926806579199</c:v>
                </c:pt>
                <c:pt idx="4">
                  <c:v>-6.0569634032895916</c:v>
                </c:pt>
                <c:pt idx="5">
                  <c:v>0</c:v>
                </c:pt>
                <c:pt idx="6">
                  <c:v>6.0569634032895916</c:v>
                </c:pt>
                <c:pt idx="7">
                  <c:v>12.113926806579169</c:v>
                </c:pt>
                <c:pt idx="8">
                  <c:v>18.170890209868805</c:v>
                </c:pt>
                <c:pt idx="9">
                  <c:v>24.227853613158384</c:v>
                </c:pt>
                <c:pt idx="10">
                  <c:v>30.284817016447974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BE-4137-9C62-0EFF29343B23}"/>
            </c:ext>
          </c:extLst>
        </c:ser>
        <c:ser>
          <c:idx val="5"/>
          <c:order val="4"/>
          <c:tx>
            <c:strRef>
              <c:f>Sensitivity!$T$4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Sensitivity!$O$5:$O$15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Sensitivity!$T$5:$T$15</c:f>
              <c:numCache>
                <c:formatCode>0</c:formatCode>
                <c:ptCount val="11"/>
                <c:pt idx="0">
                  <c:v>15.703490614221579</c:v>
                </c:pt>
                <c:pt idx="1">
                  <c:v>12.562792491377243</c:v>
                </c:pt>
                <c:pt idx="2">
                  <c:v>9.4220943685329654</c:v>
                </c:pt>
                <c:pt idx="3">
                  <c:v>6.2813962456886436</c:v>
                </c:pt>
                <c:pt idx="4">
                  <c:v>3.1406981228443072</c:v>
                </c:pt>
                <c:pt idx="5">
                  <c:v>0</c:v>
                </c:pt>
                <c:pt idx="6">
                  <c:v>-3.1406981228443218</c:v>
                </c:pt>
                <c:pt idx="7">
                  <c:v>-6.2813962456886436</c:v>
                </c:pt>
                <c:pt idx="8">
                  <c:v>-9.4220943685329495</c:v>
                </c:pt>
                <c:pt idx="9">
                  <c:v>-12.562792491377287</c:v>
                </c:pt>
                <c:pt idx="10">
                  <c:v>-15.703490614221607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BE-4137-9C62-0EFF29343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1017322242378667"/>
              <c:y val="0.44719021196936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∆TCO (%)</a:t>
                </a:r>
              </a:p>
            </c:rich>
          </c:tx>
          <c:layout>
            <c:manualLayout>
              <c:xMode val="edge"/>
              <c:yMode val="edge"/>
              <c:x val="0.53335261534572731"/>
              <c:y val="6.337712713547610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5050823694356817E-2"/>
          <c:y val="0.85681146643479378"/>
          <c:w val="0.94665685519593967"/>
          <c:h val="0.130292618714071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ICE-truck</a:t>
            </a:r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140144195932564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Sensitivity!$P$19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Sensitivity!$O$20:$O$30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Sensitivity!$P$20:$P$30</c:f>
              <c:numCache>
                <c:formatCode>0</c:formatCode>
                <c:ptCount val="11"/>
                <c:pt idx="0">
                  <c:v>-10.056351262795037</c:v>
                </c:pt>
                <c:pt idx="1">
                  <c:v>-8.0450810102360268</c:v>
                </c:pt>
                <c:pt idx="2">
                  <c:v>-6.033810757677017</c:v>
                </c:pt>
                <c:pt idx="3">
                  <c:v>-4.0225405051180196</c:v>
                </c:pt>
                <c:pt idx="4">
                  <c:v>-2.0112702525589974</c:v>
                </c:pt>
                <c:pt idx="5">
                  <c:v>0</c:v>
                </c:pt>
                <c:pt idx="6">
                  <c:v>2.0112702525590098</c:v>
                </c:pt>
                <c:pt idx="7">
                  <c:v>4.0225405051180072</c:v>
                </c:pt>
                <c:pt idx="8">
                  <c:v>6.033810757677017</c:v>
                </c:pt>
                <c:pt idx="9">
                  <c:v>8.0450810102360268</c:v>
                </c:pt>
                <c:pt idx="10">
                  <c:v>10.056351262795024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B-461E-8E62-B27C23E619B8}"/>
            </c:ext>
          </c:extLst>
        </c:ser>
        <c:ser>
          <c:idx val="2"/>
          <c:order val="1"/>
          <c:tx>
            <c:strRef>
              <c:f>Sensitivity!$Q$19</c:f>
              <c:strCache>
                <c:ptCount val="1"/>
                <c:pt idx="0">
                  <c:v>Fuel price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Sensitivity!$O$20:$O$30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Sensitivity!$Q$20:$Q$30</c:f>
              <c:numCache>
                <c:formatCode>0</c:formatCode>
                <c:ptCount val="11"/>
                <c:pt idx="0">
                  <c:v>-17.533154900832038</c:v>
                </c:pt>
                <c:pt idx="1">
                  <c:v>-14.026523920665637</c:v>
                </c:pt>
                <c:pt idx="2">
                  <c:v>-10.519892940499226</c:v>
                </c:pt>
                <c:pt idx="3">
                  <c:v>-7.0132619603328257</c:v>
                </c:pt>
                <c:pt idx="4">
                  <c:v>-3.5066309801664004</c:v>
                </c:pt>
                <c:pt idx="5">
                  <c:v>0</c:v>
                </c:pt>
                <c:pt idx="6">
                  <c:v>3.5066309801664004</c:v>
                </c:pt>
                <c:pt idx="7">
                  <c:v>7.0132619603328132</c:v>
                </c:pt>
                <c:pt idx="8">
                  <c:v>10.519892940499213</c:v>
                </c:pt>
                <c:pt idx="9">
                  <c:v>14.026523920665577</c:v>
                </c:pt>
                <c:pt idx="10">
                  <c:v>17.533154900832017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B-461E-8E62-B27C23E619B8}"/>
            </c:ext>
          </c:extLst>
        </c:ser>
        <c:ser>
          <c:idx val="3"/>
          <c:order val="2"/>
          <c:tx>
            <c:strRef>
              <c:f>Sensitivity!$R$19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rgbClr val="5B9BD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5B9BD5"/>
              </a:solidFill>
              <a:ln w="9525">
                <a:noFill/>
              </a:ln>
              <a:effectLst/>
            </c:spPr>
          </c:marker>
          <c:cat>
            <c:numRef>
              <c:f>Sensitivity!$O$20:$O$30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Sensitivity!$R$20:$R$30</c:f>
              <c:numCache>
                <c:formatCode>0</c:formatCode>
                <c:ptCount val="11"/>
                <c:pt idx="0">
                  <c:v>-23.97031076708457</c:v>
                </c:pt>
                <c:pt idx="1">
                  <c:v>-19.176248613667667</c:v>
                </c:pt>
                <c:pt idx="2">
                  <c:v>-14.382186460250754</c:v>
                </c:pt>
                <c:pt idx="3">
                  <c:v>-9.588124306833814</c:v>
                </c:pt>
                <c:pt idx="4">
                  <c:v>-4.7940621534169257</c:v>
                </c:pt>
                <c:pt idx="5">
                  <c:v>0</c:v>
                </c:pt>
                <c:pt idx="6">
                  <c:v>4.7940621534169132</c:v>
                </c:pt>
                <c:pt idx="7">
                  <c:v>9.5881243068338264</c:v>
                </c:pt>
                <c:pt idx="8">
                  <c:v>14.38218646025074</c:v>
                </c:pt>
                <c:pt idx="9">
                  <c:v>19.176248613667628</c:v>
                </c:pt>
                <c:pt idx="10">
                  <c:v>23.97031076708457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B-461E-8E62-B27C23E619B8}"/>
            </c:ext>
          </c:extLst>
        </c:ser>
        <c:ser>
          <c:idx val="4"/>
          <c:order val="3"/>
          <c:tx>
            <c:strRef>
              <c:f>Sensitivity!$S$19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Sensitivity!$O$20:$O$30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Sensitivity!$S$20:$S$30</c:f>
              <c:numCache>
                <c:formatCode>0</c:formatCode>
                <c:ptCount val="11"/>
                <c:pt idx="0">
                  <c:v>-41.503465667916593</c:v>
                </c:pt>
                <c:pt idx="1">
                  <c:v>-33.20277253433327</c:v>
                </c:pt>
                <c:pt idx="2">
                  <c:v>-24.902079400749955</c:v>
                </c:pt>
                <c:pt idx="3">
                  <c:v>-16.601386267166639</c:v>
                </c:pt>
                <c:pt idx="4">
                  <c:v>-8.3006931335833389</c:v>
                </c:pt>
                <c:pt idx="5">
                  <c:v>0</c:v>
                </c:pt>
                <c:pt idx="6">
                  <c:v>8.3006931335833265</c:v>
                </c:pt>
                <c:pt idx="7">
                  <c:v>16.601386267166628</c:v>
                </c:pt>
                <c:pt idx="8">
                  <c:v>24.902079400749979</c:v>
                </c:pt>
                <c:pt idx="9">
                  <c:v>33.202772534333256</c:v>
                </c:pt>
                <c:pt idx="10">
                  <c:v>41.503465667916558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5B-461E-8E62-B27C23E619B8}"/>
            </c:ext>
          </c:extLst>
        </c:ser>
        <c:ser>
          <c:idx val="5"/>
          <c:order val="4"/>
          <c:tx>
            <c:strRef>
              <c:f>Sensitivity!$T$19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Sensitivity!$O$20:$O$30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Sensitivity!$T$20:$T$30</c:f>
              <c:numCache>
                <c:formatCode>0</c:formatCode>
                <c:ptCount val="11"/>
                <c:pt idx="0">
                  <c:v>17.533154900832017</c:v>
                </c:pt>
                <c:pt idx="1">
                  <c:v>14.026523920665577</c:v>
                </c:pt>
                <c:pt idx="2">
                  <c:v>10.519892940499213</c:v>
                </c:pt>
                <c:pt idx="3">
                  <c:v>7.0132619603328132</c:v>
                </c:pt>
                <c:pt idx="4">
                  <c:v>3.5066309801664004</c:v>
                </c:pt>
                <c:pt idx="5">
                  <c:v>0</c:v>
                </c:pt>
                <c:pt idx="6">
                  <c:v>-3.5066309801664004</c:v>
                </c:pt>
                <c:pt idx="7">
                  <c:v>-7.0132619603328257</c:v>
                </c:pt>
                <c:pt idx="8">
                  <c:v>-10.519892940499226</c:v>
                </c:pt>
                <c:pt idx="9">
                  <c:v>-14.026523920665637</c:v>
                </c:pt>
                <c:pt idx="10">
                  <c:v>-17.533154900832038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5B-461E-8E62-B27C23E61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1456332154786084"/>
              <c:y val="0.442511129299841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∆TCO (%)</a:t>
                </a:r>
              </a:p>
            </c:rich>
          </c:tx>
          <c:layout>
            <c:manualLayout>
              <c:xMode val="edge"/>
              <c:yMode val="edge"/>
              <c:x val="0.53335261534572731"/>
              <c:y val="6.337712713547610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5050823694356817E-2"/>
          <c:y val="0.85681146643479378"/>
          <c:w val="0.94665685519593967"/>
          <c:h val="0.130292618714071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ICE-van</a:t>
            </a:r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140144195932564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Sensitivity!$P$34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Sensitivity!$O$35:$O$45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Sensitivity!$P$35:$P$45</c:f>
              <c:numCache>
                <c:formatCode>0</c:formatCode>
                <c:ptCount val="11"/>
                <c:pt idx="0">
                  <c:v>-25.74639718081669</c:v>
                </c:pt>
                <c:pt idx="1">
                  <c:v>-20.59711774465336</c:v>
                </c:pt>
                <c:pt idx="2">
                  <c:v>-15.447838308490011</c:v>
                </c:pt>
                <c:pt idx="3">
                  <c:v>-10.298558872326646</c:v>
                </c:pt>
                <c:pt idx="4">
                  <c:v>-5.1492794361633152</c:v>
                </c:pt>
                <c:pt idx="5">
                  <c:v>0</c:v>
                </c:pt>
                <c:pt idx="6">
                  <c:v>5.149279436163348</c:v>
                </c:pt>
                <c:pt idx="7">
                  <c:v>10.29855887232668</c:v>
                </c:pt>
                <c:pt idx="8">
                  <c:v>15.447838308490027</c:v>
                </c:pt>
                <c:pt idx="9">
                  <c:v>20.597117744653342</c:v>
                </c:pt>
                <c:pt idx="10">
                  <c:v>25.74639718081669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E9-4B8F-A3C1-B6B453B2A49E}"/>
            </c:ext>
          </c:extLst>
        </c:ser>
        <c:ser>
          <c:idx val="2"/>
          <c:order val="1"/>
          <c:tx>
            <c:strRef>
              <c:f>Sensitivity!$Q$34</c:f>
              <c:strCache>
                <c:ptCount val="1"/>
                <c:pt idx="0">
                  <c:v>Fuel price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Sensitivity!$O$35:$O$45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Sensitivity!$Q$35:$Q$45</c:f>
              <c:numCache>
                <c:formatCode>0</c:formatCode>
                <c:ptCount val="11"/>
                <c:pt idx="0">
                  <c:v>-16.949573398716158</c:v>
                </c:pt>
                <c:pt idx="1">
                  <c:v>-13.559658718972933</c:v>
                </c:pt>
                <c:pt idx="2">
                  <c:v>-10.169744039229725</c:v>
                </c:pt>
                <c:pt idx="3">
                  <c:v>-6.7798293594864667</c:v>
                </c:pt>
                <c:pt idx="4">
                  <c:v>-3.3899146797432418</c:v>
                </c:pt>
                <c:pt idx="5">
                  <c:v>0</c:v>
                </c:pt>
                <c:pt idx="6">
                  <c:v>3.3899146797432418</c:v>
                </c:pt>
                <c:pt idx="7">
                  <c:v>6.7798293594864667</c:v>
                </c:pt>
                <c:pt idx="8">
                  <c:v>10.169744039229691</c:v>
                </c:pt>
                <c:pt idx="9">
                  <c:v>13.559658718972933</c:v>
                </c:pt>
                <c:pt idx="10">
                  <c:v>16.949573398716176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E9-4B8F-A3C1-B6B453B2A49E}"/>
            </c:ext>
          </c:extLst>
        </c:ser>
        <c:ser>
          <c:idx val="3"/>
          <c:order val="2"/>
          <c:tx>
            <c:strRef>
              <c:f>Sensitivity!$R$34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rgbClr val="5B9BD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5B9BD5"/>
              </a:solidFill>
              <a:ln w="9525">
                <a:noFill/>
              </a:ln>
              <a:effectLst/>
            </c:spPr>
          </c:marker>
          <c:cat>
            <c:numRef>
              <c:f>Sensitivity!$O$35:$O$45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Sensitivity!$R$35:$R$45</c:f>
              <c:numCache>
                <c:formatCode>0</c:formatCode>
                <c:ptCount val="11"/>
                <c:pt idx="0">
                  <c:v>-10.98880174841821</c:v>
                </c:pt>
                <c:pt idx="1">
                  <c:v>-8.7910413987345706</c:v>
                </c:pt>
                <c:pt idx="2">
                  <c:v>-6.5932810490509324</c:v>
                </c:pt>
                <c:pt idx="3">
                  <c:v>-4.3955206993672942</c:v>
                </c:pt>
                <c:pt idx="4">
                  <c:v>-2.1977603496836391</c:v>
                </c:pt>
                <c:pt idx="5">
                  <c:v>0</c:v>
                </c:pt>
                <c:pt idx="6">
                  <c:v>2.1977603496836391</c:v>
                </c:pt>
                <c:pt idx="7">
                  <c:v>4.3955206993672782</c:v>
                </c:pt>
                <c:pt idx="8">
                  <c:v>6.5932810490509004</c:v>
                </c:pt>
                <c:pt idx="9">
                  <c:v>8.7910413987345226</c:v>
                </c:pt>
                <c:pt idx="10">
                  <c:v>10.988801748418194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E9-4B8F-A3C1-B6B453B2A49E}"/>
            </c:ext>
          </c:extLst>
        </c:ser>
        <c:ser>
          <c:idx val="4"/>
          <c:order val="3"/>
          <c:tx>
            <c:strRef>
              <c:f>Sensitivity!$S$34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Sensitivity!$O$35:$O$45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Sensitivity!$S$35:$S$45</c:f>
              <c:numCache>
                <c:formatCode>0</c:formatCode>
                <c:ptCount val="11"/>
                <c:pt idx="0">
                  <c:v>-27.938375147134352</c:v>
                </c:pt>
                <c:pt idx="1">
                  <c:v>-22.350700117707508</c:v>
                </c:pt>
                <c:pt idx="2">
                  <c:v>-16.763025088280642</c:v>
                </c:pt>
                <c:pt idx="3">
                  <c:v>-11.175350058853727</c:v>
                </c:pt>
                <c:pt idx="4">
                  <c:v>-5.5876750294268804</c:v>
                </c:pt>
                <c:pt idx="5">
                  <c:v>0</c:v>
                </c:pt>
                <c:pt idx="6">
                  <c:v>5.5876750294268964</c:v>
                </c:pt>
                <c:pt idx="7">
                  <c:v>11.175350058853745</c:v>
                </c:pt>
                <c:pt idx="8">
                  <c:v>16.763025088280624</c:v>
                </c:pt>
                <c:pt idx="9">
                  <c:v>22.350700117707522</c:v>
                </c:pt>
                <c:pt idx="10">
                  <c:v>27.938375147134387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E9-4B8F-A3C1-B6B453B2A49E}"/>
            </c:ext>
          </c:extLst>
        </c:ser>
        <c:ser>
          <c:idx val="5"/>
          <c:order val="4"/>
          <c:tx>
            <c:strRef>
              <c:f>Sensitivity!$T$34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Sensitivity!$O$35:$O$45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Sensitivity!$T$35:$T$45</c:f>
              <c:numCache>
                <c:formatCode>0</c:formatCode>
                <c:ptCount val="11"/>
                <c:pt idx="0">
                  <c:v>16.949573398716176</c:v>
                </c:pt>
                <c:pt idx="1">
                  <c:v>13.559658718972933</c:v>
                </c:pt>
                <c:pt idx="2">
                  <c:v>10.169744039229691</c:v>
                </c:pt>
                <c:pt idx="3">
                  <c:v>6.7798293594864667</c:v>
                </c:pt>
                <c:pt idx="4">
                  <c:v>3.3899146797432418</c:v>
                </c:pt>
                <c:pt idx="5">
                  <c:v>0</c:v>
                </c:pt>
                <c:pt idx="6">
                  <c:v>-3.3899146797432418</c:v>
                </c:pt>
                <c:pt idx="7">
                  <c:v>-6.7798293594864667</c:v>
                </c:pt>
                <c:pt idx="8">
                  <c:v>-10.169744039229725</c:v>
                </c:pt>
                <c:pt idx="9">
                  <c:v>-13.559658718972933</c:v>
                </c:pt>
                <c:pt idx="10">
                  <c:v>-16.949573398716158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E9-4B8F-A3C1-B6B453B2A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2215807039974622"/>
              <c:y val="0.43965933631892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∆TCO (%)</a:t>
                </a:r>
              </a:p>
            </c:rich>
          </c:tx>
          <c:layout>
            <c:manualLayout>
              <c:xMode val="edge"/>
              <c:yMode val="edge"/>
              <c:x val="0.52920813154493507"/>
              <c:y val="6.38308157574638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5050823694356817E-2"/>
          <c:y val="0.85182033803049384"/>
          <c:w val="0.94665685519593967"/>
          <c:h val="0.13528372592058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motorcycle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ID'!$P$55</c:f>
              <c:numCache>
                <c:formatCode>_-* #,##0_-;\-* #,##0_-;_-* "-"??_-;_-@</c:formatCode>
                <c:ptCount val="1"/>
                <c:pt idx="0">
                  <c:v>457.8394752580557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E62-4EE6-80BC-FE7AB940A473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ID'!$P$56</c:f>
              <c:numCache>
                <c:formatCode>_-* #,##0_-;\-* #,##0_-;_-* "-"??_-;_-@</c:formatCode>
                <c:ptCount val="1"/>
                <c:pt idx="0">
                  <c:v>204.52715818476196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E62-4EE6-80BC-FE7AB940A473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ID'!$P$57</c:f>
              <c:numCache>
                <c:formatCode>_-* #,##0_-;\-* #,##0_-;_-* "-"??_-;_-@</c:formatCode>
                <c:ptCount val="1"/>
                <c:pt idx="0">
                  <c:v>377.11957041244528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E62-4EE6-80BC-FE7AB940A473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ID'!$P$58</c:f>
              <c:numCache>
                <c:formatCode>_-* #,##0_-;\-* #,##0_-;_-* "-"??_-;_-@</c:formatCode>
                <c:ptCount val="1"/>
                <c:pt idx="0">
                  <c:v>725.53832232726415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E62-4EE6-80BC-FE7AB940A473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ID'!$P$59</c:f>
              <c:numCache>
                <c:formatCode>_-* #,##0_-;\-* #,##0_-;_-* "-"??_-;_-@</c:formatCode>
                <c:ptCount val="1"/>
                <c:pt idx="0">
                  <c:v>-213.58753907068515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E62-4EE6-80BC-FE7AB940A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900127"/>
        <c:axId val="980633398"/>
      </c:barChart>
      <c:catAx>
        <c:axId val="527900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980633398"/>
        <c:crosses val="autoZero"/>
        <c:auto val="1"/>
        <c:lblAlgn val="ctr"/>
        <c:lblOffset val="100"/>
        <c:noMultiLvlLbl val="1"/>
      </c:catAx>
      <c:valAx>
        <c:axId val="9806333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527900127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motorcycle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3667786526684161"/>
          <c:y val="0.1299050076454176"/>
          <c:w val="0.83221102362204724"/>
          <c:h val="0.82942978465521655"/>
        </c:manualLayout>
      </c:layout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ID'!$R$55</c:f>
              <c:numCache>
                <c:formatCode>0.00</c:formatCode>
                <c:ptCount val="1"/>
                <c:pt idx="0">
                  <c:v>3.3467797898980678E-3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BF-4DF8-A1A1-E8BE3817D426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ID'!$R$56</c:f>
              <c:numCache>
                <c:formatCode>0.00</c:formatCode>
                <c:ptCount val="1"/>
                <c:pt idx="0">
                  <c:v>1.4950815656780846E-3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BF-4DF8-A1A1-E8BE3817D426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ID'!$R$57</c:f>
              <c:numCache>
                <c:formatCode>0.00</c:formatCode>
                <c:ptCount val="1"/>
                <c:pt idx="0">
                  <c:v>2.7567220059389274E-3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BF-4DF8-A1A1-E8BE3817D426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ID'!$R$58</c:f>
              <c:numCache>
                <c:formatCode>0.00</c:formatCode>
                <c:ptCount val="1"/>
                <c:pt idx="0">
                  <c:v>5.3036427070706441E-3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7BF-4DF8-A1A1-E8BE3817D426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ID'!$R$59</c:f>
              <c:numCache>
                <c:formatCode>0.00</c:formatCode>
                <c:ptCount val="1"/>
                <c:pt idx="0">
                  <c:v>-1.5613124201073476E-3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7BF-4DF8-A1A1-E8BE3817D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102553"/>
        <c:axId val="1897355890"/>
      </c:barChart>
      <c:catAx>
        <c:axId val="8491025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897355890"/>
        <c:crosses val="autoZero"/>
        <c:auto val="1"/>
        <c:lblAlgn val="ctr"/>
        <c:lblOffset val="100"/>
        <c:noMultiLvlLbl val="1"/>
      </c:catAx>
      <c:valAx>
        <c:axId val="18973558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84910255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5.3944399651208647E-2"/>
          <c:y val="3.3952352561566937E-2"/>
          <c:w val="0.91306801782826807"/>
          <c:h val="0.90202942283158649"/>
        </c:manualLayout>
      </c:layout>
      <c:lineChart>
        <c:grouping val="standard"/>
        <c:varyColors val="1"/>
        <c:ser>
          <c:idx val="0"/>
          <c:order val="0"/>
          <c:tx>
            <c:v>Vehicle price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'E-Conv Mortorcyle ID'!$AG$24:$AG$34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'E-Conv Mortorcyle ID'!$AJ$24:$AJ$34</c:f>
              <c:numCache>
                <c:formatCode>0</c:formatCode>
                <c:ptCount val="11"/>
                <c:pt idx="0">
                  <c:v>-22.339321685590381</c:v>
                </c:pt>
                <c:pt idx="1">
                  <c:v>-17.871457348472291</c:v>
                </c:pt>
                <c:pt idx="2">
                  <c:v>-13.403593011354214</c:v>
                </c:pt>
                <c:pt idx="3">
                  <c:v>-8.9357286742361453</c:v>
                </c:pt>
                <c:pt idx="4">
                  <c:v>-4.4678643371180726</c:v>
                </c:pt>
                <c:pt idx="5">
                  <c:v>0</c:v>
                </c:pt>
                <c:pt idx="6">
                  <c:v>4.4678643371180833</c:v>
                </c:pt>
                <c:pt idx="7">
                  <c:v>8.9357286742361559</c:v>
                </c:pt>
                <c:pt idx="8">
                  <c:v>13.403593011354229</c:v>
                </c:pt>
                <c:pt idx="9">
                  <c:v>17.871457348472301</c:v>
                </c:pt>
                <c:pt idx="10">
                  <c:v>22.33932168559037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0-49E4-8D6E-9467911D79B0}"/>
            </c:ext>
          </c:extLst>
        </c:ser>
        <c:ser>
          <c:idx val="1"/>
          <c:order val="1"/>
          <c:tx>
            <c:v>Electricity tariff</c:v>
          </c:tx>
          <c:spPr>
            <a:ln w="28575" cmpd="sng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numRef>
              <c:f>'E-Conv Mortorcyle ID'!$AG$24:$AG$34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'E-Conv Mortorcyle ID'!$AE$24:$AE$34</c:f>
              <c:numCache>
                <c:formatCode>0</c:formatCode>
                <c:ptCount val="11"/>
                <c:pt idx="0">
                  <c:v>-6.5915393239886235</c:v>
                </c:pt>
                <c:pt idx="1">
                  <c:v>-5.2732314591909022</c:v>
                </c:pt>
                <c:pt idx="2">
                  <c:v>-3.9549235943931658</c:v>
                </c:pt>
                <c:pt idx="3">
                  <c:v>-2.6366157295954293</c:v>
                </c:pt>
                <c:pt idx="4">
                  <c:v>-1.318307864797722</c:v>
                </c:pt>
                <c:pt idx="5">
                  <c:v>0</c:v>
                </c:pt>
                <c:pt idx="6">
                  <c:v>1.3183078647976927</c:v>
                </c:pt>
                <c:pt idx="7">
                  <c:v>2.6366157295954293</c:v>
                </c:pt>
                <c:pt idx="8">
                  <c:v>3.9549235943931511</c:v>
                </c:pt>
                <c:pt idx="9">
                  <c:v>5.2732314591908445</c:v>
                </c:pt>
                <c:pt idx="10">
                  <c:v>6.5915393239885809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30-49E4-8D6E-9467911D79B0}"/>
            </c:ext>
          </c:extLst>
        </c:ser>
        <c:ser>
          <c:idx val="2"/>
          <c:order val="2"/>
          <c:tx>
            <c:v>Battery cost</c:v>
          </c:tx>
          <c:spPr>
            <a:ln w="28575" cmpd="sng">
              <a:solidFill>
                <a:schemeClr val="accent3"/>
              </a:solidFill>
            </a:ln>
          </c:spPr>
          <c:marker>
            <c:symbol val="circle"/>
            <c:size val="5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numRef>
              <c:f>'E-Conv Mortorcyle ID'!$AG$24:$AG$34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'E-Conv Mortorcyle ID'!$AE$39:$AE$49</c:f>
              <c:numCache>
                <c:formatCode>0</c:formatCode>
                <c:ptCount val="11"/>
                <c:pt idx="0">
                  <c:v>-17.57713006409422</c:v>
                </c:pt>
                <c:pt idx="1">
                  <c:v>-14.061704051275385</c:v>
                </c:pt>
                <c:pt idx="2">
                  <c:v>-10.546278038456549</c:v>
                </c:pt>
                <c:pt idx="3">
                  <c:v>-7.0308520256376852</c:v>
                </c:pt>
                <c:pt idx="4">
                  <c:v>-3.515426012818835</c:v>
                </c:pt>
                <c:pt idx="5">
                  <c:v>0</c:v>
                </c:pt>
                <c:pt idx="6">
                  <c:v>3.5154260128188057</c:v>
                </c:pt>
                <c:pt idx="7">
                  <c:v>7.0308520256376852</c:v>
                </c:pt>
                <c:pt idx="8">
                  <c:v>10.546278038456492</c:v>
                </c:pt>
                <c:pt idx="9">
                  <c:v>14.06170405127537</c:v>
                </c:pt>
                <c:pt idx="10">
                  <c:v>17.577130064094206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30-49E4-8D6E-9467911D79B0}"/>
            </c:ext>
          </c:extLst>
        </c:ser>
        <c:ser>
          <c:idx val="3"/>
          <c:order val="3"/>
          <c:tx>
            <c:v>AKT</c:v>
          </c:tx>
          <c:spPr>
            <a:ln w="28575" cmpd="sng"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cat>
            <c:numRef>
              <c:f>'E-Conv Mortorcyle ID'!$AG$24:$AG$34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'E-Conv Mortorcyle ID'!$AJ$39:$AJ$49</c:f>
              <c:numCache>
                <c:formatCode>0</c:formatCode>
                <c:ptCount val="11"/>
                <c:pt idx="0">
                  <c:v>-32.24880859821976</c:v>
                </c:pt>
                <c:pt idx="1">
                  <c:v>-28.76690009327007</c:v>
                </c:pt>
                <c:pt idx="2">
                  <c:v>-7.1391478819660374</c:v>
                </c:pt>
                <c:pt idx="3">
                  <c:v>-5.820840017168301</c:v>
                </c:pt>
                <c:pt idx="4">
                  <c:v>-1.318307864797722</c:v>
                </c:pt>
                <c:pt idx="5">
                  <c:v>0</c:v>
                </c:pt>
                <c:pt idx="6">
                  <c:v>24.867913805148504</c:v>
                </c:pt>
                <c:pt idx="7">
                  <c:v>26.186221669946242</c:v>
                </c:pt>
                <c:pt idx="8">
                  <c:v>27.504529534743948</c:v>
                </c:pt>
                <c:pt idx="9">
                  <c:v>75.978119770577479</c:v>
                </c:pt>
                <c:pt idx="10">
                  <c:v>77.296427635375224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30-49E4-8D6E-9467911D79B0}"/>
            </c:ext>
          </c:extLst>
        </c:ser>
        <c:ser>
          <c:idx val="4"/>
          <c:order val="4"/>
          <c:tx>
            <c:v>O&amp;M Costs</c:v>
          </c:tx>
          <c:spPr>
            <a:ln w="28575" cmpd="sng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cat>
            <c:numRef>
              <c:f>'E-Conv Mortorcyle ID'!$AG$24:$AG$34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'E-Conv Mortorcyle ID'!$AE$54:$AE$64</c:f>
              <c:numCache>
                <c:formatCode>0</c:formatCode>
                <c:ptCount val="11"/>
                <c:pt idx="0">
                  <c:v>-11.078173052338899</c:v>
                </c:pt>
                <c:pt idx="1">
                  <c:v>-8.862538441871143</c:v>
                </c:pt>
                <c:pt idx="2">
                  <c:v>-6.6469038314033568</c:v>
                </c:pt>
                <c:pt idx="3">
                  <c:v>-4.4312692209355866</c:v>
                </c:pt>
                <c:pt idx="4">
                  <c:v>-2.2156346104678004</c:v>
                </c:pt>
                <c:pt idx="5">
                  <c:v>0</c:v>
                </c:pt>
                <c:pt idx="6">
                  <c:v>2.2156346104677711</c:v>
                </c:pt>
                <c:pt idx="7">
                  <c:v>4.431269220935528</c:v>
                </c:pt>
                <c:pt idx="8">
                  <c:v>6.6469038314033284</c:v>
                </c:pt>
                <c:pt idx="9">
                  <c:v>8.8625384418711288</c:v>
                </c:pt>
                <c:pt idx="10">
                  <c:v>11.078173052338899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30-49E4-8D6E-9467911D7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4109562"/>
        <c:axId val="1985764182"/>
      </c:lineChart>
      <c:catAx>
        <c:axId val="12841095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Parameter changes (%)</a:t>
                </a:r>
              </a:p>
            </c:rich>
          </c:tx>
          <c:layout>
            <c:manualLayout>
              <c:xMode val="edge"/>
              <c:yMode val="edge"/>
              <c:x val="5.3246297453263924E-2"/>
              <c:y val="0.376185326050898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985764182"/>
        <c:crosses val="autoZero"/>
        <c:auto val="1"/>
        <c:lblAlgn val="ctr"/>
        <c:lblOffset val="100"/>
        <c:noMultiLvlLbl val="1"/>
      </c:catAx>
      <c:valAx>
        <c:axId val="198576418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changes (%)</a:t>
                </a:r>
              </a:p>
            </c:rich>
          </c:tx>
          <c:layout>
            <c:manualLayout>
              <c:xMode val="edge"/>
              <c:yMode val="edge"/>
              <c:x val="0.42107678864432646"/>
              <c:y val="2.1924901781940641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28410956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66157353060488289"/>
          <c:y val="0.67299406846257315"/>
        </c:manualLayout>
      </c:layout>
      <c:overlay val="0"/>
      <c:txPr>
        <a:bodyPr/>
        <a:lstStyle/>
        <a:p>
          <a:pPr lvl="0">
            <a:defRPr sz="1200" b="0" i="0">
              <a:solidFill>
                <a:srgbClr val="000000"/>
              </a:solidFill>
              <a:latin typeface="Times New Roman"/>
            </a:defRPr>
          </a:pPr>
          <a:endParaRPr lang="id-ID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motorcycle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ID'!$P$55</c:f>
              <c:numCache>
                <c:formatCode>_-* #,##0_-;\-* #,##0_-;_-* "-"??_-;_-@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E09-43A2-A992-AD05A621C655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ID'!$P$56</c:f>
              <c:numCache>
                <c:formatCode>_-* #,##0_-;\-* #,##0_-;_-* "-"??_-;_-@</c:formatCode>
                <c:ptCount val="1"/>
                <c:pt idx="0">
                  <c:v>1643.8975548543749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E09-43A2-A992-AD05A621C655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E09-43A2-A992-AD05A621C655}"/>
              </c:ext>
            </c:extLst>
          </c:dPt>
          <c:val>
            <c:numRef>
              <c:f>'ICE-Motorcycle ID'!$P$57</c:f>
              <c:numCache>
                <c:formatCode>_-* #,##0_-;\-* #,##0_-;_-* "-"??_-;_-@</c:formatCode>
                <c:ptCount val="1"/>
                <c:pt idx="0">
                  <c:v>631.18955840497779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E09-43A2-A992-AD05A621C655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ID'!$P$58</c:f>
              <c:numCache>
                <c:formatCode>_-* #,##0_-;\-* #,##0_-;_-* "-"??_-;_-@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E09-43A2-A992-AD05A621C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764300"/>
        <c:axId val="1420186622"/>
      </c:barChart>
      <c:catAx>
        <c:axId val="239764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420186622"/>
        <c:crosses val="autoZero"/>
        <c:auto val="1"/>
        <c:lblAlgn val="ctr"/>
        <c:lblOffset val="100"/>
        <c:noMultiLvlLbl val="1"/>
      </c:catAx>
      <c:valAx>
        <c:axId val="14201866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23976430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motorcycle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ID'!$R$55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A4B-49F7-B3A2-47CAD08F1041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ID'!$R$56</c:f>
              <c:numCache>
                <c:formatCode>0.00</c:formatCode>
                <c:ptCount val="1"/>
                <c:pt idx="0">
                  <c:v>1.2016794991625548E-2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A4B-49F7-B3A2-47CAD08F1041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ID'!$R$57</c:f>
              <c:numCache>
                <c:formatCode>0.00</c:formatCode>
                <c:ptCount val="1"/>
                <c:pt idx="0">
                  <c:v>4.6139587602703055E-3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A4B-49F7-B3A2-47CAD08F1041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ID'!$R$58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A4B-49F7-B3A2-47CAD08F1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4933969"/>
        <c:axId val="1356284396"/>
      </c:barChart>
      <c:catAx>
        <c:axId val="21149339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356284396"/>
        <c:crosses val="autoZero"/>
        <c:auto val="1"/>
        <c:lblAlgn val="ctr"/>
        <c:lblOffset val="100"/>
        <c:noMultiLvlLbl val="1"/>
      </c:catAx>
      <c:valAx>
        <c:axId val="13562843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211493396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5.3944399651208647E-2"/>
          <c:y val="3.3952352561566937E-2"/>
          <c:w val="0.91306801782826807"/>
          <c:h val="0.90202942283158649"/>
        </c:manualLayout>
      </c:layout>
      <c:lineChart>
        <c:grouping val="standard"/>
        <c:varyColors val="1"/>
        <c:ser>
          <c:idx val="0"/>
          <c:order val="0"/>
          <c:tx>
            <c:v>Vehicle price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'ICE-Motorcycle ID'!$AE$24:$AE$34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'ICE-Motorcycle ID'!$AH$24:$AH$34</c:f>
              <c:numCache>
                <c:formatCode>0</c:formatCode>
                <c:ptCount val="11"/>
                <c:pt idx="0">
                  <c:v>-8.6101157456642454</c:v>
                </c:pt>
                <c:pt idx="1">
                  <c:v>-6.8880925965313979</c:v>
                </c:pt>
                <c:pt idx="2">
                  <c:v>-5.1660694473985478</c:v>
                </c:pt>
                <c:pt idx="3">
                  <c:v>-3.444046298265699</c:v>
                </c:pt>
                <c:pt idx="4">
                  <c:v>-1.7220231491328657</c:v>
                </c:pt>
                <c:pt idx="5">
                  <c:v>0</c:v>
                </c:pt>
                <c:pt idx="6">
                  <c:v>1.7220231491328328</c:v>
                </c:pt>
                <c:pt idx="7">
                  <c:v>3.4440462982656821</c:v>
                </c:pt>
                <c:pt idx="8">
                  <c:v>5.1660694473985309</c:v>
                </c:pt>
                <c:pt idx="9">
                  <c:v>6.8880925965313642</c:v>
                </c:pt>
                <c:pt idx="10">
                  <c:v>8.6101157456642294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9-4C25-92D2-CDB7DDE56C26}"/>
            </c:ext>
          </c:extLst>
        </c:ser>
        <c:ser>
          <c:idx val="1"/>
          <c:order val="1"/>
          <c:tx>
            <c:v>Fuel price</c:v>
          </c:tx>
          <c:spPr>
            <a:ln w="28575" cmpd="sng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numRef>
              <c:f>'ICE-Motorcycle ID'!$AE$24:$AE$34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'ICE-Motorcycle ID'!$AC$24:$AC$34</c:f>
              <c:numCache>
                <c:formatCode>0</c:formatCode>
                <c:ptCount val="11"/>
                <c:pt idx="0">
                  <c:v>-36.128233184426996</c:v>
                </c:pt>
                <c:pt idx="1">
                  <c:v>-28.902586547541592</c:v>
                </c:pt>
                <c:pt idx="2">
                  <c:v>-21.676939910656227</c:v>
                </c:pt>
                <c:pt idx="3">
                  <c:v>-14.45129327377081</c:v>
                </c:pt>
                <c:pt idx="4">
                  <c:v>-7.2256466368853953</c:v>
                </c:pt>
                <c:pt idx="5">
                  <c:v>0</c:v>
                </c:pt>
                <c:pt idx="6">
                  <c:v>7.2256466368853953</c:v>
                </c:pt>
                <c:pt idx="7">
                  <c:v>14.451293273770771</c:v>
                </c:pt>
                <c:pt idx="8">
                  <c:v>21.676939910656166</c:v>
                </c:pt>
                <c:pt idx="9">
                  <c:v>28.902586547541542</c:v>
                </c:pt>
                <c:pt idx="10">
                  <c:v>36.128233184426939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A9-4C25-92D2-CDB7DDE56C26}"/>
            </c:ext>
          </c:extLst>
        </c:ser>
        <c:ser>
          <c:idx val="2"/>
          <c:order val="2"/>
          <c:tx>
            <c:v>AKT</c:v>
          </c:tx>
          <c:spPr>
            <a:ln w="28575" cmpd="sng"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cat>
            <c:numRef>
              <c:f>'ICE-Motorcycle ID'!$AE$24:$AE$34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'ICE-Motorcycle ID'!$AH$39:$AH$49</c:f>
              <c:numCache>
                <c:formatCode>0</c:formatCode>
                <c:ptCount val="11"/>
                <c:pt idx="0">
                  <c:v>-36.128233184426996</c:v>
                </c:pt>
                <c:pt idx="1">
                  <c:v>-28.90258654754161</c:v>
                </c:pt>
                <c:pt idx="2">
                  <c:v>-21.676939910656195</c:v>
                </c:pt>
                <c:pt idx="3">
                  <c:v>-14.451293273770821</c:v>
                </c:pt>
                <c:pt idx="4">
                  <c:v>-7.2256466368854149</c:v>
                </c:pt>
                <c:pt idx="5">
                  <c:v>0</c:v>
                </c:pt>
                <c:pt idx="6">
                  <c:v>7.2256466368853758</c:v>
                </c:pt>
                <c:pt idx="7">
                  <c:v>14.451293273770771</c:v>
                </c:pt>
                <c:pt idx="8">
                  <c:v>21.676939910656145</c:v>
                </c:pt>
                <c:pt idx="9">
                  <c:v>28.902586547541542</c:v>
                </c:pt>
                <c:pt idx="10">
                  <c:v>36.128233184426939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A9-4C25-92D2-CDB7DDE56C26}"/>
            </c:ext>
          </c:extLst>
        </c:ser>
        <c:ser>
          <c:idx val="3"/>
          <c:order val="3"/>
          <c:tx>
            <c:v>O&amp;M Costs</c:v>
          </c:tx>
          <c:spPr>
            <a:ln w="28575" cmpd="sng">
              <a:solidFill>
                <a:schemeClr val="accent3"/>
              </a:solidFill>
            </a:ln>
          </c:spPr>
          <c:marker>
            <c:symbol val="circle"/>
            <c:size val="5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numRef>
              <c:f>'ICE-Motorcycle ID'!$AE$24:$AE$34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'ICE-Motorcycle ID'!$AC$39:$AC$49</c:f>
              <c:numCache>
                <c:formatCode>0</c:formatCode>
                <c:ptCount val="11"/>
                <c:pt idx="0">
                  <c:v>-13.138216399911324</c:v>
                </c:pt>
                <c:pt idx="1">
                  <c:v>-10.510573119929063</c:v>
                </c:pt>
                <c:pt idx="2">
                  <c:v>-7.8829298399468017</c:v>
                </c:pt>
                <c:pt idx="3">
                  <c:v>-5.2552865599645413</c:v>
                </c:pt>
                <c:pt idx="4">
                  <c:v>-2.6276432799822809</c:v>
                </c:pt>
                <c:pt idx="5">
                  <c:v>0</c:v>
                </c:pt>
                <c:pt idx="6">
                  <c:v>2.6276432799822409</c:v>
                </c:pt>
                <c:pt idx="7">
                  <c:v>5.2552865599645022</c:v>
                </c:pt>
                <c:pt idx="8">
                  <c:v>7.8829298399467618</c:v>
                </c:pt>
                <c:pt idx="9">
                  <c:v>10.510573119929004</c:v>
                </c:pt>
                <c:pt idx="10">
                  <c:v>13.138216399911265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A9-4C25-92D2-CDB7DDE56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3204685"/>
        <c:axId val="1063818667"/>
      </c:lineChart>
      <c:catAx>
        <c:axId val="17732046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Parameter changes (%)</a:t>
                </a:r>
              </a:p>
            </c:rich>
          </c:tx>
          <c:layout>
            <c:manualLayout>
              <c:xMode val="edge"/>
              <c:yMode val="edge"/>
              <c:x val="5.3246297453263924E-2"/>
              <c:y val="0.376185326050898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063818667"/>
        <c:crosses val="autoZero"/>
        <c:auto val="1"/>
        <c:lblAlgn val="ctr"/>
        <c:lblOffset val="100"/>
        <c:noMultiLvlLbl val="1"/>
      </c:catAx>
      <c:valAx>
        <c:axId val="10638186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changes (%)</a:t>
                </a:r>
              </a:p>
            </c:rich>
          </c:tx>
          <c:layout>
            <c:manualLayout>
              <c:xMode val="edge"/>
              <c:yMode val="edge"/>
              <c:x val="0.42107678864432646"/>
              <c:y val="2.1924901781940641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id-ID"/>
          </a:p>
        </c:txPr>
        <c:crossAx val="1773204685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4.8800158674875443E-2"/>
          <c:y val="4.5855256541172444E-2"/>
        </c:manualLayout>
      </c:layout>
      <c:overlay val="0"/>
      <c:txPr>
        <a:bodyPr/>
        <a:lstStyle/>
        <a:p>
          <a:pPr lvl="0">
            <a:defRPr sz="1200" b="0" i="0">
              <a:solidFill>
                <a:srgbClr val="000000"/>
              </a:solidFill>
              <a:latin typeface="Times New Roman"/>
            </a:defRPr>
          </a:pPr>
          <a:endParaRPr lang="id-ID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62600" cy="4029075"/>
    <xdr:graphicFrame macro="">
      <xdr:nvGraphicFramePr>
        <xdr:cNvPr id="1828354739" name="Chart 1">
          <a:extLst>
            <a:ext uri="{FF2B5EF4-FFF2-40B4-BE49-F238E27FC236}">
              <a16:creationId xmlns:a16="http://schemas.microsoft.com/office/drawing/2014/main" id="{00000000-0008-0000-0000-0000B37AF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5572125" cy="4029075"/>
    <xdr:graphicFrame macro="">
      <xdr:nvGraphicFramePr>
        <xdr:cNvPr id="898788980" name="Chart 2">
          <a:extLst>
            <a:ext uri="{FF2B5EF4-FFF2-40B4-BE49-F238E27FC236}">
              <a16:creationId xmlns:a16="http://schemas.microsoft.com/office/drawing/2014/main" id="{00000000-0008-0000-0000-0000746E9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43550" cy="4029075"/>
    <xdr:graphicFrame macro="">
      <xdr:nvGraphicFramePr>
        <xdr:cNvPr id="762928448" name="Chart 4">
          <a:extLst>
            <a:ext uri="{FF2B5EF4-FFF2-40B4-BE49-F238E27FC236}">
              <a16:creationId xmlns:a16="http://schemas.microsoft.com/office/drawing/2014/main" id="{00000000-0008-0000-0100-0000405D7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4657725" cy="4029075"/>
    <xdr:graphicFrame macro="">
      <xdr:nvGraphicFramePr>
        <xdr:cNvPr id="1815509010" name="Chart 5">
          <a:extLst>
            <a:ext uri="{FF2B5EF4-FFF2-40B4-BE49-F238E27FC236}">
              <a16:creationId xmlns:a16="http://schemas.microsoft.com/office/drawing/2014/main" id="{00000000-0008-0000-0100-000012783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62600" cy="4029075"/>
    <xdr:graphicFrame macro="">
      <xdr:nvGraphicFramePr>
        <xdr:cNvPr id="1728032929" name="Chart 7">
          <a:extLst>
            <a:ext uri="{FF2B5EF4-FFF2-40B4-BE49-F238E27FC236}">
              <a16:creationId xmlns:a16="http://schemas.microsoft.com/office/drawing/2014/main" id="{00000000-0008-0000-0200-0000A1B0F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5572125" cy="4029075"/>
    <xdr:graphicFrame macro="">
      <xdr:nvGraphicFramePr>
        <xdr:cNvPr id="610028514" name="Chart 8">
          <a:extLst>
            <a:ext uri="{FF2B5EF4-FFF2-40B4-BE49-F238E27FC236}">
              <a16:creationId xmlns:a16="http://schemas.microsoft.com/office/drawing/2014/main" id="{00000000-0008-0000-0200-0000E24B5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43550" cy="4029075"/>
    <xdr:graphicFrame macro="">
      <xdr:nvGraphicFramePr>
        <xdr:cNvPr id="16637413" name="Chart 10">
          <a:extLst>
            <a:ext uri="{FF2B5EF4-FFF2-40B4-BE49-F238E27FC236}">
              <a16:creationId xmlns:a16="http://schemas.microsoft.com/office/drawing/2014/main" id="{00000000-0008-0000-0300-0000E5DDF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4657725" cy="4029075"/>
    <xdr:graphicFrame macro="">
      <xdr:nvGraphicFramePr>
        <xdr:cNvPr id="1906948601" name="Chart 11">
          <a:extLst>
            <a:ext uri="{FF2B5EF4-FFF2-40B4-BE49-F238E27FC236}">
              <a16:creationId xmlns:a16="http://schemas.microsoft.com/office/drawing/2014/main" id="{00000000-0008-0000-0300-0000F9B9A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62600" cy="4029075"/>
    <xdr:graphicFrame macro="">
      <xdr:nvGraphicFramePr>
        <xdr:cNvPr id="1234132296" name="Chart 13">
          <a:extLst>
            <a:ext uri="{FF2B5EF4-FFF2-40B4-BE49-F238E27FC236}">
              <a16:creationId xmlns:a16="http://schemas.microsoft.com/office/drawing/2014/main" id="{00000000-0008-0000-0400-0000485D8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5572125" cy="4029075"/>
    <xdr:graphicFrame macro="">
      <xdr:nvGraphicFramePr>
        <xdr:cNvPr id="26203364" name="Chart 14">
          <a:extLst>
            <a:ext uri="{FF2B5EF4-FFF2-40B4-BE49-F238E27FC236}">
              <a16:creationId xmlns:a16="http://schemas.microsoft.com/office/drawing/2014/main" id="{00000000-0008-0000-0400-0000E4D48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43550" cy="4029075"/>
    <xdr:graphicFrame macro="">
      <xdr:nvGraphicFramePr>
        <xdr:cNvPr id="2072051561" name="Chart 16">
          <a:extLst>
            <a:ext uri="{FF2B5EF4-FFF2-40B4-BE49-F238E27FC236}">
              <a16:creationId xmlns:a16="http://schemas.microsoft.com/office/drawing/2014/main" id="{00000000-0008-0000-0500-000069FF8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4657725" cy="4029075"/>
    <xdr:graphicFrame macro="">
      <xdr:nvGraphicFramePr>
        <xdr:cNvPr id="1115973375" name="Chart 17">
          <a:extLst>
            <a:ext uri="{FF2B5EF4-FFF2-40B4-BE49-F238E27FC236}">
              <a16:creationId xmlns:a16="http://schemas.microsoft.com/office/drawing/2014/main" id="{00000000-0008-0000-0500-0000FF668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13</xdr:col>
      <xdr:colOff>457003</xdr:colOff>
      <xdr:row>15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EF0FB1-42E9-4094-AD26-D59C1FE5F5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0</xdr:colOff>
      <xdr:row>17</xdr:row>
      <xdr:rowOff>0</xdr:rowOff>
    </xdr:from>
    <xdr:to>
      <xdr:col>13</xdr:col>
      <xdr:colOff>454161</xdr:colOff>
      <xdr:row>30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077ACE-4A51-48C3-8E24-2C0E2628C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616323</xdr:colOff>
      <xdr:row>32</xdr:row>
      <xdr:rowOff>22411</xdr:rowOff>
    </xdr:from>
    <xdr:to>
      <xdr:col>13</xdr:col>
      <xdr:colOff>398131</xdr:colOff>
      <xdr:row>45</xdr:row>
      <xdr:rowOff>106231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F20E47-260A-4D2C-A47A-6DA69DB77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21</xdr:col>
      <xdr:colOff>0</xdr:colOff>
      <xdr:row>2</xdr:row>
      <xdr:rowOff>0</xdr:rowOff>
    </xdr:from>
    <xdr:to>
      <xdr:col>25</xdr:col>
      <xdr:colOff>456496</xdr:colOff>
      <xdr:row>15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34D3E9-F149-4A0B-83F5-9320578FF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21</xdr:col>
      <xdr:colOff>0</xdr:colOff>
      <xdr:row>17</xdr:row>
      <xdr:rowOff>0</xdr:rowOff>
    </xdr:from>
    <xdr:to>
      <xdr:col>25</xdr:col>
      <xdr:colOff>456496</xdr:colOff>
      <xdr:row>30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C425F1-59AC-402F-A348-49468629D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21</xdr:col>
      <xdr:colOff>0</xdr:colOff>
      <xdr:row>33</xdr:row>
      <xdr:rowOff>0</xdr:rowOff>
    </xdr:from>
    <xdr:to>
      <xdr:col>25</xdr:col>
      <xdr:colOff>419794</xdr:colOff>
      <xdr:row>46</xdr:row>
      <xdr:rowOff>71417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E8A94B-E78A-4C7C-86E7-A2C5F1D01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62600" cy="4029075"/>
    <xdr:graphicFrame macro="">
      <xdr:nvGraphicFramePr>
        <xdr:cNvPr id="978593798" name="Chart 19">
          <a:extLst>
            <a:ext uri="{FF2B5EF4-FFF2-40B4-BE49-F238E27FC236}">
              <a16:creationId xmlns:a16="http://schemas.microsoft.com/office/drawing/2014/main" id="{00000000-0008-0000-0600-000006285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5572125" cy="4029075"/>
    <xdr:graphicFrame macro="">
      <xdr:nvGraphicFramePr>
        <xdr:cNvPr id="2097500374" name="Chart 20">
          <a:extLst>
            <a:ext uri="{FF2B5EF4-FFF2-40B4-BE49-F238E27FC236}">
              <a16:creationId xmlns:a16="http://schemas.microsoft.com/office/drawing/2014/main" id="{00000000-0008-0000-0600-0000D6500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37</xdr:col>
      <xdr:colOff>371475</xdr:colOff>
      <xdr:row>46</xdr:row>
      <xdr:rowOff>133350</xdr:rowOff>
    </xdr:from>
    <xdr:ext cx="6924675" cy="4772025"/>
    <xdr:graphicFrame macro="">
      <xdr:nvGraphicFramePr>
        <xdr:cNvPr id="266290529" name="Chart 21">
          <a:extLst>
            <a:ext uri="{FF2B5EF4-FFF2-40B4-BE49-F238E27FC236}">
              <a16:creationId xmlns:a16="http://schemas.microsoft.com/office/drawing/2014/main" id="{00000000-0008-0000-0600-00006145D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43550" cy="4029075"/>
    <xdr:graphicFrame macro="">
      <xdr:nvGraphicFramePr>
        <xdr:cNvPr id="2113175889" name="Chart 22">
          <a:extLst>
            <a:ext uri="{FF2B5EF4-FFF2-40B4-BE49-F238E27FC236}">
              <a16:creationId xmlns:a16="http://schemas.microsoft.com/office/drawing/2014/main" id="{00000000-0008-0000-0700-00005181F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4657725" cy="4029075"/>
    <xdr:graphicFrame macro="">
      <xdr:nvGraphicFramePr>
        <xdr:cNvPr id="668904052" name="Chart 23">
          <a:extLst>
            <a:ext uri="{FF2B5EF4-FFF2-40B4-BE49-F238E27FC236}">
              <a16:creationId xmlns:a16="http://schemas.microsoft.com/office/drawing/2014/main" id="{00000000-0008-0000-0700-000074AAD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25</xdr:col>
      <xdr:colOff>76200</xdr:colOff>
      <xdr:row>51</xdr:row>
      <xdr:rowOff>95250</xdr:rowOff>
    </xdr:from>
    <xdr:ext cx="6781800" cy="4772025"/>
    <xdr:graphicFrame macro="">
      <xdr:nvGraphicFramePr>
        <xdr:cNvPr id="1324752528" name="Chart 24">
          <a:extLst>
            <a:ext uri="{FF2B5EF4-FFF2-40B4-BE49-F238E27FC236}">
              <a16:creationId xmlns:a16="http://schemas.microsoft.com/office/drawing/2014/main" id="{00000000-0008-0000-0700-0000901EF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6908e728f1b34df/Paper%20ERIA/Xls%20baru%2029092024/TCO_Thailand%2025092024.xlsx" TargetMode="External"/><Relationship Id="rId1" Type="http://schemas.openxmlformats.org/officeDocument/2006/relationships/externalLinkPath" Target="TCO_Thailand%202509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-Bus TH"/>
      <sheetName val="ICE-Bus TH"/>
      <sheetName val="E-Truck TH"/>
      <sheetName val="ICE-Truck TH"/>
      <sheetName val="E-Cargo TH"/>
      <sheetName val="ICE-Cargo TH"/>
      <sheetName val="Sensitivity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C4" t="str">
            <v>Vehicle Price</v>
          </cell>
          <cell r="D4" t="str">
            <v>Electricity tarrif</v>
          </cell>
          <cell r="E4" t="str">
            <v>Battery cost</v>
          </cell>
          <cell r="F4" t="str">
            <v>AKT</v>
          </cell>
          <cell r="G4" t="str">
            <v>O&amp;M costs</v>
          </cell>
          <cell r="H4" t="str">
            <v>Energy Efficiency</v>
          </cell>
          <cell r="P4" t="str">
            <v>Vehicle Price</v>
          </cell>
          <cell r="Q4" t="str">
            <v>Fuel price</v>
          </cell>
          <cell r="R4" t="str">
            <v>O&amp;M costs</v>
          </cell>
          <cell r="S4" t="str">
            <v>AKT</v>
          </cell>
          <cell r="T4" t="str">
            <v>Energy Efficiency</v>
          </cell>
        </row>
        <row r="5">
          <cell r="B5">
            <v>-50</v>
          </cell>
          <cell r="C5">
            <v>-33.91886901865854</v>
          </cell>
          <cell r="D5">
            <v>-8.6848791959787892</v>
          </cell>
          <cell r="E5">
            <v>-3.9335217890154777</v>
          </cell>
          <cell r="F5">
            <v>-22.706613958277778</v>
          </cell>
          <cell r="G5">
            <v>-14.021734762298971</v>
          </cell>
          <cell r="H5">
            <v>8.6848791959788212</v>
          </cell>
          <cell r="O5">
            <v>-50</v>
          </cell>
          <cell r="P5">
            <v>-15.854368027842799</v>
          </cell>
          <cell r="Q5">
            <v>-29.202684266710367</v>
          </cell>
          <cell r="R5">
            <v>-9.252787616740612</v>
          </cell>
          <cell r="S5">
            <v>-38.455471883450983</v>
          </cell>
          <cell r="T5">
            <v>29.202684266710367</v>
          </cell>
        </row>
        <row r="6">
          <cell r="B6">
            <v>-40</v>
          </cell>
          <cell r="C6">
            <v>-27.135095214926842</v>
          </cell>
          <cell r="D6">
            <v>-6.9479033567830477</v>
          </cell>
          <cell r="E6">
            <v>-3.1468174312123667</v>
          </cell>
          <cell r="F6">
            <v>-18.165291166622222</v>
          </cell>
          <cell r="G6">
            <v>-11.217387809839174</v>
          </cell>
          <cell r="H6">
            <v>6.9479033567830788</v>
          </cell>
          <cell r="O6">
            <v>-40</v>
          </cell>
          <cell r="P6">
            <v>-12.683494422274244</v>
          </cell>
          <cell r="Q6">
            <v>-23.362147413368277</v>
          </cell>
          <cell r="R6">
            <v>-7.402230093392502</v>
          </cell>
          <cell r="S6">
            <v>-30.764377506760798</v>
          </cell>
          <cell r="T6">
            <v>23.362147413368277</v>
          </cell>
        </row>
        <row r="7">
          <cell r="B7">
            <v>-30</v>
          </cell>
          <cell r="C7">
            <v>-20.35132141119513</v>
          </cell>
          <cell r="D7">
            <v>-5.2109275175872742</v>
          </cell>
          <cell r="E7">
            <v>-2.3601130734092868</v>
          </cell>
          <cell r="F7">
            <v>-13.623968374966635</v>
          </cell>
          <cell r="G7">
            <v>-8.4130408573793929</v>
          </cell>
          <cell r="H7">
            <v>5.2109275175873053</v>
          </cell>
          <cell r="O7">
            <v>-30</v>
          </cell>
          <cell r="P7">
            <v>-9.512620816705688</v>
          </cell>
          <cell r="Q7">
            <v>-17.521610560026208</v>
          </cell>
          <cell r="R7">
            <v>-5.5516725700443592</v>
          </cell>
          <cell r="S7">
            <v>-23.073283130070585</v>
          </cell>
          <cell r="T7">
            <v>17.521610560026208</v>
          </cell>
        </row>
        <row r="8">
          <cell r="B8">
            <v>-20</v>
          </cell>
          <cell r="C8">
            <v>-13.567547607463407</v>
          </cell>
          <cell r="D8">
            <v>-3.4739516783915008</v>
          </cell>
          <cell r="E8">
            <v>-1.5734087156061911</v>
          </cell>
          <cell r="F8">
            <v>-9.0826455833110806</v>
          </cell>
          <cell r="G8">
            <v>-5.6086939049195639</v>
          </cell>
          <cell r="H8">
            <v>3.4739516783915318</v>
          </cell>
          <cell r="O8">
            <v>-20</v>
          </cell>
          <cell r="P8">
            <v>-6.3417472111371138</v>
          </cell>
          <cell r="Q8">
            <v>-11.681073706684156</v>
          </cell>
          <cell r="R8">
            <v>-3.701115046696251</v>
          </cell>
          <cell r="S8">
            <v>-15.38218875338039</v>
          </cell>
          <cell r="T8">
            <v>11.681073706684138</v>
          </cell>
        </row>
        <row r="9">
          <cell r="B9">
            <v>-10</v>
          </cell>
          <cell r="C9">
            <v>-6.7837738037316946</v>
          </cell>
          <cell r="D9">
            <v>-1.7369758391957268</v>
          </cell>
          <cell r="E9">
            <v>-0.78670435780309556</v>
          </cell>
          <cell r="F9">
            <v>-4.5413227916555243</v>
          </cell>
          <cell r="G9">
            <v>-2.8043469524597819</v>
          </cell>
          <cell r="H9">
            <v>1.7369758391957892</v>
          </cell>
          <cell r="O9">
            <v>-10</v>
          </cell>
          <cell r="P9">
            <v>-3.1708736055685569</v>
          </cell>
          <cell r="Q9">
            <v>-5.8405368533420523</v>
          </cell>
          <cell r="R9">
            <v>-1.8505575233481255</v>
          </cell>
          <cell r="S9">
            <v>-7.691094376690212</v>
          </cell>
          <cell r="T9">
            <v>5.8405368533420869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B11">
            <v>10</v>
          </cell>
          <cell r="C11">
            <v>6.7837738037317266</v>
          </cell>
          <cell r="D11">
            <v>1.7369758391957892</v>
          </cell>
          <cell r="E11">
            <v>0.78670435780309556</v>
          </cell>
          <cell r="F11">
            <v>4.5413227916556025</v>
          </cell>
          <cell r="G11">
            <v>2.8043469524598286</v>
          </cell>
          <cell r="H11">
            <v>-1.7369758391957268</v>
          </cell>
          <cell r="O11">
            <v>10</v>
          </cell>
          <cell r="P11">
            <v>3.1708736055685569</v>
          </cell>
          <cell r="Q11">
            <v>5.8405368533420869</v>
          </cell>
          <cell r="R11">
            <v>1.8505575233481428</v>
          </cell>
          <cell r="S11">
            <v>7.691094376690212</v>
          </cell>
          <cell r="T11">
            <v>-5.8405368533420523</v>
          </cell>
        </row>
        <row r="12">
          <cell r="B12">
            <v>20</v>
          </cell>
          <cell r="C12">
            <v>13.567547607463421</v>
          </cell>
          <cell r="D12">
            <v>3.4739516783915318</v>
          </cell>
          <cell r="E12">
            <v>1.5734087156062067</v>
          </cell>
          <cell r="F12">
            <v>11.867236970441136</v>
          </cell>
          <cell r="G12">
            <v>5.608693904919611</v>
          </cell>
          <cell r="H12">
            <v>-3.4739516783915008</v>
          </cell>
          <cell r="O12">
            <v>20</v>
          </cell>
          <cell r="P12">
            <v>6.3417472111371307</v>
          </cell>
          <cell r="Q12">
            <v>11.681073706684138</v>
          </cell>
          <cell r="R12">
            <v>3.701115046696251</v>
          </cell>
          <cell r="S12">
            <v>15.38218875338039</v>
          </cell>
          <cell r="T12">
            <v>-11.681073706684156</v>
          </cell>
        </row>
        <row r="13">
          <cell r="B13">
            <v>30</v>
          </cell>
          <cell r="C13">
            <v>20.35132141119513</v>
          </cell>
          <cell r="D13">
            <v>5.2109275175873053</v>
          </cell>
          <cell r="E13">
            <v>2.3601130734093023</v>
          </cell>
          <cell r="F13">
            <v>16.547789331453181</v>
          </cell>
          <cell r="G13">
            <v>8.4130408573794391</v>
          </cell>
          <cell r="H13">
            <v>-5.2109275175872742</v>
          </cell>
          <cell r="O13">
            <v>30</v>
          </cell>
          <cell r="P13">
            <v>9.512620816705688</v>
          </cell>
          <cell r="Q13">
            <v>17.521610560026208</v>
          </cell>
          <cell r="R13">
            <v>5.551672570044377</v>
          </cell>
          <cell r="S13">
            <v>23.073283130070603</v>
          </cell>
          <cell r="T13">
            <v>-17.521610560026208</v>
          </cell>
        </row>
        <row r="14">
          <cell r="B14">
            <v>40</v>
          </cell>
          <cell r="C14">
            <v>27.135095214926842</v>
          </cell>
          <cell r="D14">
            <v>6.9479033567830788</v>
          </cell>
          <cell r="E14">
            <v>3.1468174312123667</v>
          </cell>
          <cell r="F14">
            <v>21.23530317093309</v>
          </cell>
          <cell r="G14">
            <v>11.217387809839236</v>
          </cell>
          <cell r="H14">
            <v>-6.9479033567830477</v>
          </cell>
          <cell r="O14">
            <v>40</v>
          </cell>
          <cell r="P14">
            <v>12.683494422274244</v>
          </cell>
          <cell r="Q14">
            <v>23.362147413368277</v>
          </cell>
          <cell r="R14">
            <v>7.4022300933924852</v>
          </cell>
          <cell r="S14">
            <v>30.764377506760766</v>
          </cell>
          <cell r="T14">
            <v>-23.362147413368277</v>
          </cell>
        </row>
        <row r="15">
          <cell r="B15">
            <v>50</v>
          </cell>
          <cell r="C15">
            <v>33.918869018658555</v>
          </cell>
          <cell r="D15">
            <v>8.6848791959788212</v>
          </cell>
          <cell r="E15">
            <v>3.9335217890154621</v>
          </cell>
          <cell r="F15">
            <v>25.776625962588611</v>
          </cell>
          <cell r="G15">
            <v>14.021734762298987</v>
          </cell>
          <cell r="H15">
            <v>-8.6848791959787892</v>
          </cell>
          <cell r="O15">
            <v>50</v>
          </cell>
          <cell r="P15">
            <v>15.854368027842819</v>
          </cell>
          <cell r="Q15">
            <v>29.202684266710367</v>
          </cell>
          <cell r="R15">
            <v>9.252787616740628</v>
          </cell>
          <cell r="S15">
            <v>38.45547188345099</v>
          </cell>
          <cell r="T15">
            <v>-29.202684266710367</v>
          </cell>
        </row>
        <row r="19">
          <cell r="C19" t="str">
            <v>Vehicle Price</v>
          </cell>
          <cell r="D19" t="str">
            <v>Electricity tarrif</v>
          </cell>
          <cell r="E19" t="str">
            <v>Battery cost</v>
          </cell>
          <cell r="F19" t="str">
            <v>AKT</v>
          </cell>
          <cell r="G19" t="str">
            <v>O&amp;M costs</v>
          </cell>
          <cell r="H19" t="str">
            <v>Energy Efficiency</v>
          </cell>
          <cell r="P19" t="str">
            <v>Vehicle Price</v>
          </cell>
          <cell r="Q19" t="str">
            <v>Fuel price</v>
          </cell>
          <cell r="R19" t="str">
            <v>O&amp;M costs</v>
          </cell>
          <cell r="S19" t="str">
            <v>AKT</v>
          </cell>
          <cell r="T19" t="str">
            <v>Energy Efficiency</v>
          </cell>
        </row>
        <row r="20">
          <cell r="B20">
            <v>-50</v>
          </cell>
          <cell r="C20">
            <v>-31.334378733128059</v>
          </cell>
          <cell r="D20">
            <v>-6.013814651953564</v>
          </cell>
          <cell r="E20">
            <v>-4.5180452752601878</v>
          </cell>
          <cell r="F20">
            <v>-27.020026746178566</v>
          </cell>
          <cell r="G20">
            <v>-8.6627693469554448</v>
          </cell>
          <cell r="H20">
            <v>6.0138146519535107</v>
          </cell>
          <cell r="O20">
            <v>-50</v>
          </cell>
          <cell r="P20">
            <v>-6.1609276276644458</v>
          </cell>
          <cell r="Q20">
            <v>-30.826878875146811</v>
          </cell>
          <cell r="R20">
            <v>-14.381101091813321</v>
          </cell>
          <cell r="S20">
            <v>-45.207979966960146</v>
          </cell>
          <cell r="T20">
            <v>30.826878875146889</v>
          </cell>
        </row>
        <row r="21">
          <cell r="B21">
            <v>-40</v>
          </cell>
          <cell r="C21">
            <v>-25.067502986502443</v>
          </cell>
          <cell r="D21">
            <v>-4.8110517215628406</v>
          </cell>
          <cell r="E21">
            <v>-3.6144362202081322</v>
          </cell>
          <cell r="F21">
            <v>-23.552773794971479</v>
          </cell>
          <cell r="G21">
            <v>-6.9302154775643485</v>
          </cell>
          <cell r="H21">
            <v>4.8110517215628219</v>
          </cell>
          <cell r="O21">
            <v>-40</v>
          </cell>
          <cell r="P21">
            <v>-4.9287421021315598</v>
          </cell>
          <cell r="Q21">
            <v>-24.661503100117454</v>
          </cell>
          <cell r="R21">
            <v>-11.504880873450658</v>
          </cell>
          <cell r="S21">
            <v>-36.166383973568124</v>
          </cell>
          <cell r="T21">
            <v>24.6615031001175</v>
          </cell>
        </row>
        <row r="22">
          <cell r="B22">
            <v>-30</v>
          </cell>
          <cell r="C22">
            <v>-18.800627239876842</v>
          </cell>
          <cell r="D22">
            <v>-3.6082887911721344</v>
          </cell>
          <cell r="E22">
            <v>-2.7108271651561129</v>
          </cell>
          <cell r="F22">
            <v>-20.617456995189677</v>
          </cell>
          <cell r="G22">
            <v>-5.1976616081732878</v>
          </cell>
          <cell r="H22">
            <v>3.6082887911721344</v>
          </cell>
          <cell r="O22">
            <v>-30</v>
          </cell>
          <cell r="P22">
            <v>-3.6965565765986743</v>
          </cell>
          <cell r="Q22">
            <v>-18.496127325088089</v>
          </cell>
          <cell r="R22">
            <v>-8.6286606550879803</v>
          </cell>
          <cell r="S22">
            <v>-27.12478798017608</v>
          </cell>
          <cell r="T22">
            <v>18.496127325088125</v>
          </cell>
        </row>
        <row r="23">
          <cell r="B23">
            <v>-20</v>
          </cell>
          <cell r="C23">
            <v>-12.533751493251263</v>
          </cell>
          <cell r="D23">
            <v>-2.4055258607813936</v>
          </cell>
          <cell r="E23">
            <v>-1.8072181101040752</v>
          </cell>
          <cell r="F23">
            <v>-13.748093589337598</v>
          </cell>
          <cell r="G23">
            <v>-3.4651077387821743</v>
          </cell>
          <cell r="H23">
            <v>2.4055258607814292</v>
          </cell>
          <cell r="O23">
            <v>-20</v>
          </cell>
          <cell r="P23">
            <v>-2.4643710510657715</v>
          </cell>
          <cell r="Q23">
            <v>-12.330751550058695</v>
          </cell>
          <cell r="R23">
            <v>-5.7524404367253208</v>
          </cell>
          <cell r="S23">
            <v>-18.083191986784033</v>
          </cell>
          <cell r="T23">
            <v>12.33075155005875</v>
          </cell>
        </row>
        <row r="24">
          <cell r="B24">
            <v>-10</v>
          </cell>
          <cell r="C24">
            <v>-6.2668757466256135</v>
          </cell>
          <cell r="D24">
            <v>-1.2027629303907412</v>
          </cell>
          <cell r="E24">
            <v>-0.90360905505205547</v>
          </cell>
          <cell r="F24">
            <v>-10.812776789555814</v>
          </cell>
          <cell r="G24">
            <v>-1.7325538693910958</v>
          </cell>
          <cell r="H24">
            <v>1.2027629303906879</v>
          </cell>
          <cell r="O24">
            <v>-10</v>
          </cell>
          <cell r="P24">
            <v>-1.2321855255328857</v>
          </cell>
          <cell r="Q24">
            <v>-6.1653757750293563</v>
          </cell>
          <cell r="R24">
            <v>-2.8762202183626422</v>
          </cell>
          <cell r="S24">
            <v>-9.0415959933919989</v>
          </cell>
          <cell r="T24">
            <v>6.1653757750293918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B26">
            <v>10</v>
          </cell>
          <cell r="C26">
            <v>6.2668757466256135</v>
          </cell>
          <cell r="D26">
            <v>1.2027629303906879</v>
          </cell>
          <cell r="E26">
            <v>0.90360905505201972</v>
          </cell>
          <cell r="F26">
            <v>2.9353167997817837</v>
          </cell>
          <cell r="G26">
            <v>1.732553869391078</v>
          </cell>
          <cell r="H26">
            <v>-1.2027629303907412</v>
          </cell>
          <cell r="O26">
            <v>10</v>
          </cell>
          <cell r="P26">
            <v>1.2321855255329033</v>
          </cell>
          <cell r="Q26">
            <v>6.1653757750293918</v>
          </cell>
          <cell r="R26">
            <v>2.8762202183626782</v>
          </cell>
          <cell r="S26">
            <v>9.0415959933920522</v>
          </cell>
          <cell r="T26">
            <v>-6.1653757750293563</v>
          </cell>
        </row>
        <row r="27">
          <cell r="B27">
            <v>20</v>
          </cell>
          <cell r="C27">
            <v>12.533751493251227</v>
          </cell>
          <cell r="D27">
            <v>2.405525860781411</v>
          </cell>
          <cell r="E27">
            <v>1.8072181101040574</v>
          </cell>
          <cell r="F27">
            <v>5.8706335995635861</v>
          </cell>
          <cell r="G27">
            <v>3.4651077387821561</v>
          </cell>
          <cell r="H27">
            <v>-2.4055258607813936</v>
          </cell>
          <cell r="O27">
            <v>20</v>
          </cell>
          <cell r="P27">
            <v>2.4643710510657888</v>
          </cell>
          <cell r="Q27">
            <v>12.33075155005875</v>
          </cell>
          <cell r="R27">
            <v>5.7524404367253563</v>
          </cell>
          <cell r="S27">
            <v>18.083191986784069</v>
          </cell>
          <cell r="T27">
            <v>-12.330751550058713</v>
          </cell>
        </row>
        <row r="28">
          <cell r="B28">
            <v>30</v>
          </cell>
          <cell r="C28">
            <v>18.800627239876803</v>
          </cell>
          <cell r="D28">
            <v>3.6082887911721344</v>
          </cell>
          <cell r="E28">
            <v>2.7108271651560951</v>
          </cell>
          <cell r="F28">
            <v>8.8059503993453507</v>
          </cell>
          <cell r="G28">
            <v>5.1976616081732523</v>
          </cell>
          <cell r="H28">
            <v>-3.6082887911721344</v>
          </cell>
          <cell r="O28">
            <v>30</v>
          </cell>
          <cell r="P28">
            <v>3.6965565765986925</v>
          </cell>
          <cell r="Q28">
            <v>18.496127325088125</v>
          </cell>
          <cell r="R28">
            <v>8.6286606550880336</v>
          </cell>
          <cell r="S28">
            <v>27.124787980176141</v>
          </cell>
          <cell r="T28">
            <v>-18.496127325088089</v>
          </cell>
        </row>
        <row r="29">
          <cell r="B29">
            <v>40</v>
          </cell>
          <cell r="C29">
            <v>25.067502986502422</v>
          </cell>
          <cell r="D29">
            <v>4.8110517215628219</v>
          </cell>
          <cell r="E29">
            <v>3.6144362202081148</v>
          </cell>
          <cell r="F29">
            <v>11.741267199127188</v>
          </cell>
          <cell r="G29">
            <v>6.9302154775643485</v>
          </cell>
          <cell r="H29">
            <v>-4.8110517215628406</v>
          </cell>
          <cell r="O29">
            <v>40</v>
          </cell>
          <cell r="P29">
            <v>4.9287421021315776</v>
          </cell>
          <cell r="Q29">
            <v>24.6615031001175</v>
          </cell>
          <cell r="R29">
            <v>11.504880873450677</v>
          </cell>
          <cell r="S29">
            <v>36.166383973568159</v>
          </cell>
          <cell r="T29">
            <v>-24.661503100117447</v>
          </cell>
        </row>
        <row r="30">
          <cell r="B30">
            <v>50</v>
          </cell>
          <cell r="C30">
            <v>31.334378733128066</v>
          </cell>
          <cell r="D30">
            <v>6.0138146519535107</v>
          </cell>
          <cell r="E30">
            <v>4.5180452752601523</v>
          </cell>
          <cell r="F30">
            <v>35.281640598553594</v>
          </cell>
          <cell r="G30">
            <v>8.6627693469554075</v>
          </cell>
          <cell r="H30">
            <v>-6.013814651953564</v>
          </cell>
          <cell r="O30">
            <v>50</v>
          </cell>
          <cell r="P30">
            <v>6.1609276276644636</v>
          </cell>
          <cell r="Q30">
            <v>30.826878875146889</v>
          </cell>
          <cell r="R30">
            <v>14.381101091813337</v>
          </cell>
          <cell r="S30">
            <v>45.207979966960195</v>
          </cell>
          <cell r="T30">
            <v>-30.826878875146811</v>
          </cell>
        </row>
        <row r="34">
          <cell r="C34" t="str">
            <v>Vehicle Price</v>
          </cell>
          <cell r="D34" t="str">
            <v>Electricity tarrif</v>
          </cell>
          <cell r="E34" t="str">
            <v>Battery cost</v>
          </cell>
          <cell r="F34" t="str">
            <v>AKT</v>
          </cell>
          <cell r="G34" t="str">
            <v>O&amp;M costs</v>
          </cell>
          <cell r="H34" t="str">
            <v>Energy Efficiency</v>
          </cell>
          <cell r="P34" t="str">
            <v>Vehicle Price</v>
          </cell>
          <cell r="Q34" t="str">
            <v>Fuel price</v>
          </cell>
          <cell r="R34" t="str">
            <v>O&amp;M costs</v>
          </cell>
          <cell r="S34" t="str">
            <v>AKT</v>
          </cell>
          <cell r="T34" t="str">
            <v>Energy Efficiency</v>
          </cell>
        </row>
        <row r="35">
          <cell r="B35">
            <v>-50</v>
          </cell>
          <cell r="C35">
            <v>-38.484104622912902</v>
          </cell>
          <cell r="D35">
            <v>-8.1857231243426618</v>
          </cell>
          <cell r="E35">
            <v>-10.527463801339621</v>
          </cell>
          <cell r="F35">
            <v>-23.7918429107831</v>
          </cell>
          <cell r="G35">
            <v>-6.5475242627844752</v>
          </cell>
          <cell r="H35">
            <v>8.1857231243427009</v>
          </cell>
          <cell r="O35">
            <v>-50</v>
          </cell>
          <cell r="P35">
            <v>-15.090338283968252</v>
          </cell>
          <cell r="Q35">
            <v>-28.871783746588232</v>
          </cell>
          <cell r="R35">
            <v>-9.3930202369186802</v>
          </cell>
          <cell r="S35">
            <v>-38.264803983506887</v>
          </cell>
          <cell r="T35">
            <v>28.871783746588207</v>
          </cell>
        </row>
        <row r="36">
          <cell r="B36">
            <v>-40</v>
          </cell>
          <cell r="C36">
            <v>-30.787283698330327</v>
          </cell>
          <cell r="D36">
            <v>-6.5485784994741651</v>
          </cell>
          <cell r="E36">
            <v>-8.4219710410717283</v>
          </cell>
          <cell r="F36">
            <v>-13.392664477907257</v>
          </cell>
          <cell r="G36">
            <v>-5.2380194102275679</v>
          </cell>
          <cell r="H36">
            <v>6.5485784994741252</v>
          </cell>
          <cell r="O36">
            <v>-40</v>
          </cell>
          <cell r="P36">
            <v>-12.072270627174603</v>
          </cell>
          <cell r="Q36">
            <v>-23.097426997270585</v>
          </cell>
          <cell r="R36">
            <v>-7.5144161895349351</v>
          </cell>
          <cell r="S36">
            <v>-30.611843186805523</v>
          </cell>
          <cell r="T36">
            <v>23.097426997270549</v>
          </cell>
        </row>
        <row r="37">
          <cell r="B37">
            <v>-30</v>
          </cell>
          <cell r="C37">
            <v>-23.090462773747749</v>
          </cell>
          <cell r="D37">
            <v>-4.911433874605609</v>
          </cell>
          <cell r="E37">
            <v>-6.3164782808037767</v>
          </cell>
          <cell r="F37">
            <v>-10.073388552709297</v>
          </cell>
          <cell r="G37">
            <v>-3.928514557670701</v>
          </cell>
          <cell r="H37">
            <v>4.911433874605609</v>
          </cell>
          <cell r="O37">
            <v>-30</v>
          </cell>
          <cell r="P37">
            <v>-9.0542029703809543</v>
          </cell>
          <cell r="Q37">
            <v>-17.323070247952938</v>
          </cell>
          <cell r="R37">
            <v>-5.6358121421512131</v>
          </cell>
          <cell r="S37">
            <v>-22.958882390104161</v>
          </cell>
          <cell r="T37">
            <v>17.323070247952916</v>
          </cell>
        </row>
        <row r="38">
          <cell r="B38">
            <v>-20</v>
          </cell>
          <cell r="C38">
            <v>-15.393641849165151</v>
          </cell>
          <cell r="D38">
            <v>-3.2742892497370328</v>
          </cell>
          <cell r="E38">
            <v>-4.2109855205358437</v>
          </cell>
          <cell r="F38">
            <v>-6.7354813051226774</v>
          </cell>
          <cell r="G38">
            <v>-2.6190097051137942</v>
          </cell>
          <cell r="H38">
            <v>3.2742892497370528</v>
          </cell>
          <cell r="O38">
            <v>-20</v>
          </cell>
          <cell r="P38">
            <v>-6.0361353135872955</v>
          </cell>
          <cell r="Q38">
            <v>-11.548713498635292</v>
          </cell>
          <cell r="R38">
            <v>-3.7572080947674786</v>
          </cell>
          <cell r="S38">
            <v>-15.305921593402761</v>
          </cell>
          <cell r="T38">
            <v>11.548713498635257</v>
          </cell>
        </row>
        <row r="39">
          <cell r="B39">
            <v>-10</v>
          </cell>
          <cell r="C39">
            <v>-7.6968209245825969</v>
          </cell>
          <cell r="D39">
            <v>-1.6371446248685366</v>
          </cell>
          <cell r="E39">
            <v>-2.1054927602678921</v>
          </cell>
          <cell r="F39">
            <v>-3.3780111690280958</v>
          </cell>
          <cell r="G39">
            <v>-1.3095048525568871</v>
          </cell>
          <cell r="H39">
            <v>1.6371446248685366</v>
          </cell>
          <cell r="O39">
            <v>-10</v>
          </cell>
          <cell r="P39">
            <v>-3.0180676567936593</v>
          </cell>
          <cell r="Q39">
            <v>-5.7743567493176231</v>
          </cell>
          <cell r="R39">
            <v>-1.8786040473837338</v>
          </cell>
          <cell r="S39">
            <v>-7.6529607967013913</v>
          </cell>
          <cell r="T39">
            <v>5.7743567493176462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B41">
            <v>10</v>
          </cell>
          <cell r="C41">
            <v>7.6968209245825969</v>
          </cell>
          <cell r="D41">
            <v>1.6371446248685366</v>
          </cell>
          <cell r="E41">
            <v>2.1054927602679121</v>
          </cell>
          <cell r="F41">
            <v>10.852108209058626</v>
          </cell>
          <cell r="G41">
            <v>1.3095048525568871</v>
          </cell>
          <cell r="H41">
            <v>-1.6371446248685366</v>
          </cell>
          <cell r="O41">
            <v>10</v>
          </cell>
          <cell r="P41">
            <v>3.0180676567936366</v>
          </cell>
          <cell r="Q41">
            <v>5.7743567493176462</v>
          </cell>
          <cell r="R41">
            <v>1.8786040473837224</v>
          </cell>
          <cell r="S41">
            <v>7.6529607967013673</v>
          </cell>
          <cell r="T41">
            <v>-5.7743567493176231</v>
          </cell>
        </row>
        <row r="42">
          <cell r="B42">
            <v>20</v>
          </cell>
          <cell r="C42">
            <v>15.393641849165112</v>
          </cell>
          <cell r="D42">
            <v>3.2742892497370528</v>
          </cell>
          <cell r="E42">
            <v>4.2109855205358437</v>
          </cell>
          <cell r="F42">
            <v>13.79875768648405</v>
          </cell>
          <cell r="G42">
            <v>2.6190097051137542</v>
          </cell>
          <cell r="H42">
            <v>-3.2742892497370328</v>
          </cell>
          <cell r="O42">
            <v>20</v>
          </cell>
          <cell r="P42">
            <v>6.0361353135873079</v>
          </cell>
          <cell r="Q42">
            <v>11.548713498635257</v>
          </cell>
          <cell r="R42">
            <v>3.7572080947674564</v>
          </cell>
          <cell r="S42">
            <v>15.305921593402724</v>
          </cell>
          <cell r="T42">
            <v>-11.548713498635292</v>
          </cell>
        </row>
        <row r="43">
          <cell r="B43">
            <v>30</v>
          </cell>
          <cell r="C43">
            <v>23.090462773747749</v>
          </cell>
          <cell r="D43">
            <v>4.911433874605609</v>
          </cell>
          <cell r="E43">
            <v>6.3164782808037971</v>
          </cell>
          <cell r="F43">
            <v>17.984867646835145</v>
          </cell>
          <cell r="G43">
            <v>3.928514557670701</v>
          </cell>
          <cell r="H43">
            <v>-4.911433874605609</v>
          </cell>
          <cell r="O43">
            <v>30</v>
          </cell>
          <cell r="P43">
            <v>9.054202970380933</v>
          </cell>
          <cell r="Q43">
            <v>17.323070247952916</v>
          </cell>
          <cell r="R43">
            <v>5.6358121421511784</v>
          </cell>
          <cell r="S43">
            <v>22.958882390104126</v>
          </cell>
          <cell r="T43">
            <v>-17.323070247952938</v>
          </cell>
        </row>
        <row r="44">
          <cell r="B44">
            <v>40</v>
          </cell>
          <cell r="C44">
            <v>30.787283698330302</v>
          </cell>
          <cell r="D44">
            <v>6.5485784994741252</v>
          </cell>
          <cell r="E44">
            <v>8.4219710410716484</v>
          </cell>
          <cell r="F44">
            <v>20.93151712426053</v>
          </cell>
          <cell r="G44">
            <v>5.2380194102275679</v>
          </cell>
          <cell r="H44">
            <v>-6.5485784994741651</v>
          </cell>
          <cell r="O44">
            <v>40</v>
          </cell>
          <cell r="P44">
            <v>12.072270627174559</v>
          </cell>
          <cell r="Q44">
            <v>23.097426997270549</v>
          </cell>
          <cell r="R44">
            <v>7.5144161895349466</v>
          </cell>
          <cell r="S44">
            <v>30.611843186805487</v>
          </cell>
          <cell r="T44">
            <v>-23.097426997270585</v>
          </cell>
        </row>
        <row r="45">
          <cell r="B45">
            <v>50</v>
          </cell>
          <cell r="C45">
            <v>38.484104622912859</v>
          </cell>
          <cell r="D45">
            <v>8.1857231243427009</v>
          </cell>
          <cell r="E45">
            <v>10.527463801339602</v>
          </cell>
          <cell r="F45">
            <v>23.878166601685951</v>
          </cell>
          <cell r="G45">
            <v>6.5475242627844557</v>
          </cell>
          <cell r="H45">
            <v>-8.1857231243426618</v>
          </cell>
          <cell r="O45">
            <v>50</v>
          </cell>
          <cell r="P45">
            <v>15.090338283968229</v>
          </cell>
          <cell r="Q45">
            <v>28.871783746588207</v>
          </cell>
          <cell r="R45">
            <v>9.3930202369186464</v>
          </cell>
          <cell r="S45">
            <v>38.264803983506887</v>
          </cell>
          <cell r="T45">
            <v>-28.871783746588232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AY1000"/>
  <sheetViews>
    <sheetView topLeftCell="U52" zoomScale="70" zoomScaleNormal="70" workbookViewId="0">
      <selection activeCell="AC75" sqref="AC75:AC79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7" customWidth="1"/>
    <col min="7" max="7" width="8.85546875" customWidth="1"/>
    <col min="8" max="8" width="5.42578125" customWidth="1"/>
    <col min="9" max="9" width="50.5703125" bestFit="1" customWidth="1"/>
    <col min="10" max="10" width="17.710937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33.7109375" customWidth="1"/>
    <col min="19" max="19" width="16.5703125" customWidth="1"/>
    <col min="20" max="20" width="11.140625" customWidth="1"/>
    <col min="21" max="22" width="31.28515625" customWidth="1"/>
    <col min="23" max="23" width="23.85546875" customWidth="1"/>
    <col min="24" max="25" width="13.42578125" customWidth="1"/>
    <col min="26" max="26" width="19.5703125" customWidth="1"/>
    <col min="27" max="27" width="12.28515625" customWidth="1"/>
    <col min="28" max="28" width="20.140625" customWidth="1"/>
    <col min="29" max="29" width="19.28515625" customWidth="1"/>
    <col min="30" max="30" width="15.140625" customWidth="1"/>
    <col min="31" max="31" width="19" customWidth="1"/>
    <col min="32" max="32" width="4.7109375" customWidth="1"/>
    <col min="33" max="33" width="20.140625" customWidth="1"/>
    <col min="34" max="34" width="22.42578125" customWidth="1"/>
    <col min="35" max="35" width="11.28515625" customWidth="1"/>
    <col min="36" max="36" width="17.85546875" customWidth="1"/>
    <col min="37" max="37" width="8.85546875" customWidth="1"/>
    <col min="38" max="38" width="20.140625" customWidth="1"/>
    <col min="39" max="39" width="17.5703125" customWidth="1"/>
    <col min="40" max="40" width="9.7109375" customWidth="1"/>
    <col min="41" max="41" width="15.5703125" customWidth="1"/>
    <col min="42" max="42" width="8.85546875" customWidth="1"/>
    <col min="43" max="43" width="12.7109375" customWidth="1"/>
    <col min="44" max="44" width="16.85546875" customWidth="1"/>
    <col min="45" max="51" width="8.85546875" customWidth="1"/>
  </cols>
  <sheetData>
    <row r="1" spans="1:51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25">
      <c r="A2" s="1" t="s">
        <v>2</v>
      </c>
      <c r="B2" s="3">
        <f>X49</f>
        <v>628365.45511215122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2"/>
      <c r="B3" s="4">
        <f>B2/J34</f>
        <v>0.89316085328578909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 t="s">
        <v>7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16</v>
      </c>
      <c r="R7" s="11" t="s">
        <v>17</v>
      </c>
      <c r="S7" s="11" t="s">
        <v>18</v>
      </c>
      <c r="T7" s="11" t="s">
        <v>19</v>
      </c>
      <c r="U7" s="11" t="s">
        <v>20</v>
      </c>
      <c r="V7" s="11" t="s">
        <v>21</v>
      </c>
      <c r="W7" s="11" t="s">
        <v>22</v>
      </c>
      <c r="X7" s="12" t="s">
        <v>23</v>
      </c>
      <c r="Y7" s="1"/>
      <c r="Z7" s="2" t="s">
        <v>24</v>
      </c>
      <c r="AA7" s="2"/>
      <c r="AB7" s="2" t="s">
        <v>25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3390000000</v>
      </c>
      <c r="K8" s="2" t="s">
        <v>29</v>
      </c>
      <c r="L8" s="14"/>
      <c r="M8" s="2"/>
      <c r="N8" s="11">
        <v>0</v>
      </c>
      <c r="O8" s="16">
        <f>F31</f>
        <v>120953.17306451612</v>
      </c>
      <c r="P8" s="11"/>
      <c r="Q8" s="11"/>
      <c r="R8" s="11"/>
      <c r="S8" s="11"/>
      <c r="T8" s="11"/>
      <c r="U8" s="11"/>
      <c r="V8" s="11"/>
      <c r="W8" s="11"/>
      <c r="X8" s="17">
        <f t="shared" ref="X8:X48" si="0">SUM(O8:W8)</f>
        <v>120953.17306451612</v>
      </c>
      <c r="Y8" s="3"/>
      <c r="Z8" s="6"/>
      <c r="AA8" s="2"/>
      <c r="AB8" s="2" t="s">
        <v>30</v>
      </c>
      <c r="AC8" s="18">
        <f>F36</f>
        <v>5.32258064516129E-2</v>
      </c>
      <c r="AD8" s="2" t="s">
        <v>31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3"/>
      <c r="B9" s="2"/>
      <c r="C9" s="2"/>
      <c r="D9" s="2"/>
      <c r="E9" s="2"/>
      <c r="F9" s="19"/>
      <c r="G9" s="2"/>
      <c r="H9" s="14"/>
      <c r="I9" s="15" t="s">
        <v>32</v>
      </c>
      <c r="J9" s="6">
        <v>105</v>
      </c>
      <c r="K9" s="2" t="s">
        <v>31</v>
      </c>
      <c r="L9" s="14"/>
      <c r="M9" s="2"/>
      <c r="N9" s="11">
        <v>1</v>
      </c>
      <c r="O9" s="11"/>
      <c r="P9" s="20">
        <f t="shared" ref="P9:P48" si="1">IF(N9&gt;0,IF(N9&lt;=$J$21,(($F$32+$F$33)/$J$21)/((1+($F$11/100))^N9),0),0)</f>
        <v>78753.954906451618</v>
      </c>
      <c r="Q9" s="21">
        <f t="shared" ref="Q9:Q48" si="2">IF(N9&gt;0,($F$41*((1+($F$14/100))^(N9-1)))/((1+($F$11/100))^N9),0)</f>
        <v>3530.618294930875</v>
      </c>
      <c r="R9" s="21">
        <f t="shared" ref="R9:R48" si="3">IF(N9&gt;0,$F$40/((1+($F$11/100))^N9),0)</f>
        <v>0</v>
      </c>
      <c r="S9" s="21">
        <f t="shared" ref="S9:S48" si="4">IF(N9&gt;0,$J$37/((1+($F$11/100))^N9),0)</f>
        <v>23492.179023041474</v>
      </c>
      <c r="T9" s="21">
        <f>IF(N9&gt;0,(($F$18/100)*($F$19/100)*$B$17*Z9)/((1+($F$11/100))^N9),0)</f>
        <v>0</v>
      </c>
      <c r="U9" s="21">
        <f t="shared" ref="U9:U48" si="5">IF(AND(MOD(N9,$J$31)=0,N9&gt;0),$B$44/((1+($F$11/100))^N9),0)</f>
        <v>0</v>
      </c>
      <c r="V9" s="21">
        <f t="shared" ref="V9:V48" si="6">IF(N9&gt;0,$J$32/((1+($F$11/100))^N9),0)</f>
        <v>0</v>
      </c>
      <c r="W9" s="20">
        <f t="shared" ref="W9:W18" si="7">IF(N9=$B$5,((((1-$J$15/100)^N9)*$B$45+((1-$J$16/100)^N9)*$B$46)/((1+($F$11/100))^N9))*-1,0)</f>
        <v>0</v>
      </c>
      <c r="X9" s="17">
        <f t="shared" si="0"/>
        <v>105776.75222442397</v>
      </c>
      <c r="Y9" s="3"/>
      <c r="Z9" s="6">
        <f t="shared" ref="Z9:Z48" si="8">IF(N9&gt;0,((((1-$J$15/100)^N9)*$B$45+((1-$J$16/100)^N9)*$B$46)/((1+($F$11/100))^N9)),0)</f>
        <v>222205.64976958526</v>
      </c>
      <c r="AA9" s="2"/>
      <c r="AB9" s="2" t="s">
        <v>33</v>
      </c>
      <c r="AC9" s="5">
        <f>B46</f>
        <v>33810</v>
      </c>
      <c r="AD9" s="2" t="s">
        <v>3</v>
      </c>
      <c r="AE9" s="2"/>
      <c r="AF9" s="6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36</v>
      </c>
      <c r="J10" s="6">
        <v>322</v>
      </c>
      <c r="K10" s="2" t="s">
        <v>37</v>
      </c>
      <c r="L10" s="14"/>
      <c r="M10" s="2"/>
      <c r="N10" s="11">
        <f t="shared" ref="N10:N48" si="9">IF((N9+1)&gt;$B$5,,IF(N9=0,,N9+1))</f>
        <v>2</v>
      </c>
      <c r="O10" s="11"/>
      <c r="P10" s="20">
        <f t="shared" si="1"/>
        <v>75003.766577572969</v>
      </c>
      <c r="Q10" s="21">
        <f t="shared" si="2"/>
        <v>3396.11855036208</v>
      </c>
      <c r="R10" s="21">
        <f t="shared" si="3"/>
        <v>0</v>
      </c>
      <c r="S10" s="21">
        <f t="shared" si="4"/>
        <v>22373.503831468068</v>
      </c>
      <c r="T10" s="21">
        <f t="shared" ref="T10:T48" si="10">IF(N10&gt;0,(($F$18/100)*($F$19/100)*$B$17*Z10)/((1+($F$11/100))^N10),0)</f>
        <v>0</v>
      </c>
      <c r="U10" s="21">
        <f t="shared" si="5"/>
        <v>0</v>
      </c>
      <c r="V10" s="21">
        <f t="shared" si="6"/>
        <v>0</v>
      </c>
      <c r="W10" s="20">
        <f t="shared" si="7"/>
        <v>0</v>
      </c>
      <c r="X10" s="17">
        <f t="shared" si="0"/>
        <v>100773.38895940312</v>
      </c>
      <c r="Y10" s="3"/>
      <c r="Z10" s="6">
        <f t="shared" si="8"/>
        <v>195571.52015799869</v>
      </c>
      <c r="AA10" s="2"/>
      <c r="AB10" s="2" t="s">
        <v>174</v>
      </c>
      <c r="AC10" s="23">
        <f>B50</f>
        <v>354790.14677419356</v>
      </c>
      <c r="AD10" s="2" t="s">
        <v>3</v>
      </c>
      <c r="AE10" s="2"/>
      <c r="AF10" s="6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24" t="s">
        <v>171</v>
      </c>
      <c r="B11" s="25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40</v>
      </c>
      <c r="J11" s="6">
        <v>4000</v>
      </c>
      <c r="K11" s="2" t="s">
        <v>41</v>
      </c>
      <c r="L11" s="14"/>
      <c r="M11" s="2"/>
      <c r="N11" s="11">
        <f t="shared" si="9"/>
        <v>3</v>
      </c>
      <c r="O11" s="11"/>
      <c r="P11" s="20">
        <f t="shared" si="1"/>
        <v>71432.158645307587</v>
      </c>
      <c r="Q11" s="21">
        <f t="shared" si="2"/>
        <v>3266.7426055863812</v>
      </c>
      <c r="R11" s="21">
        <f t="shared" si="3"/>
        <v>0</v>
      </c>
      <c r="S11" s="21">
        <f t="shared" si="4"/>
        <v>21308.098887112446</v>
      </c>
      <c r="T11" s="21">
        <f t="shared" si="10"/>
        <v>0</v>
      </c>
      <c r="U11" s="21">
        <f t="shared" si="5"/>
        <v>0</v>
      </c>
      <c r="V11" s="21">
        <f t="shared" si="6"/>
        <v>0</v>
      </c>
      <c r="W11" s="20">
        <f t="shared" si="7"/>
        <v>0</v>
      </c>
      <c r="X11" s="17">
        <f t="shared" si="0"/>
        <v>96007.000138006406</v>
      </c>
      <c r="Y11" s="3"/>
      <c r="Z11" s="6">
        <f t="shared" si="8"/>
        <v>172164.61592140864</v>
      </c>
      <c r="AA11" s="2"/>
      <c r="AB11" s="2" t="s">
        <v>42</v>
      </c>
      <c r="AC11" s="6">
        <f>F12</f>
        <v>70353</v>
      </c>
      <c r="AD11" s="2" t="s">
        <v>43</v>
      </c>
      <c r="AE11" s="2"/>
      <c r="AF11" s="6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70353</v>
      </c>
      <c r="G12" s="2" t="s">
        <v>43</v>
      </c>
      <c r="H12" s="14"/>
      <c r="I12" s="15" t="s">
        <v>46</v>
      </c>
      <c r="J12" s="6">
        <v>235</v>
      </c>
      <c r="K12" s="2" t="s">
        <v>47</v>
      </c>
      <c r="L12" s="14"/>
      <c r="M12" s="2"/>
      <c r="N12" s="11">
        <f t="shared" si="9"/>
        <v>4</v>
      </c>
      <c r="O12" s="11"/>
      <c r="P12" s="20">
        <f t="shared" si="1"/>
        <v>68030.627281245324</v>
      </c>
      <c r="Q12" s="21">
        <f t="shared" si="2"/>
        <v>3142.29526823071</v>
      </c>
      <c r="R12" s="21">
        <f t="shared" si="3"/>
        <v>0</v>
      </c>
      <c r="S12" s="21">
        <f t="shared" si="4"/>
        <v>20293.427511535665</v>
      </c>
      <c r="T12" s="21">
        <f t="shared" si="10"/>
        <v>0</v>
      </c>
      <c r="U12" s="21">
        <f t="shared" si="5"/>
        <v>0</v>
      </c>
      <c r="V12" s="21">
        <f t="shared" si="6"/>
        <v>0</v>
      </c>
      <c r="W12" s="20">
        <f t="shared" si="7"/>
        <v>0</v>
      </c>
      <c r="X12" s="17">
        <f t="shared" si="0"/>
        <v>91466.350061011704</v>
      </c>
      <c r="Y12" s="3"/>
      <c r="Z12" s="6">
        <f t="shared" si="8"/>
        <v>151588.80946577314</v>
      </c>
      <c r="AA12" s="2"/>
      <c r="AB12" s="15" t="s">
        <v>48</v>
      </c>
      <c r="AC12" s="23">
        <f>J42</f>
        <v>24651.691199999997</v>
      </c>
      <c r="AD12" s="2" t="s">
        <v>49</v>
      </c>
      <c r="AE12" s="2"/>
      <c r="AF12" s="6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24" t="s">
        <v>50</v>
      </c>
      <c r="B13" s="2">
        <v>11</v>
      </c>
      <c r="C13" s="2" t="s">
        <v>38</v>
      </c>
      <c r="D13" s="2"/>
      <c r="E13" s="15" t="s">
        <v>30</v>
      </c>
      <c r="F13" s="6">
        <v>825</v>
      </c>
      <c r="G13" s="2" t="s">
        <v>51</v>
      </c>
      <c r="H13" s="14"/>
      <c r="I13" s="15" t="s">
        <v>52</v>
      </c>
      <c r="J13" s="2">
        <v>30</v>
      </c>
      <c r="K13" s="2" t="s">
        <v>53</v>
      </c>
      <c r="L13" s="14"/>
      <c r="M13" s="2"/>
      <c r="N13" s="11">
        <f t="shared" si="9"/>
        <v>5</v>
      </c>
      <c r="O13" s="11"/>
      <c r="P13" s="20">
        <f t="shared" si="1"/>
        <v>64791.073601186021</v>
      </c>
      <c r="Q13" s="21">
        <f t="shared" si="2"/>
        <v>3022.5887818219212</v>
      </c>
      <c r="R13" s="21">
        <f t="shared" si="3"/>
        <v>0</v>
      </c>
      <c r="S13" s="21">
        <f t="shared" si="4"/>
        <v>19327.073820510155</v>
      </c>
      <c r="T13" s="21">
        <f t="shared" si="10"/>
        <v>0</v>
      </c>
      <c r="U13" s="21">
        <f t="shared" si="5"/>
        <v>0</v>
      </c>
      <c r="V13" s="21">
        <f t="shared" si="6"/>
        <v>0</v>
      </c>
      <c r="W13" s="20">
        <f t="shared" si="7"/>
        <v>0</v>
      </c>
      <c r="X13" s="17">
        <f t="shared" si="0"/>
        <v>87140.7362035181</v>
      </c>
      <c r="Y13" s="3"/>
      <c r="Z13" s="6">
        <f t="shared" si="8"/>
        <v>133497.33233335809</v>
      </c>
      <c r="AA13" s="2"/>
      <c r="AB13" s="2" t="s">
        <v>170</v>
      </c>
      <c r="AC13" s="6">
        <f>J26</f>
        <v>117.5</v>
      </c>
      <c r="AD13" s="2" t="s">
        <v>161</v>
      </c>
      <c r="AE13" s="2"/>
      <c r="AF13" s="6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24" t="s">
        <v>54</v>
      </c>
      <c r="B14" s="2">
        <v>7.5</v>
      </c>
      <c r="C14" s="2" t="s">
        <v>38</v>
      </c>
      <c r="D14" s="2"/>
      <c r="E14" s="15" t="s">
        <v>55</v>
      </c>
      <c r="F14" s="2">
        <v>1</v>
      </c>
      <c r="G14" s="2" t="s">
        <v>56</v>
      </c>
      <c r="H14" s="14"/>
      <c r="I14" s="15" t="s">
        <v>57</v>
      </c>
      <c r="J14" s="5">
        <v>20</v>
      </c>
      <c r="K14" s="2" t="s">
        <v>38</v>
      </c>
      <c r="L14" s="14"/>
      <c r="M14" s="2"/>
      <c r="N14" s="11">
        <f t="shared" si="9"/>
        <v>6</v>
      </c>
      <c r="O14" s="11"/>
      <c r="P14" s="20">
        <f t="shared" si="1"/>
        <v>0</v>
      </c>
      <c r="Q14" s="21">
        <f t="shared" si="2"/>
        <v>2907.4425425144191</v>
      </c>
      <c r="R14" s="21">
        <f t="shared" si="3"/>
        <v>0</v>
      </c>
      <c r="S14" s="21">
        <f t="shared" si="4"/>
        <v>18406.736971914434</v>
      </c>
      <c r="T14" s="21">
        <f t="shared" si="10"/>
        <v>0</v>
      </c>
      <c r="U14" s="21">
        <f t="shared" si="5"/>
        <v>0</v>
      </c>
      <c r="V14" s="21">
        <f t="shared" si="6"/>
        <v>0</v>
      </c>
      <c r="W14" s="20">
        <f t="shared" si="7"/>
        <v>0</v>
      </c>
      <c r="X14" s="17">
        <f t="shared" si="0"/>
        <v>21314.179514428852</v>
      </c>
      <c r="Y14" s="3"/>
      <c r="Z14" s="6">
        <f t="shared" si="8"/>
        <v>117586.51969832797</v>
      </c>
      <c r="AA14" s="2"/>
      <c r="AB14" s="2" t="s">
        <v>197</v>
      </c>
      <c r="AC14" s="26">
        <f>J17</f>
        <v>0.99</v>
      </c>
      <c r="AD14" s="2" t="s">
        <v>69</v>
      </c>
      <c r="AE14" s="2"/>
      <c r="AF14" s="6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2" t="s">
        <v>58</v>
      </c>
      <c r="B15" s="2">
        <v>22</v>
      </c>
      <c r="C15" s="2" t="s">
        <v>38</v>
      </c>
      <c r="D15" s="2"/>
      <c r="E15" s="15" t="s">
        <v>59</v>
      </c>
      <c r="F15" s="2">
        <v>0</v>
      </c>
      <c r="G15" s="2" t="s">
        <v>29</v>
      </c>
      <c r="H15" s="14"/>
      <c r="I15" s="15" t="s">
        <v>60</v>
      </c>
      <c r="J15" s="2">
        <v>7.08</v>
      </c>
      <c r="K15" s="2" t="s">
        <v>61</v>
      </c>
      <c r="L15" s="14"/>
      <c r="M15" s="2"/>
      <c r="N15" s="11">
        <f t="shared" si="9"/>
        <v>7</v>
      </c>
      <c r="O15" s="11"/>
      <c r="P15" s="20">
        <f t="shared" si="1"/>
        <v>0</v>
      </c>
      <c r="Q15" s="21">
        <f t="shared" si="2"/>
        <v>2796.6828266091079</v>
      </c>
      <c r="R15" s="21">
        <f t="shared" si="3"/>
        <v>0</v>
      </c>
      <c r="S15" s="21">
        <f t="shared" si="4"/>
        <v>17530.225687537553</v>
      </c>
      <c r="T15" s="21">
        <f t="shared" si="10"/>
        <v>0</v>
      </c>
      <c r="U15" s="21">
        <f t="shared" si="5"/>
        <v>0</v>
      </c>
      <c r="V15" s="21">
        <f t="shared" si="6"/>
        <v>0</v>
      </c>
      <c r="W15" s="20">
        <f t="shared" si="7"/>
        <v>0</v>
      </c>
      <c r="X15" s="17">
        <f t="shared" si="0"/>
        <v>20326.90851414666</v>
      </c>
      <c r="Y15" s="3"/>
      <c r="Z15" s="6">
        <f t="shared" si="8"/>
        <v>103590.3624446793</v>
      </c>
      <c r="AA15" s="2"/>
      <c r="AB15" s="2"/>
      <c r="AC15" s="2"/>
      <c r="AD15" s="2"/>
      <c r="AE15" s="2"/>
      <c r="AF15" s="6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24" t="s">
        <v>62</v>
      </c>
      <c r="B16" s="2">
        <v>0</v>
      </c>
      <c r="C16" s="2" t="s">
        <v>38</v>
      </c>
      <c r="D16" s="2"/>
      <c r="E16" s="15" t="s">
        <v>63</v>
      </c>
      <c r="F16" s="2">
        <v>0</v>
      </c>
      <c r="G16" s="2" t="s">
        <v>64</v>
      </c>
      <c r="H16" s="14"/>
      <c r="I16" s="15" t="s">
        <v>65</v>
      </c>
      <c r="J16" s="2">
        <v>11</v>
      </c>
      <c r="K16" s="2" t="s">
        <v>61</v>
      </c>
      <c r="L16" s="14"/>
      <c r="M16" s="2"/>
      <c r="N16" s="11">
        <f t="shared" si="9"/>
        <v>8</v>
      </c>
      <c r="O16" s="11"/>
      <c r="P16" s="20">
        <f t="shared" si="1"/>
        <v>0</v>
      </c>
      <c r="Q16" s="21">
        <f t="shared" si="2"/>
        <v>2690.1425284525703</v>
      </c>
      <c r="R16" s="21">
        <f t="shared" si="3"/>
        <v>0</v>
      </c>
      <c r="S16" s="21">
        <f t="shared" si="4"/>
        <v>16695.453035750052</v>
      </c>
      <c r="T16" s="21">
        <f t="shared" si="10"/>
        <v>0</v>
      </c>
      <c r="U16" s="21">
        <f t="shared" si="5"/>
        <v>0</v>
      </c>
      <c r="V16" s="21">
        <f t="shared" si="6"/>
        <v>0</v>
      </c>
      <c r="W16" s="20">
        <f t="shared" si="7"/>
        <v>0</v>
      </c>
      <c r="X16" s="17">
        <f t="shared" si="0"/>
        <v>19385.595564202624</v>
      </c>
      <c r="Y16" s="3"/>
      <c r="Z16" s="6">
        <f t="shared" si="8"/>
        <v>91275.760521585325</v>
      </c>
      <c r="AA16" s="2"/>
      <c r="AB16" s="2"/>
      <c r="AC16" s="2"/>
      <c r="AD16" s="2"/>
      <c r="AE16" s="2"/>
      <c r="AF16" s="6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24" t="s">
        <v>66</v>
      </c>
      <c r="B17" s="2">
        <v>1.1000000000000001</v>
      </c>
      <c r="C17" s="2"/>
      <c r="D17" s="2"/>
      <c r="E17" s="15" t="s">
        <v>67</v>
      </c>
      <c r="F17" s="6">
        <f>2*87000</f>
        <v>174000</v>
      </c>
      <c r="G17" s="2" t="s">
        <v>64</v>
      </c>
      <c r="H17" s="14"/>
      <c r="I17" s="15" t="s">
        <v>68</v>
      </c>
      <c r="J17" s="26">
        <v>0.99</v>
      </c>
      <c r="K17" s="2" t="s">
        <v>69</v>
      </c>
      <c r="L17" s="14"/>
      <c r="M17" s="2"/>
      <c r="N17" s="11">
        <f t="shared" si="9"/>
        <v>9</v>
      </c>
      <c r="O17" s="11"/>
      <c r="P17" s="20">
        <f t="shared" si="1"/>
        <v>0</v>
      </c>
      <c r="Q17" s="21">
        <f t="shared" si="2"/>
        <v>2587.6609083210442</v>
      </c>
      <c r="R17" s="21">
        <f t="shared" si="3"/>
        <v>0</v>
      </c>
      <c r="S17" s="21">
        <f t="shared" si="4"/>
        <v>15900.431462619097</v>
      </c>
      <c r="T17" s="21">
        <f t="shared" si="10"/>
        <v>0</v>
      </c>
      <c r="U17" s="21">
        <f t="shared" si="5"/>
        <v>0</v>
      </c>
      <c r="V17" s="21">
        <f t="shared" si="6"/>
        <v>0</v>
      </c>
      <c r="W17" s="20">
        <f t="shared" si="7"/>
        <v>0</v>
      </c>
      <c r="X17" s="17">
        <f t="shared" si="0"/>
        <v>18488.09237094014</v>
      </c>
      <c r="Y17" s="3"/>
      <c r="Z17" s="6">
        <f t="shared" si="8"/>
        <v>80438.38554241354</v>
      </c>
      <c r="AA17" s="2"/>
      <c r="AB17" s="2"/>
      <c r="AC17" s="2"/>
      <c r="AD17" s="2"/>
      <c r="AE17" s="2"/>
      <c r="AF17" s="6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24" t="s">
        <v>179</v>
      </c>
      <c r="B18" s="2">
        <f>0%*12.5%</f>
        <v>0</v>
      </c>
      <c r="C18" s="2" t="s">
        <v>38</v>
      </c>
      <c r="D18" s="2"/>
      <c r="E18" s="15" t="s">
        <v>70</v>
      </c>
      <c r="F18" s="2">
        <v>0</v>
      </c>
      <c r="G18" s="2" t="s">
        <v>38</v>
      </c>
      <c r="H18" s="14"/>
      <c r="I18" s="15" t="s">
        <v>72</v>
      </c>
      <c r="J18" s="6">
        <v>750000000</v>
      </c>
      <c r="K18" s="2" t="s">
        <v>29</v>
      </c>
      <c r="L18" s="14"/>
      <c r="M18" s="2"/>
      <c r="N18" s="11">
        <f t="shared" si="9"/>
        <v>10</v>
      </c>
      <c r="O18" s="11"/>
      <c r="P18" s="20">
        <f t="shared" si="1"/>
        <v>0</v>
      </c>
      <c r="Q18" s="21">
        <f t="shared" si="2"/>
        <v>2489.0833499088144</v>
      </c>
      <c r="R18" s="21">
        <f t="shared" si="3"/>
        <v>0</v>
      </c>
      <c r="S18" s="21">
        <f t="shared" si="4"/>
        <v>15143.268059637236</v>
      </c>
      <c r="T18" s="21">
        <f t="shared" si="10"/>
        <v>0</v>
      </c>
      <c r="U18" s="21">
        <f t="shared" si="5"/>
        <v>0</v>
      </c>
      <c r="V18" s="21">
        <f t="shared" si="6"/>
        <v>0</v>
      </c>
      <c r="W18" s="20">
        <f t="shared" si="7"/>
        <v>-70899.07291199264</v>
      </c>
      <c r="X18" s="17">
        <f t="shared" si="0"/>
        <v>-53266.721502446591</v>
      </c>
      <c r="Y18" s="3"/>
      <c r="Z18" s="6">
        <f t="shared" si="8"/>
        <v>70899.07291199264</v>
      </c>
      <c r="AA18" s="2"/>
      <c r="AB18" s="2"/>
      <c r="AC18" s="2"/>
      <c r="AD18" s="2"/>
      <c r="AE18" s="2"/>
      <c r="AF18" s="6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24" t="s">
        <v>180</v>
      </c>
      <c r="B19" s="2">
        <v>0</v>
      </c>
      <c r="C19" s="2" t="s">
        <v>38</v>
      </c>
      <c r="D19" s="2"/>
      <c r="E19" s="15" t="s">
        <v>71</v>
      </c>
      <c r="F19" s="2">
        <v>0.5</v>
      </c>
      <c r="G19" s="2" t="s">
        <v>38</v>
      </c>
      <c r="H19" s="14"/>
      <c r="I19" s="73"/>
      <c r="J19" s="73"/>
      <c r="K19" s="73"/>
      <c r="L19" s="14"/>
      <c r="M19" s="2"/>
      <c r="N19" s="11">
        <f t="shared" si="9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1">
        <f t="shared" si="10"/>
        <v>0</v>
      </c>
      <c r="U19" s="21">
        <f t="shared" si="5"/>
        <v>0</v>
      </c>
      <c r="V19" s="21">
        <f t="shared" si="6"/>
        <v>0</v>
      </c>
      <c r="W19" s="20">
        <f t="shared" ref="W19:W48" si="11">IF(N19=$B$5,((((1-$J$15/100)^N19)*$B$50+((1-$J$16/100)^N19)*$B$46)/((1+($F$11/100))^N19))*-1,0)</f>
        <v>0</v>
      </c>
      <c r="X19" s="17">
        <f t="shared" si="0"/>
        <v>0</v>
      </c>
      <c r="Y19" s="3"/>
      <c r="Z19" s="6">
        <f t="shared" si="8"/>
        <v>0</v>
      </c>
      <c r="AA19" s="2"/>
      <c r="AB19" s="2"/>
      <c r="AC19" s="2"/>
      <c r="AD19" s="2"/>
      <c r="AE19" s="2"/>
      <c r="AF19" s="6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24" t="s">
        <v>73</v>
      </c>
      <c r="B20" s="2">
        <v>0</v>
      </c>
      <c r="C20" s="2" t="s">
        <v>38</v>
      </c>
      <c r="D20" s="2"/>
      <c r="E20" s="15" t="s">
        <v>74</v>
      </c>
      <c r="F20" s="6">
        <v>0</v>
      </c>
      <c r="G20" s="2" t="s">
        <v>64</v>
      </c>
      <c r="H20" s="14"/>
      <c r="I20" s="1" t="s">
        <v>79</v>
      </c>
      <c r="J20" s="2"/>
      <c r="K20" s="2"/>
      <c r="L20" s="14"/>
      <c r="M20" s="2"/>
      <c r="N20" s="11">
        <f t="shared" si="9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1">
        <f t="shared" si="10"/>
        <v>0</v>
      </c>
      <c r="U20" s="21">
        <f t="shared" si="5"/>
        <v>0</v>
      </c>
      <c r="V20" s="21">
        <f t="shared" si="6"/>
        <v>0</v>
      </c>
      <c r="W20" s="20">
        <f t="shared" si="11"/>
        <v>0</v>
      </c>
      <c r="X20" s="17">
        <f t="shared" si="0"/>
        <v>0</v>
      </c>
      <c r="Y20" s="3"/>
      <c r="Z20" s="6">
        <f t="shared" si="8"/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</row>
    <row r="21" spans="1:5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76</v>
      </c>
      <c r="F21" s="6">
        <v>0</v>
      </c>
      <c r="G21" s="2" t="s">
        <v>77</v>
      </c>
      <c r="H21" s="14"/>
      <c r="I21" s="15" t="s">
        <v>85</v>
      </c>
      <c r="J21" s="2">
        <v>5</v>
      </c>
      <c r="K21" s="2" t="s">
        <v>53</v>
      </c>
      <c r="L21" s="14"/>
      <c r="M21" s="2"/>
      <c r="N21" s="11">
        <f t="shared" si="9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1">
        <f t="shared" si="10"/>
        <v>0</v>
      </c>
      <c r="U21" s="21">
        <f t="shared" si="5"/>
        <v>0</v>
      </c>
      <c r="V21" s="21">
        <f t="shared" si="6"/>
        <v>0</v>
      </c>
      <c r="W21" s="20">
        <f t="shared" si="11"/>
        <v>0</v>
      </c>
      <c r="X21" s="17">
        <f t="shared" si="0"/>
        <v>0</v>
      </c>
      <c r="Y21" s="3"/>
      <c r="Z21" s="6">
        <f t="shared" si="8"/>
        <v>0</v>
      </c>
      <c r="AA21" s="2"/>
      <c r="AB21" s="27" t="s">
        <v>30</v>
      </c>
      <c r="AC21" s="28"/>
      <c r="AD21" s="28"/>
      <c r="AE21" s="28"/>
      <c r="AF21" s="2"/>
      <c r="AG21" s="27" t="s">
        <v>28</v>
      </c>
      <c r="AH21" s="28"/>
      <c r="AI21" s="28"/>
      <c r="AJ21" s="28"/>
      <c r="AK21" s="2"/>
      <c r="AL21" s="76" t="s">
        <v>191</v>
      </c>
      <c r="AM21" s="76" t="s">
        <v>183</v>
      </c>
      <c r="AN21" s="76" t="s">
        <v>184</v>
      </c>
      <c r="AO21" s="76" t="s">
        <v>33</v>
      </c>
      <c r="AP21" s="76" t="s">
        <v>188</v>
      </c>
      <c r="AQ21" s="76" t="s">
        <v>189</v>
      </c>
      <c r="AR21" s="93" t="str">
        <f>AB66</f>
        <v>Energy Efficiency</v>
      </c>
      <c r="AS21" s="2"/>
      <c r="AT21" s="2"/>
      <c r="AU21" s="2"/>
      <c r="AV21" s="2"/>
      <c r="AW21" s="2"/>
      <c r="AX21" s="2"/>
      <c r="AY21" s="2"/>
    </row>
    <row r="22" spans="1:51" ht="15.75" customHeight="1" x14ac:dyDescent="0.25">
      <c r="A22" s="24" t="s">
        <v>78</v>
      </c>
      <c r="B22" s="2">
        <v>0</v>
      </c>
      <c r="C22" s="2" t="s">
        <v>38</v>
      </c>
      <c r="D22" s="2"/>
      <c r="E22" s="15" t="s">
        <v>48</v>
      </c>
      <c r="F22" s="5">
        <v>5431.2</v>
      </c>
      <c r="G22" s="2" t="s">
        <v>152</v>
      </c>
      <c r="H22" s="14"/>
      <c r="I22" s="15" t="s">
        <v>89</v>
      </c>
      <c r="J22" s="2">
        <v>30</v>
      </c>
      <c r="K22" s="2" t="s">
        <v>90</v>
      </c>
      <c r="L22" s="14"/>
      <c r="M22" s="2"/>
      <c r="N22" s="11">
        <f t="shared" si="9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1">
        <f t="shared" si="10"/>
        <v>0</v>
      </c>
      <c r="U22" s="21">
        <f t="shared" si="5"/>
        <v>0</v>
      </c>
      <c r="V22" s="21">
        <f t="shared" si="6"/>
        <v>0</v>
      </c>
      <c r="W22" s="20">
        <f t="shared" si="11"/>
        <v>0</v>
      </c>
      <c r="X22" s="17">
        <f t="shared" si="0"/>
        <v>0</v>
      </c>
      <c r="Y22" s="3"/>
      <c r="Z22" s="6">
        <f t="shared" si="8"/>
        <v>0</v>
      </c>
      <c r="AA22" s="2"/>
      <c r="AB22" s="28" t="s">
        <v>80</v>
      </c>
      <c r="AC22" s="28" t="s">
        <v>81</v>
      </c>
      <c r="AD22" s="28" t="s">
        <v>23</v>
      </c>
      <c r="AE22" s="28" t="s">
        <v>82</v>
      </c>
      <c r="AF22" s="2"/>
      <c r="AG22" s="28" t="s">
        <v>80</v>
      </c>
      <c r="AH22" s="28" t="s">
        <v>83</v>
      </c>
      <c r="AI22" s="28" t="s">
        <v>23</v>
      </c>
      <c r="AJ22" s="28" t="s">
        <v>82</v>
      </c>
      <c r="AK22" s="2"/>
      <c r="AL22" s="77">
        <v>-50</v>
      </c>
      <c r="AM22" s="78">
        <f>AJ24</f>
        <v>-33.5379719852859</v>
      </c>
      <c r="AN22" s="78">
        <f>AE24</f>
        <v>-2.3735690285054289</v>
      </c>
      <c r="AO22" s="79">
        <f t="shared" ref="AO22:AO32" si="12">AE39</f>
        <v>-3.9754144887849709</v>
      </c>
      <c r="AP22" s="79">
        <f t="shared" ref="AP22:AP32" si="13">AJ39</f>
        <v>-17.520313924637801</v>
      </c>
      <c r="AQ22" s="79">
        <f>AE54</f>
        <v>-15.14674489613242</v>
      </c>
      <c r="AR22" s="53">
        <f>AE69</f>
        <v>2.3735690285053921</v>
      </c>
      <c r="AS22" s="2"/>
      <c r="AT22" s="2"/>
      <c r="AU22" s="2"/>
      <c r="AV22" s="2"/>
      <c r="AW22" s="2"/>
      <c r="AX22" s="2"/>
      <c r="AY22" s="2"/>
    </row>
    <row r="23" spans="1:51" ht="15.75" customHeight="1" x14ac:dyDescent="0.25">
      <c r="A23" s="2"/>
      <c r="B23" s="2"/>
      <c r="C23" s="2"/>
      <c r="D23" s="2"/>
      <c r="E23" s="15" t="s">
        <v>84</v>
      </c>
      <c r="F23" s="2">
        <v>9.3000000000000007</v>
      </c>
      <c r="G23" s="2" t="s">
        <v>61</v>
      </c>
      <c r="H23" s="14"/>
      <c r="I23" s="66" t="s">
        <v>153</v>
      </c>
      <c r="J23" s="64"/>
      <c r="K23" s="64"/>
      <c r="L23" s="65"/>
      <c r="M23" s="2"/>
      <c r="N23" s="11">
        <f t="shared" si="9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1">
        <f t="shared" si="10"/>
        <v>0</v>
      </c>
      <c r="U23" s="21">
        <f t="shared" si="5"/>
        <v>0</v>
      </c>
      <c r="V23" s="21">
        <f t="shared" si="6"/>
        <v>0</v>
      </c>
      <c r="W23" s="20">
        <f t="shared" si="11"/>
        <v>0</v>
      </c>
      <c r="X23" s="17">
        <f t="shared" si="0"/>
        <v>0</v>
      </c>
      <c r="Y23" s="3"/>
      <c r="Z23" s="6">
        <f t="shared" si="8"/>
        <v>0</v>
      </c>
      <c r="AA23" s="2"/>
      <c r="AB23" s="28" t="s">
        <v>86</v>
      </c>
      <c r="AC23" s="30">
        <v>5.32258064516129E-2</v>
      </c>
      <c r="AD23" s="31">
        <f>X49</f>
        <v>628365.45511215122</v>
      </c>
      <c r="AE23" s="28"/>
      <c r="AF23" s="2"/>
      <c r="AG23" s="28" t="s">
        <v>87</v>
      </c>
      <c r="AH23" s="32">
        <v>354790.14677419356</v>
      </c>
      <c r="AI23" s="31">
        <f>X49</f>
        <v>628365.45511215122</v>
      </c>
      <c r="AJ23" s="28"/>
      <c r="AK23" s="2"/>
      <c r="AL23" s="77">
        <v>-40</v>
      </c>
      <c r="AM23" s="78">
        <f>AJ25</f>
        <v>-26.830377588228714</v>
      </c>
      <c r="AN23" s="78">
        <f t="shared" ref="AN23:AN32" si="14">AE25</f>
        <v>-1.8988552228043247</v>
      </c>
      <c r="AO23" s="79">
        <f t="shared" si="12"/>
        <v>-3.1803315910279841</v>
      </c>
      <c r="AP23" s="79">
        <f t="shared" si="13"/>
        <v>-14.016251139710231</v>
      </c>
      <c r="AQ23" s="79">
        <f t="shared" ref="AQ23:AQ32" si="15">AE55</f>
        <v>-12.117395916905942</v>
      </c>
      <c r="AR23" s="53">
        <f t="shared" ref="AR23:AR32" si="16">AE70</f>
        <v>1.8988552228042879</v>
      </c>
      <c r="AS23" s="35"/>
      <c r="AT23" s="35"/>
      <c r="AU23" s="35"/>
      <c r="AV23" s="35"/>
      <c r="AW23" s="35"/>
      <c r="AX23" s="35"/>
      <c r="AY23" s="35"/>
    </row>
    <row r="24" spans="1:51" ht="15.75" customHeight="1" x14ac:dyDescent="0.25">
      <c r="A24" s="13"/>
      <c r="B24" s="2"/>
      <c r="C24" s="2"/>
      <c r="D24" s="2"/>
      <c r="E24" s="2" t="s">
        <v>88</v>
      </c>
      <c r="F24" s="5">
        <f>(100000+200000)/5</f>
        <v>60000</v>
      </c>
      <c r="G24" s="2" t="s">
        <v>64</v>
      </c>
      <c r="H24" s="14"/>
      <c r="I24" s="64" t="s">
        <v>154</v>
      </c>
      <c r="J24" s="69" t="s">
        <v>159</v>
      </c>
      <c r="K24" s="64"/>
      <c r="L24" s="65"/>
      <c r="M24" s="2"/>
      <c r="N24" s="11">
        <f t="shared" si="9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1">
        <f t="shared" si="10"/>
        <v>0</v>
      </c>
      <c r="U24" s="21">
        <f t="shared" si="5"/>
        <v>0</v>
      </c>
      <c r="V24" s="21">
        <f t="shared" si="6"/>
        <v>0</v>
      </c>
      <c r="W24" s="20">
        <f t="shared" si="11"/>
        <v>0</v>
      </c>
      <c r="X24" s="17">
        <f t="shared" si="0"/>
        <v>0</v>
      </c>
      <c r="Y24" s="3"/>
      <c r="Z24" s="6">
        <f t="shared" si="8"/>
        <v>0</v>
      </c>
      <c r="AA24" s="2"/>
      <c r="AB24" s="28">
        <f t="shared" ref="AB24:AB28" si="17">AB25-10</f>
        <v>-50</v>
      </c>
      <c r="AC24" s="30">
        <f t="shared" ref="AC24:AC34" si="18">$AC$23*(1+(AB24/100))</f>
        <v>2.661290322580645E-2</v>
      </c>
      <c r="AD24" s="31">
        <f t="dataTable" ref="AD24:AD34" dt2D="0" dtr="0" r1="F36" ca="1"/>
        <v>613450.76728378201</v>
      </c>
      <c r="AE24" s="36">
        <f t="shared" ref="AE24:AE34" si="19">100*((AD24-$AD$29)/$AD$29)</f>
        <v>-2.3735690285054289</v>
      </c>
      <c r="AF24" s="2"/>
      <c r="AG24" s="28">
        <f t="shared" ref="AG24:AG28" si="20">AG25-10</f>
        <v>-50</v>
      </c>
      <c r="AH24" s="32">
        <f t="shared" ref="AH24:AH34" si="21">$AH$23*(1+(AG24/100))</f>
        <v>177395.07338709678</v>
      </c>
      <c r="AI24" s="31">
        <f t="dataTable" ref="AI24:AI34" dt2D="0" dtr="0" r1="B50" ca="1"/>
        <v>417624.4248114237</v>
      </c>
      <c r="AJ24" s="36">
        <f t="shared" ref="AJ24:AJ34" si="22">100*((AI24-$AI$29)/$AI$29)</f>
        <v>-33.5379719852859</v>
      </c>
      <c r="AK24" s="2"/>
      <c r="AL24" s="77">
        <v>-30</v>
      </c>
      <c r="AM24" s="78">
        <f t="shared" ref="AM24:AM32" si="23">AJ26</f>
        <v>-20.122783191171564</v>
      </c>
      <c r="AN24" s="78">
        <f t="shared" si="14"/>
        <v>-1.4241414171032574</v>
      </c>
      <c r="AO24" s="79">
        <f t="shared" si="12"/>
        <v>-2.3852486932709969</v>
      </c>
      <c r="AP24" s="79">
        <f t="shared" si="13"/>
        <v>-10.512188354782687</v>
      </c>
      <c r="AQ24" s="79">
        <f t="shared" si="15"/>
        <v>-9.088046937679465</v>
      </c>
      <c r="AR24" s="53">
        <f t="shared" si="16"/>
        <v>1.4241414171032019</v>
      </c>
      <c r="AS24" s="35"/>
      <c r="AT24" s="35"/>
      <c r="AU24" s="35"/>
      <c r="AV24" s="35"/>
      <c r="AW24" s="35"/>
      <c r="AX24" s="35"/>
      <c r="AY24" s="35"/>
    </row>
    <row r="25" spans="1:51" ht="15.75" customHeight="1" x14ac:dyDescent="0.25">
      <c r="A25" s="13"/>
      <c r="B25" s="2"/>
      <c r="C25" s="2"/>
      <c r="D25" s="2"/>
      <c r="E25" s="2"/>
      <c r="F25" s="2"/>
      <c r="G25" s="2"/>
      <c r="H25" s="14"/>
      <c r="I25" s="67" t="s">
        <v>155</v>
      </c>
      <c r="J25" s="67">
        <v>1.3</v>
      </c>
      <c r="K25" s="67" t="s">
        <v>156</v>
      </c>
      <c r="L25" s="65"/>
      <c r="M25" s="2"/>
      <c r="N25" s="11">
        <f t="shared" si="9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1">
        <f t="shared" si="10"/>
        <v>0</v>
      </c>
      <c r="U25" s="21">
        <f t="shared" si="5"/>
        <v>0</v>
      </c>
      <c r="V25" s="21">
        <f t="shared" si="6"/>
        <v>0</v>
      </c>
      <c r="W25" s="20">
        <f t="shared" si="11"/>
        <v>0</v>
      </c>
      <c r="X25" s="17">
        <f t="shared" si="0"/>
        <v>0</v>
      </c>
      <c r="Y25" s="3"/>
      <c r="Z25" s="6">
        <f t="shared" si="8"/>
        <v>0</v>
      </c>
      <c r="AA25" s="2"/>
      <c r="AB25" s="28">
        <f t="shared" si="17"/>
        <v>-40</v>
      </c>
      <c r="AC25" s="30">
        <f t="shared" si="18"/>
        <v>3.1935483870967736E-2</v>
      </c>
      <c r="AD25" s="31">
        <v>616433.70484945597</v>
      </c>
      <c r="AE25" s="36">
        <f t="shared" si="19"/>
        <v>-1.8988552228043247</v>
      </c>
      <c r="AF25" s="2"/>
      <c r="AG25" s="28">
        <f t="shared" si="20"/>
        <v>-40</v>
      </c>
      <c r="AH25" s="32">
        <f t="shared" si="21"/>
        <v>212874.08806451614</v>
      </c>
      <c r="AI25" s="31">
        <v>459772.63087156921</v>
      </c>
      <c r="AJ25" s="36">
        <f t="shared" si="22"/>
        <v>-26.830377588228714</v>
      </c>
      <c r="AK25" s="2"/>
      <c r="AL25" s="77">
        <v>-20</v>
      </c>
      <c r="AM25" s="78">
        <f t="shared" si="23"/>
        <v>-13.415188794114345</v>
      </c>
      <c r="AN25" s="78">
        <f t="shared" si="14"/>
        <v>-0.94942761140219023</v>
      </c>
      <c r="AO25" s="79">
        <f t="shared" si="12"/>
        <v>-1.5901657955139921</v>
      </c>
      <c r="AP25" s="79">
        <f t="shared" si="13"/>
        <v>-7.0081255698551237</v>
      </c>
      <c r="AQ25" s="79">
        <f t="shared" si="15"/>
        <v>-6.058697958452953</v>
      </c>
      <c r="AR25" s="53">
        <f t="shared" si="16"/>
        <v>0.94942761140215315</v>
      </c>
      <c r="AS25" s="35"/>
      <c r="AT25" s="35"/>
      <c r="AU25" s="35"/>
      <c r="AV25" s="35"/>
      <c r="AW25" s="35"/>
      <c r="AX25" s="35"/>
      <c r="AY25" s="35"/>
    </row>
    <row r="26" spans="1:5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 t="s">
        <v>166</v>
      </c>
      <c r="J26" s="71">
        <f>J12/2</f>
        <v>117.5</v>
      </c>
      <c r="K26" s="39" t="s">
        <v>161</v>
      </c>
      <c r="L26" s="40"/>
      <c r="M26" s="2"/>
      <c r="N26" s="11">
        <f t="shared" si="9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1">
        <f t="shared" si="10"/>
        <v>0</v>
      </c>
      <c r="U26" s="21">
        <f t="shared" si="5"/>
        <v>0</v>
      </c>
      <c r="V26" s="21">
        <f t="shared" si="6"/>
        <v>0</v>
      </c>
      <c r="W26" s="20">
        <f t="shared" si="11"/>
        <v>0</v>
      </c>
      <c r="X26" s="17">
        <f t="shared" si="0"/>
        <v>0</v>
      </c>
      <c r="Y26" s="3"/>
      <c r="Z26" s="6">
        <f t="shared" si="8"/>
        <v>0</v>
      </c>
      <c r="AA26" s="2"/>
      <c r="AB26" s="28">
        <f t="shared" si="17"/>
        <v>-30</v>
      </c>
      <c r="AC26" s="30">
        <f t="shared" si="18"/>
        <v>3.7258064516129029E-2</v>
      </c>
      <c r="AD26" s="31">
        <v>619416.6424151297</v>
      </c>
      <c r="AE26" s="36">
        <f t="shared" si="19"/>
        <v>-1.4241414171032574</v>
      </c>
      <c r="AF26" s="2"/>
      <c r="AG26" s="28">
        <f t="shared" si="20"/>
        <v>-30</v>
      </c>
      <c r="AH26" s="32">
        <f t="shared" si="21"/>
        <v>248353.10274193547</v>
      </c>
      <c r="AI26" s="31">
        <v>501920.83693171456</v>
      </c>
      <c r="AJ26" s="36">
        <f t="shared" si="22"/>
        <v>-20.122783191171564</v>
      </c>
      <c r="AK26" s="2"/>
      <c r="AL26" s="77">
        <v>-10</v>
      </c>
      <c r="AM26" s="78">
        <f t="shared" si="23"/>
        <v>-6.7075943970571821</v>
      </c>
      <c r="AN26" s="78">
        <f t="shared" si="14"/>
        <v>-0.47471380570110433</v>
      </c>
      <c r="AO26" s="79">
        <f t="shared" si="12"/>
        <v>-0.79508289775700525</v>
      </c>
      <c r="AP26" s="79">
        <f t="shared" si="13"/>
        <v>-3.5040627849275432</v>
      </c>
      <c r="AQ26" s="79">
        <f t="shared" si="15"/>
        <v>-3.0293489792264947</v>
      </c>
      <c r="AR26" s="53">
        <f t="shared" si="16"/>
        <v>0.47471380570104882</v>
      </c>
      <c r="AS26" s="35"/>
      <c r="AT26" s="35"/>
      <c r="AU26" s="35"/>
      <c r="AV26" s="35"/>
      <c r="AW26" s="35"/>
      <c r="AX26" s="35"/>
      <c r="AY26" s="35"/>
    </row>
    <row r="27" spans="1:5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9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1">
        <f t="shared" si="10"/>
        <v>0</v>
      </c>
      <c r="U27" s="21">
        <f t="shared" si="5"/>
        <v>0</v>
      </c>
      <c r="V27" s="21">
        <f t="shared" si="6"/>
        <v>0</v>
      </c>
      <c r="W27" s="20">
        <f t="shared" si="11"/>
        <v>0</v>
      </c>
      <c r="X27" s="17">
        <f t="shared" si="0"/>
        <v>0</v>
      </c>
      <c r="Y27" s="3"/>
      <c r="Z27" s="6">
        <f t="shared" si="8"/>
        <v>0</v>
      </c>
      <c r="AA27" s="2"/>
      <c r="AB27" s="28">
        <f t="shared" si="17"/>
        <v>-20</v>
      </c>
      <c r="AC27" s="30">
        <f t="shared" si="18"/>
        <v>4.2580645161290322E-2</v>
      </c>
      <c r="AD27" s="31">
        <v>622399.57998080342</v>
      </c>
      <c r="AE27" s="36">
        <f t="shared" si="19"/>
        <v>-0.94942761140219023</v>
      </c>
      <c r="AF27" s="2"/>
      <c r="AG27" s="28">
        <f t="shared" si="20"/>
        <v>-20</v>
      </c>
      <c r="AH27" s="32">
        <f t="shared" si="21"/>
        <v>283832.11741935485</v>
      </c>
      <c r="AI27" s="31">
        <v>544069.0429918603</v>
      </c>
      <c r="AJ27" s="36">
        <f t="shared" si="22"/>
        <v>-13.415188794114345</v>
      </c>
      <c r="AK27" s="2"/>
      <c r="AL27" s="77">
        <v>0</v>
      </c>
      <c r="AM27" s="78">
        <f t="shared" si="23"/>
        <v>0</v>
      </c>
      <c r="AN27" s="78">
        <f t="shared" si="14"/>
        <v>0</v>
      </c>
      <c r="AO27" s="79">
        <f t="shared" si="12"/>
        <v>0</v>
      </c>
      <c r="AP27" s="79">
        <f t="shared" si="13"/>
        <v>0</v>
      </c>
      <c r="AQ27" s="79">
        <f t="shared" si="15"/>
        <v>0</v>
      </c>
      <c r="AR27" s="53">
        <f t="shared" si="16"/>
        <v>0</v>
      </c>
      <c r="AS27" s="35"/>
      <c r="AT27" s="35"/>
      <c r="AU27" s="35"/>
      <c r="AV27" s="35"/>
      <c r="AW27" s="35"/>
      <c r="AX27" s="35"/>
      <c r="AY27" s="35"/>
    </row>
    <row r="28" spans="1:5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9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1">
        <f t="shared" si="10"/>
        <v>0</v>
      </c>
      <c r="U28" s="21">
        <f t="shared" si="5"/>
        <v>0</v>
      </c>
      <c r="V28" s="21">
        <f t="shared" si="6"/>
        <v>0</v>
      </c>
      <c r="W28" s="20">
        <f t="shared" si="11"/>
        <v>0</v>
      </c>
      <c r="X28" s="17">
        <f t="shared" si="0"/>
        <v>0</v>
      </c>
      <c r="Y28" s="3"/>
      <c r="Z28" s="6">
        <f t="shared" si="8"/>
        <v>0</v>
      </c>
      <c r="AA28" s="2"/>
      <c r="AB28" s="28">
        <f t="shared" si="17"/>
        <v>-10</v>
      </c>
      <c r="AC28" s="30">
        <f t="shared" si="18"/>
        <v>4.7903225806451614E-2</v>
      </c>
      <c r="AD28" s="31">
        <v>625382.51754647726</v>
      </c>
      <c r="AE28" s="36">
        <f t="shared" si="19"/>
        <v>-0.47471380570110433</v>
      </c>
      <c r="AF28" s="2"/>
      <c r="AG28" s="28">
        <f t="shared" si="20"/>
        <v>-10</v>
      </c>
      <c r="AH28" s="32">
        <f t="shared" si="21"/>
        <v>319311.13209677424</v>
      </c>
      <c r="AI28" s="31">
        <v>586217.2490520057</v>
      </c>
      <c r="AJ28" s="36">
        <f t="shared" si="22"/>
        <v>-6.7075943970571821</v>
      </c>
      <c r="AK28" s="2"/>
      <c r="AL28" s="77">
        <v>10</v>
      </c>
      <c r="AM28" s="78">
        <f t="shared" si="23"/>
        <v>6.7075943970571634</v>
      </c>
      <c r="AN28" s="78">
        <f t="shared" si="14"/>
        <v>0.47471380570104882</v>
      </c>
      <c r="AO28" s="79">
        <f t="shared" si="12"/>
        <v>0.79508289775698671</v>
      </c>
      <c r="AP28" s="79">
        <f t="shared" si="13"/>
        <v>3.5040627849275432</v>
      </c>
      <c r="AQ28" s="79">
        <f t="shared" si="15"/>
        <v>3.0293489792264947</v>
      </c>
      <c r="AR28" s="53">
        <f t="shared" si="16"/>
        <v>-0.47471380570110433</v>
      </c>
      <c r="AS28" s="35"/>
      <c r="AT28" s="35"/>
      <c r="AU28" s="35"/>
      <c r="AV28" s="35"/>
      <c r="AW28" s="35"/>
      <c r="AX28" s="35"/>
      <c r="AY28" s="35"/>
    </row>
    <row r="29" spans="1:5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9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1">
        <f t="shared" si="10"/>
        <v>0</v>
      </c>
      <c r="U29" s="21">
        <f t="shared" si="5"/>
        <v>0</v>
      </c>
      <c r="V29" s="21">
        <f t="shared" si="6"/>
        <v>0</v>
      </c>
      <c r="W29" s="20">
        <f t="shared" si="11"/>
        <v>0</v>
      </c>
      <c r="X29" s="17">
        <f t="shared" si="0"/>
        <v>0</v>
      </c>
      <c r="Y29" s="3"/>
      <c r="Z29" s="6">
        <f t="shared" si="8"/>
        <v>0</v>
      </c>
      <c r="AA29" s="2"/>
      <c r="AB29" s="59">
        <v>0</v>
      </c>
      <c r="AC29" s="60">
        <f t="shared" si="18"/>
        <v>5.32258064516129E-2</v>
      </c>
      <c r="AD29" s="61">
        <v>628365.45511215122</v>
      </c>
      <c r="AE29" s="62">
        <f t="shared" si="19"/>
        <v>0</v>
      </c>
      <c r="AF29" s="2"/>
      <c r="AG29" s="59">
        <v>0</v>
      </c>
      <c r="AH29" s="63">
        <f t="shared" si="21"/>
        <v>354790.14677419356</v>
      </c>
      <c r="AI29" s="61">
        <v>628365.45511215122</v>
      </c>
      <c r="AJ29" s="62">
        <f t="shared" si="22"/>
        <v>0</v>
      </c>
      <c r="AK29" s="2"/>
      <c r="AL29" s="77">
        <v>20</v>
      </c>
      <c r="AM29" s="78">
        <f t="shared" si="23"/>
        <v>13.415188794114327</v>
      </c>
      <c r="AN29" s="78">
        <f t="shared" si="14"/>
        <v>0.94942761140215315</v>
      </c>
      <c r="AO29" s="79">
        <f t="shared" si="12"/>
        <v>1.5901657955139734</v>
      </c>
      <c r="AP29" s="79">
        <f t="shared" si="13"/>
        <v>7.0081255698550864</v>
      </c>
      <c r="AQ29" s="79">
        <f t="shared" si="15"/>
        <v>6.0586979584529344</v>
      </c>
      <c r="AR29" s="53">
        <f t="shared" si="16"/>
        <v>-0.94942761140219023</v>
      </c>
      <c r="AS29" s="35"/>
      <c r="AT29" s="35"/>
      <c r="AU29" s="35"/>
      <c r="AV29" s="35"/>
      <c r="AW29" s="35"/>
      <c r="AX29" s="35"/>
      <c r="AY29" s="35"/>
    </row>
    <row r="30" spans="1:5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 t="s">
        <v>94</v>
      </c>
      <c r="J30" s="43"/>
      <c r="K30" s="8"/>
      <c r="L30" s="9"/>
      <c r="M30" s="2"/>
      <c r="N30" s="11">
        <f t="shared" si="9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1">
        <f t="shared" si="10"/>
        <v>0</v>
      </c>
      <c r="U30" s="21">
        <f t="shared" si="5"/>
        <v>0</v>
      </c>
      <c r="V30" s="21">
        <f t="shared" si="6"/>
        <v>0</v>
      </c>
      <c r="W30" s="20">
        <f t="shared" si="11"/>
        <v>0</v>
      </c>
      <c r="X30" s="17">
        <f t="shared" si="0"/>
        <v>0</v>
      </c>
      <c r="Y30" s="3"/>
      <c r="Z30" s="6">
        <f t="shared" si="8"/>
        <v>0</v>
      </c>
      <c r="AA30" s="2"/>
      <c r="AB30" s="28">
        <f t="shared" ref="AB30:AB34" si="24">AB29+10</f>
        <v>10</v>
      </c>
      <c r="AC30" s="30">
        <f t="shared" si="18"/>
        <v>5.8548387096774193E-2</v>
      </c>
      <c r="AD30" s="31">
        <v>631348.39267782483</v>
      </c>
      <c r="AE30" s="36">
        <f t="shared" si="19"/>
        <v>0.47471380570104882</v>
      </c>
      <c r="AF30" s="2"/>
      <c r="AG30" s="28">
        <f t="shared" ref="AG30:AG34" si="25">AG29+10</f>
        <v>10</v>
      </c>
      <c r="AH30" s="32">
        <f t="shared" si="21"/>
        <v>390269.16145161295</v>
      </c>
      <c r="AI30" s="31">
        <v>670513.66117229662</v>
      </c>
      <c r="AJ30" s="36">
        <f t="shared" si="22"/>
        <v>6.7075943970571634</v>
      </c>
      <c r="AK30" s="2"/>
      <c r="AL30" s="77">
        <v>30</v>
      </c>
      <c r="AM30" s="78">
        <f t="shared" si="23"/>
        <v>20.122783191171528</v>
      </c>
      <c r="AN30" s="78">
        <f t="shared" si="14"/>
        <v>1.4241414171032019</v>
      </c>
      <c r="AO30" s="79">
        <f t="shared" si="12"/>
        <v>2.3852486932709787</v>
      </c>
      <c r="AP30" s="79">
        <f t="shared" si="13"/>
        <v>13.815426451871929</v>
      </c>
      <c r="AQ30" s="79">
        <f t="shared" si="15"/>
        <v>9.08804693767941</v>
      </c>
      <c r="AR30" s="53">
        <f t="shared" si="16"/>
        <v>-1.4241414171032574</v>
      </c>
      <c r="AS30" s="35"/>
      <c r="AT30" s="35"/>
      <c r="AU30" s="35"/>
      <c r="AV30" s="35"/>
      <c r="AW30" s="35"/>
      <c r="AX30" s="35"/>
      <c r="AY30" s="35"/>
    </row>
    <row r="31" spans="1:51" ht="15.75" customHeight="1" x14ac:dyDescent="0.25">
      <c r="A31" s="24" t="s">
        <v>171</v>
      </c>
      <c r="B31" s="6">
        <f t="shared" ref="B31:B32" si="26">IF(B11=0,0,-(B11/100)*$B$48)</f>
        <v>0</v>
      </c>
      <c r="C31" s="2" t="s">
        <v>3</v>
      </c>
      <c r="D31" s="2"/>
      <c r="E31" s="15" t="s">
        <v>95</v>
      </c>
      <c r="F31" s="23">
        <f>(J22/100)*B52</f>
        <v>120953.17306451612</v>
      </c>
      <c r="G31" s="2" t="s">
        <v>3</v>
      </c>
      <c r="H31" s="2"/>
      <c r="I31" s="15" t="s">
        <v>96</v>
      </c>
      <c r="J31" s="35">
        <f>ROUNDDOWN(J11/(F12/J12),0)</f>
        <v>13</v>
      </c>
      <c r="K31" s="2" t="s">
        <v>53</v>
      </c>
      <c r="L31" s="14"/>
      <c r="M31" s="2"/>
      <c r="N31" s="11">
        <f t="shared" si="9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1">
        <f t="shared" si="10"/>
        <v>0</v>
      </c>
      <c r="U31" s="21">
        <f t="shared" si="5"/>
        <v>0</v>
      </c>
      <c r="V31" s="21">
        <f t="shared" si="6"/>
        <v>0</v>
      </c>
      <c r="W31" s="20">
        <f t="shared" si="11"/>
        <v>0</v>
      </c>
      <c r="X31" s="17">
        <f t="shared" si="0"/>
        <v>0</v>
      </c>
      <c r="Y31" s="3"/>
      <c r="Z31" s="6">
        <f t="shared" si="8"/>
        <v>0</v>
      </c>
      <c r="AA31" s="2"/>
      <c r="AB31" s="28">
        <f t="shared" si="24"/>
        <v>20</v>
      </c>
      <c r="AC31" s="30">
        <f t="shared" si="18"/>
        <v>6.3870967741935472E-2</v>
      </c>
      <c r="AD31" s="31">
        <v>634331.33024349879</v>
      </c>
      <c r="AE31" s="36">
        <f t="shared" si="19"/>
        <v>0.94942761140215315</v>
      </c>
      <c r="AF31" s="2"/>
      <c r="AG31" s="28">
        <f t="shared" si="25"/>
        <v>20</v>
      </c>
      <c r="AH31" s="32">
        <f t="shared" si="21"/>
        <v>425748.17612903228</v>
      </c>
      <c r="AI31" s="31">
        <v>712661.86723244202</v>
      </c>
      <c r="AJ31" s="36">
        <f t="shared" si="22"/>
        <v>13.415188794114327</v>
      </c>
      <c r="AK31" s="2"/>
      <c r="AL31" s="77">
        <v>40</v>
      </c>
      <c r="AM31" s="78">
        <f t="shared" si="23"/>
        <v>26.830377588228689</v>
      </c>
      <c r="AN31" s="78">
        <f t="shared" si="14"/>
        <v>1.8988552228042879</v>
      </c>
      <c r="AO31" s="79">
        <f t="shared" si="12"/>
        <v>3.1803315910279655</v>
      </c>
      <c r="AP31" s="79">
        <f t="shared" si="13"/>
        <v>17.484651141653977</v>
      </c>
      <c r="AQ31" s="79">
        <f t="shared" si="15"/>
        <v>12.117395916905906</v>
      </c>
      <c r="AR31" s="53">
        <f t="shared" si="16"/>
        <v>-1.8988552228043247</v>
      </c>
      <c r="AS31" s="35"/>
      <c r="AT31" s="35"/>
      <c r="AU31" s="35"/>
      <c r="AV31" s="35"/>
      <c r="AW31" s="35"/>
      <c r="AX31" s="35"/>
      <c r="AY31" s="35"/>
    </row>
    <row r="32" spans="1:51" ht="15.75" customHeight="1" x14ac:dyDescent="0.25">
      <c r="A32" s="24" t="s">
        <v>44</v>
      </c>
      <c r="B32" s="6">
        <f t="shared" si="26"/>
        <v>0</v>
      </c>
      <c r="C32" s="2" t="s">
        <v>3</v>
      </c>
      <c r="D32" s="2"/>
      <c r="E32" s="15" t="s">
        <v>97</v>
      </c>
      <c r="F32" s="6">
        <f>B52-F31</f>
        <v>282224.07048387098</v>
      </c>
      <c r="G32" s="2" t="s">
        <v>3</v>
      </c>
      <c r="H32" s="2"/>
      <c r="I32" s="15" t="s">
        <v>59</v>
      </c>
      <c r="J32" s="26">
        <f>IF(J24="Yes",SUM(F50:F51),0)</f>
        <v>0</v>
      </c>
      <c r="K32" s="2" t="s">
        <v>49</v>
      </c>
      <c r="L32" s="14"/>
      <c r="M32" s="2"/>
      <c r="N32" s="11">
        <f t="shared" si="9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1">
        <f t="shared" si="10"/>
        <v>0</v>
      </c>
      <c r="U32" s="21">
        <f t="shared" si="5"/>
        <v>0</v>
      </c>
      <c r="V32" s="21">
        <f t="shared" si="6"/>
        <v>0</v>
      </c>
      <c r="W32" s="20">
        <f t="shared" si="11"/>
        <v>0</v>
      </c>
      <c r="X32" s="17">
        <f t="shared" si="0"/>
        <v>0</v>
      </c>
      <c r="Y32" s="3"/>
      <c r="Z32" s="6">
        <f t="shared" si="8"/>
        <v>0</v>
      </c>
      <c r="AA32" s="2"/>
      <c r="AB32" s="28">
        <f t="shared" si="24"/>
        <v>30</v>
      </c>
      <c r="AC32" s="30">
        <f t="shared" si="18"/>
        <v>6.9193548387096779E-2</v>
      </c>
      <c r="AD32" s="31">
        <v>637314.26780917239</v>
      </c>
      <c r="AE32" s="36">
        <f t="shared" si="19"/>
        <v>1.4241414171032019</v>
      </c>
      <c r="AF32" s="2"/>
      <c r="AG32" s="28">
        <f t="shared" si="25"/>
        <v>30</v>
      </c>
      <c r="AH32" s="32">
        <f t="shared" si="21"/>
        <v>461227.19080645166</v>
      </c>
      <c r="AI32" s="31">
        <v>754810.07329258765</v>
      </c>
      <c r="AJ32" s="36">
        <f t="shared" si="22"/>
        <v>20.122783191171528</v>
      </c>
      <c r="AK32" s="2"/>
      <c r="AL32" s="77">
        <v>50</v>
      </c>
      <c r="AM32" s="78">
        <f t="shared" si="23"/>
        <v>33.537971985285871</v>
      </c>
      <c r="AN32" s="78">
        <f t="shared" si="14"/>
        <v>2.3735690285053921</v>
      </c>
      <c r="AO32" s="79">
        <f t="shared" si="12"/>
        <v>3.9754144887849523</v>
      </c>
      <c r="AP32" s="79">
        <f t="shared" si="13"/>
        <v>21.16213392667871</v>
      </c>
      <c r="AQ32" s="79">
        <f t="shared" si="15"/>
        <v>15.1467448961324</v>
      </c>
      <c r="AR32" s="53">
        <f t="shared" si="16"/>
        <v>-2.3735690285054289</v>
      </c>
      <c r="AS32" s="35"/>
      <c r="AT32" s="35"/>
      <c r="AU32" s="35"/>
      <c r="AV32" s="35"/>
      <c r="AW32" s="35"/>
      <c r="AX32" s="35"/>
      <c r="AY32" s="35"/>
    </row>
    <row r="33" spans="1:51" ht="15.75" customHeight="1" x14ac:dyDescent="0.25">
      <c r="A33" s="24" t="s">
        <v>50</v>
      </c>
      <c r="B33" s="6">
        <f>IF(B13=0,0,(B13/100)*B47)</f>
        <v>27777.164516129033</v>
      </c>
      <c r="C33" s="2" t="s">
        <v>3</v>
      </c>
      <c r="D33" s="2"/>
      <c r="E33" s="15" t="s">
        <v>98</v>
      </c>
      <c r="F33" s="23">
        <f>F32*(F23/100)*J21</f>
        <v>131234.19277500003</v>
      </c>
      <c r="G33" s="2" t="s">
        <v>3</v>
      </c>
      <c r="H33" s="2"/>
      <c r="I33" s="2"/>
      <c r="J33" s="2"/>
      <c r="K33" s="2"/>
      <c r="L33" s="14"/>
      <c r="M33" s="2"/>
      <c r="N33" s="11">
        <f t="shared" si="9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1">
        <f t="shared" si="10"/>
        <v>0</v>
      </c>
      <c r="U33" s="21">
        <f t="shared" si="5"/>
        <v>0</v>
      </c>
      <c r="V33" s="21">
        <f t="shared" si="6"/>
        <v>0</v>
      </c>
      <c r="W33" s="20">
        <f t="shared" si="11"/>
        <v>0</v>
      </c>
      <c r="X33" s="17">
        <f t="shared" si="0"/>
        <v>0</v>
      </c>
      <c r="Y33" s="3"/>
      <c r="Z33" s="6">
        <f t="shared" si="8"/>
        <v>0</v>
      </c>
      <c r="AA33" s="2"/>
      <c r="AB33" s="28">
        <f t="shared" si="24"/>
        <v>40</v>
      </c>
      <c r="AC33" s="30">
        <f t="shared" si="18"/>
        <v>7.4516129032258058E-2</v>
      </c>
      <c r="AD33" s="31">
        <v>640297.20537484623</v>
      </c>
      <c r="AE33" s="36">
        <f t="shared" si="19"/>
        <v>1.8988552228042879</v>
      </c>
      <c r="AF33" s="2"/>
      <c r="AG33" s="28">
        <f t="shared" si="25"/>
        <v>40</v>
      </c>
      <c r="AH33" s="32">
        <f t="shared" si="21"/>
        <v>496706.20548387093</v>
      </c>
      <c r="AI33" s="31">
        <v>796958.27935273305</v>
      </c>
      <c r="AJ33" s="36">
        <f t="shared" si="22"/>
        <v>26.830377588228689</v>
      </c>
      <c r="AK33" s="2"/>
      <c r="AL33" s="29"/>
      <c r="AM33" s="33"/>
      <c r="AN33" s="34"/>
      <c r="AO33" s="37"/>
      <c r="AP33" s="2"/>
      <c r="AQ33" s="35"/>
      <c r="AR33" s="35"/>
      <c r="AS33" s="35"/>
      <c r="AT33" s="35"/>
      <c r="AU33" s="35"/>
      <c r="AV33" s="35"/>
      <c r="AW33" s="35"/>
      <c r="AX33" s="35"/>
      <c r="AY33" s="35"/>
    </row>
    <row r="34" spans="1:51" ht="15.75" customHeight="1" x14ac:dyDescent="0.25">
      <c r="A34" s="24" t="s">
        <v>99</v>
      </c>
      <c r="B34" s="6">
        <f t="shared" ref="B34:B35" si="27">IF(B14=0,0,(B14/100)*$B$47)</f>
        <v>18938.975806451614</v>
      </c>
      <c r="C34" s="2" t="s">
        <v>3</v>
      </c>
      <c r="D34" s="2"/>
      <c r="E34" s="2"/>
      <c r="F34" s="35"/>
      <c r="G34" s="2"/>
      <c r="H34" s="2"/>
      <c r="I34" s="15" t="s">
        <v>100</v>
      </c>
      <c r="J34" s="6">
        <f>F12*B5</f>
        <v>703530</v>
      </c>
      <c r="K34" s="2" t="s">
        <v>101</v>
      </c>
      <c r="L34" s="14"/>
      <c r="M34" s="2"/>
      <c r="N34" s="11">
        <f t="shared" si="9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1">
        <f t="shared" si="10"/>
        <v>0</v>
      </c>
      <c r="U34" s="21">
        <f t="shared" si="5"/>
        <v>0</v>
      </c>
      <c r="V34" s="21">
        <f t="shared" si="6"/>
        <v>0</v>
      </c>
      <c r="W34" s="20">
        <f t="shared" si="11"/>
        <v>0</v>
      </c>
      <c r="X34" s="17">
        <f t="shared" si="0"/>
        <v>0</v>
      </c>
      <c r="Y34" s="3"/>
      <c r="Z34" s="6">
        <f t="shared" si="8"/>
        <v>0</v>
      </c>
      <c r="AA34" s="2"/>
      <c r="AB34" s="28">
        <f t="shared" si="24"/>
        <v>50</v>
      </c>
      <c r="AC34" s="30">
        <f t="shared" si="18"/>
        <v>7.9838709677419351E-2</v>
      </c>
      <c r="AD34" s="31">
        <v>643280.14294052019</v>
      </c>
      <c r="AE34" s="36">
        <f t="shared" si="19"/>
        <v>2.3735690285053921</v>
      </c>
      <c r="AF34" s="2"/>
      <c r="AG34" s="28">
        <f t="shared" si="25"/>
        <v>50</v>
      </c>
      <c r="AH34" s="32">
        <f t="shared" si="21"/>
        <v>532185.22016129037</v>
      </c>
      <c r="AI34" s="31">
        <v>839106.48541287857</v>
      </c>
      <c r="AJ34" s="36">
        <f t="shared" si="22"/>
        <v>33.537971985285871</v>
      </c>
      <c r="AK34" s="2"/>
      <c r="AL34" s="29"/>
      <c r="AM34" s="33"/>
      <c r="AN34" s="34"/>
      <c r="AO34" s="37"/>
      <c r="AP34" s="2"/>
      <c r="AQ34" s="35"/>
      <c r="AR34" s="35"/>
      <c r="AS34" s="35"/>
      <c r="AT34" s="35"/>
      <c r="AU34" s="35"/>
      <c r="AV34" s="35"/>
      <c r="AW34" s="35"/>
      <c r="AX34" s="35"/>
      <c r="AY34" s="35"/>
    </row>
    <row r="35" spans="1:51" ht="15.75" customHeight="1" x14ac:dyDescent="0.25">
      <c r="A35" s="2" t="s">
        <v>102</v>
      </c>
      <c r="B35" s="5">
        <f t="shared" si="27"/>
        <v>55554.329032258065</v>
      </c>
      <c r="C35" s="2" t="s">
        <v>3</v>
      </c>
      <c r="D35" s="2"/>
      <c r="E35" s="1" t="s">
        <v>103</v>
      </c>
      <c r="F35" s="2"/>
      <c r="G35" s="2"/>
      <c r="H35" s="2"/>
      <c r="I35" s="2"/>
      <c r="J35" s="2"/>
      <c r="K35" s="2"/>
      <c r="L35" s="14"/>
      <c r="M35" s="2"/>
      <c r="N35" s="11">
        <f t="shared" si="9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1">
        <f t="shared" si="10"/>
        <v>0</v>
      </c>
      <c r="U35" s="21">
        <f t="shared" si="5"/>
        <v>0</v>
      </c>
      <c r="V35" s="21">
        <f t="shared" si="6"/>
        <v>0</v>
      </c>
      <c r="W35" s="20">
        <f t="shared" si="11"/>
        <v>0</v>
      </c>
      <c r="X35" s="17">
        <f t="shared" si="0"/>
        <v>0</v>
      </c>
      <c r="Y35" s="3"/>
      <c r="Z35" s="6">
        <f t="shared" si="8"/>
        <v>0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</row>
    <row r="36" spans="1:51" ht="15.75" customHeight="1" x14ac:dyDescent="0.25">
      <c r="A36" s="24" t="s">
        <v>179</v>
      </c>
      <c r="B36" s="6">
        <f t="shared" ref="B36:B40" si="28">IF(B18=0,0,(B18/100)*$B$47)</f>
        <v>0</v>
      </c>
      <c r="C36" s="2" t="s">
        <v>3</v>
      </c>
      <c r="D36" s="2"/>
      <c r="E36" s="15" t="s">
        <v>30</v>
      </c>
      <c r="F36" s="18">
        <f>F13/$B$8</f>
        <v>5.32258064516129E-2</v>
      </c>
      <c r="G36" s="2" t="s">
        <v>31</v>
      </c>
      <c r="H36" s="2"/>
      <c r="I36" s="2"/>
      <c r="J36" s="2"/>
      <c r="K36" s="2"/>
      <c r="L36" s="14"/>
      <c r="M36" s="2"/>
      <c r="N36" s="11">
        <f t="shared" si="9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1">
        <f t="shared" si="10"/>
        <v>0</v>
      </c>
      <c r="U36" s="21">
        <f t="shared" si="5"/>
        <v>0</v>
      </c>
      <c r="V36" s="21">
        <f t="shared" si="6"/>
        <v>0</v>
      </c>
      <c r="W36" s="20">
        <f t="shared" si="11"/>
        <v>0</v>
      </c>
      <c r="X36" s="17">
        <f t="shared" si="0"/>
        <v>0</v>
      </c>
      <c r="Y36" s="3"/>
      <c r="Z36" s="6">
        <f t="shared" si="8"/>
        <v>0</v>
      </c>
      <c r="AA36" s="2"/>
      <c r="AB36" s="27" t="s">
        <v>33</v>
      </c>
      <c r="AC36" s="28"/>
      <c r="AD36" s="28"/>
      <c r="AE36" s="28"/>
      <c r="AF36" s="2"/>
      <c r="AG36" s="27" t="s">
        <v>104</v>
      </c>
      <c r="AH36" s="28"/>
      <c r="AI36" s="28"/>
      <c r="AJ36" s="2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</row>
    <row r="37" spans="1:51" ht="15.75" customHeight="1" x14ac:dyDescent="0.25">
      <c r="A37" s="24" t="s">
        <v>180</v>
      </c>
      <c r="B37" s="6">
        <f t="shared" si="28"/>
        <v>0</v>
      </c>
      <c r="C37" s="2" t="s">
        <v>3</v>
      </c>
      <c r="D37" s="2"/>
      <c r="E37" s="15" t="s">
        <v>105</v>
      </c>
      <c r="F37" s="44">
        <f>(F21/((1-J14%)*J10))/B8</f>
        <v>0</v>
      </c>
      <c r="G37" s="2" t="s">
        <v>31</v>
      </c>
      <c r="H37" s="2"/>
      <c r="I37" s="1" t="s">
        <v>106</v>
      </c>
      <c r="J37" s="45">
        <f>SUM(J38:J42)</f>
        <v>24666.787974193547</v>
      </c>
      <c r="K37" s="1" t="s">
        <v>49</v>
      </c>
      <c r="L37" s="14"/>
      <c r="M37" s="2"/>
      <c r="N37" s="11">
        <f t="shared" si="9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1">
        <f t="shared" si="10"/>
        <v>0</v>
      </c>
      <c r="U37" s="21">
        <f t="shared" si="5"/>
        <v>0</v>
      </c>
      <c r="V37" s="21">
        <f t="shared" si="6"/>
        <v>0</v>
      </c>
      <c r="W37" s="20">
        <f t="shared" si="11"/>
        <v>0</v>
      </c>
      <c r="X37" s="17">
        <f t="shared" si="0"/>
        <v>0</v>
      </c>
      <c r="Y37" s="3"/>
      <c r="Z37" s="6">
        <f t="shared" si="8"/>
        <v>0</v>
      </c>
      <c r="AA37" s="2"/>
      <c r="AB37" s="28" t="s">
        <v>80</v>
      </c>
      <c r="AC37" s="28" t="s">
        <v>107</v>
      </c>
      <c r="AD37" s="28" t="s">
        <v>23</v>
      </c>
      <c r="AE37" s="28" t="s">
        <v>82</v>
      </c>
      <c r="AF37" s="2"/>
      <c r="AG37" s="28" t="s">
        <v>80</v>
      </c>
      <c r="AH37" s="28" t="s">
        <v>108</v>
      </c>
      <c r="AI37" s="28" t="s">
        <v>23</v>
      </c>
      <c r="AJ37" s="28" t="s">
        <v>82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</row>
    <row r="38" spans="1:51" ht="15.75" customHeight="1" x14ac:dyDescent="0.25">
      <c r="A38" s="24" t="s">
        <v>73</v>
      </c>
      <c r="B38" s="6">
        <f t="shared" si="28"/>
        <v>0</v>
      </c>
      <c r="C38" s="2" t="s">
        <v>3</v>
      </c>
      <c r="D38" s="2"/>
      <c r="E38" s="15" t="s">
        <v>109</v>
      </c>
      <c r="F38" s="44">
        <f>F36*J17</f>
        <v>5.2693548387096771E-2</v>
      </c>
      <c r="G38" s="2" t="s">
        <v>4</v>
      </c>
      <c r="H38" s="2"/>
      <c r="I38" s="15" t="s">
        <v>110</v>
      </c>
      <c r="J38" s="26">
        <f>F17/$B$8</f>
        <v>11.225806451612904</v>
      </c>
      <c r="K38" s="2" t="s">
        <v>49</v>
      </c>
      <c r="L38" s="14"/>
      <c r="M38" s="2"/>
      <c r="N38" s="11">
        <f t="shared" si="9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1">
        <f t="shared" si="10"/>
        <v>0</v>
      </c>
      <c r="U38" s="21">
        <f t="shared" si="5"/>
        <v>0</v>
      </c>
      <c r="V38" s="21">
        <f t="shared" si="6"/>
        <v>0</v>
      </c>
      <c r="W38" s="20">
        <f t="shared" si="11"/>
        <v>0</v>
      </c>
      <c r="X38" s="17">
        <f t="shared" si="0"/>
        <v>0</v>
      </c>
      <c r="Y38" s="3"/>
      <c r="Z38" s="6">
        <f t="shared" si="8"/>
        <v>0</v>
      </c>
      <c r="AA38" s="2"/>
      <c r="AB38" s="28" t="s">
        <v>86</v>
      </c>
      <c r="AC38" s="32">
        <v>33810</v>
      </c>
      <c r="AD38" s="31">
        <f>X49</f>
        <v>628365.45511215122</v>
      </c>
      <c r="AE38" s="28"/>
      <c r="AF38" s="2"/>
      <c r="AG38" s="28" t="s">
        <v>86</v>
      </c>
      <c r="AH38" s="32">
        <v>70353</v>
      </c>
      <c r="AI38" s="31">
        <f>X49</f>
        <v>628365.45511215122</v>
      </c>
      <c r="AJ38" s="28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</row>
    <row r="39" spans="1:51" ht="15.75" customHeight="1" x14ac:dyDescent="0.25">
      <c r="A39" s="24" t="s">
        <v>75</v>
      </c>
      <c r="B39" s="6">
        <f t="shared" si="28"/>
        <v>0</v>
      </c>
      <c r="C39" s="2" t="s">
        <v>3</v>
      </c>
      <c r="D39" s="2"/>
      <c r="E39" s="2"/>
      <c r="F39" s="2"/>
      <c r="G39" s="2"/>
      <c r="H39" s="2"/>
      <c r="I39" s="15" t="s">
        <v>74</v>
      </c>
      <c r="J39" s="26">
        <f>F20/$B$8</f>
        <v>0</v>
      </c>
      <c r="K39" s="2" t="s">
        <v>49</v>
      </c>
      <c r="L39" s="14"/>
      <c r="M39" s="2"/>
      <c r="N39" s="11">
        <f t="shared" si="9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1">
        <f t="shared" si="10"/>
        <v>0</v>
      </c>
      <c r="U39" s="21">
        <f t="shared" si="5"/>
        <v>0</v>
      </c>
      <c r="V39" s="21">
        <f t="shared" si="6"/>
        <v>0</v>
      </c>
      <c r="W39" s="20">
        <f t="shared" si="11"/>
        <v>0</v>
      </c>
      <c r="X39" s="17">
        <f t="shared" si="0"/>
        <v>0</v>
      </c>
      <c r="Y39" s="3"/>
      <c r="Z39" s="6">
        <f t="shared" si="8"/>
        <v>0</v>
      </c>
      <c r="AA39" s="2"/>
      <c r="AB39" s="28">
        <f t="shared" ref="AB39:AB43" si="29">AB40-10</f>
        <v>-50</v>
      </c>
      <c r="AC39" s="32">
        <f t="shared" ref="AC39:AC49" si="30">$AC$38*(1+(AB39/100))</f>
        <v>16905</v>
      </c>
      <c r="AD39" s="31">
        <f t="dataTable" ref="AD39:AD49" dt2D="0" dtr="0" r1="B46" ca="1"/>
        <v>603385.32376710314</v>
      </c>
      <c r="AE39" s="36">
        <f t="shared" ref="AE39:AE49" si="31">100*((AD39-$AD$44)/$AD$44)</f>
        <v>-3.9754144887849709</v>
      </c>
      <c r="AF39" s="2"/>
      <c r="AG39" s="28">
        <f t="shared" ref="AG39:AG43" si="32">AG40-10</f>
        <v>-50</v>
      </c>
      <c r="AH39" s="32">
        <f t="shared" ref="AH39:AH49" si="33">$AH$38*(1+(AG39/100))</f>
        <v>35176.5</v>
      </c>
      <c r="AI39" s="31">
        <f t="dataTable" ref="AI39:AI49" dt2D="0" dtr="0" r1="F12" ca="1"/>
        <v>518273.8547825233</v>
      </c>
      <c r="AJ39" s="36">
        <f t="shared" ref="AJ39:AJ49" si="34">100*((AI39-$AI$44)/$AI$44)</f>
        <v>-17.520313924637801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</row>
    <row r="40" spans="1:51" ht="15.75" customHeight="1" x14ac:dyDescent="0.25">
      <c r="A40" s="24" t="s">
        <v>78</v>
      </c>
      <c r="B40" s="6">
        <f t="shared" si="28"/>
        <v>0</v>
      </c>
      <c r="C40" s="2" t="s">
        <v>3</v>
      </c>
      <c r="D40" s="2"/>
      <c r="E40" s="15" t="s">
        <v>111</v>
      </c>
      <c r="F40" s="26">
        <f>F37*F12*J17</f>
        <v>0</v>
      </c>
      <c r="G40" s="2" t="s">
        <v>49</v>
      </c>
      <c r="H40" s="2"/>
      <c r="I40" s="15" t="s">
        <v>63</v>
      </c>
      <c r="J40" s="26">
        <f>F16/$B$8</f>
        <v>0</v>
      </c>
      <c r="K40" s="2" t="s">
        <v>49</v>
      </c>
      <c r="L40" s="14"/>
      <c r="M40" s="2"/>
      <c r="N40" s="11">
        <f t="shared" si="9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1">
        <f t="shared" si="10"/>
        <v>0</v>
      </c>
      <c r="U40" s="21">
        <f t="shared" si="5"/>
        <v>0</v>
      </c>
      <c r="V40" s="21">
        <f t="shared" si="6"/>
        <v>0</v>
      </c>
      <c r="W40" s="20">
        <f t="shared" si="11"/>
        <v>0</v>
      </c>
      <c r="X40" s="17">
        <f t="shared" si="0"/>
        <v>0</v>
      </c>
      <c r="Y40" s="3"/>
      <c r="Z40" s="6">
        <f t="shared" si="8"/>
        <v>0</v>
      </c>
      <c r="AA40" s="2"/>
      <c r="AB40" s="28">
        <f t="shared" si="29"/>
        <v>-40</v>
      </c>
      <c r="AC40" s="32">
        <f t="shared" si="30"/>
        <v>20286</v>
      </c>
      <c r="AD40" s="31">
        <v>608381.35003611271</v>
      </c>
      <c r="AE40" s="36">
        <f t="shared" si="31"/>
        <v>-3.1803315910279841</v>
      </c>
      <c r="AF40" s="2"/>
      <c r="AG40" s="28">
        <f t="shared" si="32"/>
        <v>-40</v>
      </c>
      <c r="AH40" s="32">
        <f t="shared" si="33"/>
        <v>42211.799999999996</v>
      </c>
      <c r="AI40" s="31">
        <v>540292.17484844895</v>
      </c>
      <c r="AJ40" s="36">
        <f t="shared" si="34"/>
        <v>-14.016251139710231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</row>
    <row r="41" spans="1:51" ht="15.75" customHeight="1" x14ac:dyDescent="0.25">
      <c r="A41" s="2"/>
      <c r="B41" s="2"/>
      <c r="C41" s="2"/>
      <c r="D41" s="2"/>
      <c r="E41" s="15" t="s">
        <v>112</v>
      </c>
      <c r="F41" s="35">
        <f>F38*F12</f>
        <v>3707.1492096774191</v>
      </c>
      <c r="G41" s="25" t="s">
        <v>49</v>
      </c>
      <c r="H41" s="2"/>
      <c r="I41" s="2" t="s">
        <v>88</v>
      </c>
      <c r="J41" s="35">
        <f>F24/B8</f>
        <v>3.870967741935484</v>
      </c>
      <c r="K41" s="2" t="s">
        <v>49</v>
      </c>
      <c r="L41" s="14"/>
      <c r="M41" s="2"/>
      <c r="N41" s="11">
        <f t="shared" si="9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1">
        <f t="shared" si="10"/>
        <v>0</v>
      </c>
      <c r="U41" s="21">
        <f t="shared" si="5"/>
        <v>0</v>
      </c>
      <c r="V41" s="21">
        <f t="shared" si="6"/>
        <v>0</v>
      </c>
      <c r="W41" s="20">
        <f t="shared" si="11"/>
        <v>0</v>
      </c>
      <c r="X41" s="17">
        <f t="shared" si="0"/>
        <v>0</v>
      </c>
      <c r="Y41" s="3"/>
      <c r="Z41" s="6">
        <f t="shared" si="8"/>
        <v>0</v>
      </c>
      <c r="AA41" s="2"/>
      <c r="AB41" s="28">
        <f t="shared" si="29"/>
        <v>-30</v>
      </c>
      <c r="AC41" s="32">
        <f t="shared" si="30"/>
        <v>23667</v>
      </c>
      <c r="AD41" s="31">
        <v>613377.37630512228</v>
      </c>
      <c r="AE41" s="36">
        <f t="shared" si="31"/>
        <v>-2.3852486932709969</v>
      </c>
      <c r="AF41" s="2"/>
      <c r="AG41" s="28">
        <f t="shared" si="32"/>
        <v>-30</v>
      </c>
      <c r="AH41" s="32">
        <f t="shared" si="33"/>
        <v>49247.1</v>
      </c>
      <c r="AI41" s="31">
        <v>562310.49491437443</v>
      </c>
      <c r="AJ41" s="36">
        <f t="shared" si="34"/>
        <v>-10.512188354782687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</row>
    <row r="42" spans="1:51" ht="15.75" customHeight="1" x14ac:dyDescent="0.25">
      <c r="A42" s="22" t="s">
        <v>113</v>
      </c>
      <c r="B42" s="3"/>
      <c r="C42" s="1"/>
      <c r="D42" s="2"/>
      <c r="E42" s="2"/>
      <c r="F42" s="2"/>
      <c r="G42" s="2"/>
      <c r="H42" s="2"/>
      <c r="I42" s="15" t="s">
        <v>48</v>
      </c>
      <c r="J42" s="46">
        <f>F22*F12/$B$8</f>
        <v>24651.691199999997</v>
      </c>
      <c r="K42" s="2" t="s">
        <v>49</v>
      </c>
      <c r="L42" s="14"/>
      <c r="M42" s="2"/>
      <c r="N42" s="11">
        <f t="shared" si="9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1">
        <f t="shared" si="10"/>
        <v>0</v>
      </c>
      <c r="U42" s="21">
        <f t="shared" si="5"/>
        <v>0</v>
      </c>
      <c r="V42" s="21">
        <f t="shared" si="6"/>
        <v>0</v>
      </c>
      <c r="W42" s="20">
        <f t="shared" si="11"/>
        <v>0</v>
      </c>
      <c r="X42" s="17">
        <f t="shared" si="0"/>
        <v>0</v>
      </c>
      <c r="Y42" s="3"/>
      <c r="Z42" s="6">
        <f t="shared" si="8"/>
        <v>0</v>
      </c>
      <c r="AA42" s="2"/>
      <c r="AB42" s="28">
        <f t="shared" si="29"/>
        <v>-20</v>
      </c>
      <c r="AC42" s="32">
        <f t="shared" si="30"/>
        <v>27048</v>
      </c>
      <c r="AD42" s="31">
        <v>618373.40257413196</v>
      </c>
      <c r="AE42" s="36">
        <f t="shared" si="31"/>
        <v>-1.5901657955139921</v>
      </c>
      <c r="AF42" s="2"/>
      <c r="AG42" s="28">
        <f t="shared" si="32"/>
        <v>-20</v>
      </c>
      <c r="AH42" s="32">
        <f t="shared" si="33"/>
        <v>56282.400000000001</v>
      </c>
      <c r="AI42" s="31">
        <v>584328.81498030003</v>
      </c>
      <c r="AJ42" s="36">
        <f t="shared" si="34"/>
        <v>-7.0081255698551237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</row>
    <row r="43" spans="1:51" ht="15.75" customHeight="1" x14ac:dyDescent="0.25">
      <c r="A43" s="15" t="s">
        <v>173</v>
      </c>
      <c r="B43" s="6">
        <f>J8/B8</f>
        <v>218709.67741935485</v>
      </c>
      <c r="C43" s="2" t="s">
        <v>3</v>
      </c>
      <c r="D43" s="2"/>
      <c r="E43" s="2"/>
      <c r="F43" s="2"/>
      <c r="G43" s="2"/>
      <c r="H43" s="2"/>
      <c r="I43" s="2"/>
      <c r="J43" s="2"/>
      <c r="K43" s="2"/>
      <c r="L43" s="14"/>
      <c r="M43" s="2"/>
      <c r="N43" s="11">
        <f t="shared" si="9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1">
        <f t="shared" si="10"/>
        <v>0</v>
      </c>
      <c r="U43" s="21">
        <f t="shared" si="5"/>
        <v>0</v>
      </c>
      <c r="V43" s="21">
        <f t="shared" si="6"/>
        <v>0</v>
      </c>
      <c r="W43" s="20">
        <f t="shared" si="11"/>
        <v>0</v>
      </c>
      <c r="X43" s="17">
        <f t="shared" si="0"/>
        <v>0</v>
      </c>
      <c r="Y43" s="3"/>
      <c r="Z43" s="6">
        <f t="shared" si="8"/>
        <v>0</v>
      </c>
      <c r="AA43" s="2"/>
      <c r="AB43" s="28">
        <f t="shared" si="29"/>
        <v>-10</v>
      </c>
      <c r="AC43" s="32">
        <f t="shared" si="30"/>
        <v>30429</v>
      </c>
      <c r="AD43" s="31">
        <v>623369.42884314153</v>
      </c>
      <c r="AE43" s="36">
        <f t="shared" si="31"/>
        <v>-0.79508289775700525</v>
      </c>
      <c r="AF43" s="2"/>
      <c r="AG43" s="28">
        <f t="shared" si="32"/>
        <v>-10</v>
      </c>
      <c r="AH43" s="32">
        <f t="shared" si="33"/>
        <v>63317.700000000004</v>
      </c>
      <c r="AI43" s="31">
        <v>606347.13504622574</v>
      </c>
      <c r="AJ43" s="36">
        <f t="shared" si="34"/>
        <v>-3.5040627849275432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1:51" ht="15.75" customHeight="1" x14ac:dyDescent="0.25">
      <c r="A44" s="15" t="s">
        <v>114</v>
      </c>
      <c r="B44" s="6">
        <f>IF(J24="No",J9*J10,0)</f>
        <v>33810</v>
      </c>
      <c r="C44" s="2" t="s">
        <v>3</v>
      </c>
      <c r="D44" s="2"/>
      <c r="E44" s="1" t="s">
        <v>160</v>
      </c>
      <c r="F44" s="2"/>
      <c r="G44" s="2"/>
      <c r="H44" s="2"/>
      <c r="I44" s="2"/>
      <c r="J44" s="2"/>
      <c r="K44" s="2"/>
      <c r="L44" s="14"/>
      <c r="M44" s="2"/>
      <c r="N44" s="11">
        <f t="shared" si="9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1">
        <f t="shared" si="10"/>
        <v>0</v>
      </c>
      <c r="U44" s="21">
        <f t="shared" si="5"/>
        <v>0</v>
      </c>
      <c r="V44" s="21">
        <f t="shared" si="6"/>
        <v>0</v>
      </c>
      <c r="W44" s="20">
        <f t="shared" si="11"/>
        <v>0</v>
      </c>
      <c r="X44" s="17">
        <f t="shared" si="0"/>
        <v>0</v>
      </c>
      <c r="Y44" s="3"/>
      <c r="Z44" s="6">
        <f t="shared" si="8"/>
        <v>0</v>
      </c>
      <c r="AA44" s="2"/>
      <c r="AB44" s="41">
        <v>0</v>
      </c>
      <c r="AC44" s="47">
        <f t="shared" si="30"/>
        <v>33810</v>
      </c>
      <c r="AD44" s="42">
        <v>628365.45511215122</v>
      </c>
      <c r="AE44" s="62">
        <f t="shared" si="31"/>
        <v>0</v>
      </c>
      <c r="AF44" s="2"/>
      <c r="AG44" s="41">
        <v>0</v>
      </c>
      <c r="AH44" s="47">
        <f t="shared" si="33"/>
        <v>70353</v>
      </c>
      <c r="AI44" s="42">
        <v>628365.45511215122</v>
      </c>
      <c r="AJ44" s="62">
        <f t="shared" si="34"/>
        <v>0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1:51" ht="15.75" customHeight="1" x14ac:dyDescent="0.25">
      <c r="A45" s="24" t="s">
        <v>115</v>
      </c>
      <c r="B45" s="23">
        <f>(1+(B16/100))*B43</f>
        <v>218709.67741935485</v>
      </c>
      <c r="C45" s="2" t="s">
        <v>3</v>
      </c>
      <c r="D45" s="2"/>
      <c r="E45" s="15" t="s">
        <v>167</v>
      </c>
      <c r="F45" s="70">
        <f>((1+(B16/100))*J9*J10)*(1+(B13%+B14%+B15%))</f>
        <v>47503.05</v>
      </c>
      <c r="G45" s="2" t="s">
        <v>3</v>
      </c>
      <c r="H45" s="2"/>
      <c r="I45" s="1"/>
      <c r="J45" s="2"/>
      <c r="K45" s="2"/>
      <c r="L45" s="14"/>
      <c r="M45" s="2"/>
      <c r="N45" s="11">
        <f t="shared" si="9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1">
        <f t="shared" si="10"/>
        <v>0</v>
      </c>
      <c r="U45" s="21">
        <f t="shared" si="5"/>
        <v>0</v>
      </c>
      <c r="V45" s="21">
        <f t="shared" si="6"/>
        <v>0</v>
      </c>
      <c r="W45" s="20">
        <f t="shared" si="11"/>
        <v>0</v>
      </c>
      <c r="X45" s="17">
        <f t="shared" si="0"/>
        <v>0</v>
      </c>
      <c r="Y45" s="3"/>
      <c r="Z45" s="6">
        <f t="shared" si="8"/>
        <v>0</v>
      </c>
      <c r="AA45" s="2"/>
      <c r="AB45" s="28">
        <f t="shared" ref="AB45:AB49" si="35">AB44+10</f>
        <v>10</v>
      </c>
      <c r="AC45" s="32">
        <f t="shared" si="30"/>
        <v>37191</v>
      </c>
      <c r="AD45" s="31">
        <v>633361.48138116079</v>
      </c>
      <c r="AE45" s="36">
        <f t="shared" si="31"/>
        <v>0.79508289775698671</v>
      </c>
      <c r="AF45" s="2"/>
      <c r="AG45" s="28">
        <f t="shared" ref="AG45:AG49" si="36">AG44+10</f>
        <v>10</v>
      </c>
      <c r="AH45" s="32">
        <f t="shared" si="33"/>
        <v>77388.3</v>
      </c>
      <c r="AI45" s="31">
        <v>650383.7751780767</v>
      </c>
      <c r="AJ45" s="36">
        <f t="shared" si="34"/>
        <v>3.5040627849275432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1:51" ht="15.75" customHeight="1" x14ac:dyDescent="0.25">
      <c r="A46" s="24" t="s">
        <v>116</v>
      </c>
      <c r="B46" s="5">
        <f>(1+(B16/100))*B44</f>
        <v>33810</v>
      </c>
      <c r="C46" s="2" t="s">
        <v>3</v>
      </c>
      <c r="D46" s="2"/>
      <c r="E46" s="2" t="s">
        <v>168</v>
      </c>
      <c r="F46" s="70">
        <f>((J22%)*F45)+(((1-J22%)*F45)*(1+(F23%*J21)))</f>
        <v>62965.292775000009</v>
      </c>
      <c r="G46" s="2" t="s">
        <v>3</v>
      </c>
      <c r="H46" s="2"/>
      <c r="I46" s="15"/>
      <c r="J46" s="19"/>
      <c r="K46" s="2"/>
      <c r="L46" s="14"/>
      <c r="M46" s="2"/>
      <c r="N46" s="11">
        <f t="shared" si="9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1">
        <f t="shared" si="10"/>
        <v>0</v>
      </c>
      <c r="U46" s="21">
        <f t="shared" si="5"/>
        <v>0</v>
      </c>
      <c r="V46" s="21">
        <f t="shared" si="6"/>
        <v>0</v>
      </c>
      <c r="W46" s="20">
        <f t="shared" si="11"/>
        <v>0</v>
      </c>
      <c r="X46" s="17">
        <f t="shared" si="0"/>
        <v>0</v>
      </c>
      <c r="Y46" s="3"/>
      <c r="Z46" s="6">
        <f t="shared" si="8"/>
        <v>0</v>
      </c>
      <c r="AA46" s="2"/>
      <c r="AB46" s="28">
        <f t="shared" si="35"/>
        <v>20</v>
      </c>
      <c r="AC46" s="32">
        <f t="shared" si="30"/>
        <v>40572</v>
      </c>
      <c r="AD46" s="31">
        <v>638357.50765017036</v>
      </c>
      <c r="AE46" s="36">
        <f t="shared" si="31"/>
        <v>1.5901657955139734</v>
      </c>
      <c r="AF46" s="2"/>
      <c r="AG46" s="28">
        <f t="shared" si="36"/>
        <v>20</v>
      </c>
      <c r="AH46" s="32">
        <f t="shared" si="33"/>
        <v>84423.599999999991</v>
      </c>
      <c r="AI46" s="31">
        <v>672402.09524400218</v>
      </c>
      <c r="AJ46" s="36">
        <f t="shared" si="34"/>
        <v>7.0081255698550864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1:51" ht="15.75" customHeight="1" x14ac:dyDescent="0.25">
      <c r="A47" s="2" t="s">
        <v>117</v>
      </c>
      <c r="B47" s="23">
        <f>B45+B46</f>
        <v>252519.67741935485</v>
      </c>
      <c r="C47" s="2" t="s">
        <v>3</v>
      </c>
      <c r="D47" s="2"/>
      <c r="E47" s="2" t="s">
        <v>96</v>
      </c>
      <c r="F47" s="70">
        <f>J12*J11</f>
        <v>940000</v>
      </c>
      <c r="G47" s="2" t="s">
        <v>101</v>
      </c>
      <c r="H47" s="2"/>
      <c r="I47" s="2"/>
      <c r="J47" s="2"/>
      <c r="K47" s="2"/>
      <c r="L47" s="14"/>
      <c r="M47" s="2"/>
      <c r="N47" s="11">
        <f t="shared" si="9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1">
        <f t="shared" si="10"/>
        <v>0</v>
      </c>
      <c r="U47" s="21">
        <f t="shared" si="5"/>
        <v>0</v>
      </c>
      <c r="V47" s="21">
        <f t="shared" si="6"/>
        <v>0</v>
      </c>
      <c r="W47" s="20">
        <f t="shared" si="11"/>
        <v>0</v>
      </c>
      <c r="X47" s="17">
        <f t="shared" si="0"/>
        <v>0</v>
      </c>
      <c r="Y47" s="3"/>
      <c r="Z47" s="6">
        <f t="shared" si="8"/>
        <v>0</v>
      </c>
      <c r="AA47" s="2"/>
      <c r="AB47" s="28">
        <f t="shared" si="35"/>
        <v>30</v>
      </c>
      <c r="AC47" s="32">
        <f t="shared" si="30"/>
        <v>43953</v>
      </c>
      <c r="AD47" s="31">
        <v>643353.53391918004</v>
      </c>
      <c r="AE47" s="36">
        <f t="shared" si="31"/>
        <v>2.3852486932709787</v>
      </c>
      <c r="AF47" s="2"/>
      <c r="AG47" s="28">
        <f t="shared" si="36"/>
        <v>30</v>
      </c>
      <c r="AH47" s="32">
        <f t="shared" si="33"/>
        <v>91458.900000000009</v>
      </c>
      <c r="AI47" s="31">
        <v>715176.82241214078</v>
      </c>
      <c r="AJ47" s="36">
        <f t="shared" si="34"/>
        <v>13.815426451871929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1:51" ht="15.75" customHeight="1" x14ac:dyDescent="0.25">
      <c r="A48" s="24" t="s">
        <v>118</v>
      </c>
      <c r="B48" s="6">
        <f>SUM(B33:B40)+SUM(B47)</f>
        <v>354790.14677419356</v>
      </c>
      <c r="C48" s="2" t="s">
        <v>3</v>
      </c>
      <c r="D48" s="2"/>
      <c r="E48" s="2" t="s">
        <v>162</v>
      </c>
      <c r="F48" s="74">
        <f>(F46/F47)*J25</f>
        <v>8.707966022074469E-2</v>
      </c>
      <c r="G48" s="2" t="s">
        <v>4</v>
      </c>
      <c r="H48" s="2"/>
      <c r="I48" s="2"/>
      <c r="J48" s="2"/>
      <c r="K48" s="2"/>
      <c r="L48" s="14"/>
      <c r="M48" s="2"/>
      <c r="N48" s="11">
        <f t="shared" si="9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1">
        <f t="shared" si="10"/>
        <v>0</v>
      </c>
      <c r="U48" s="21">
        <f t="shared" si="5"/>
        <v>0</v>
      </c>
      <c r="V48" s="21">
        <f t="shared" si="6"/>
        <v>0</v>
      </c>
      <c r="W48" s="20">
        <f t="shared" si="11"/>
        <v>0</v>
      </c>
      <c r="X48" s="17">
        <f t="shared" si="0"/>
        <v>0</v>
      </c>
      <c r="Y48" s="3"/>
      <c r="Z48" s="6">
        <f t="shared" si="8"/>
        <v>0</v>
      </c>
      <c r="AA48" s="2"/>
      <c r="AB48" s="28">
        <f t="shared" si="35"/>
        <v>40</v>
      </c>
      <c r="AC48" s="32">
        <f t="shared" si="30"/>
        <v>47334</v>
      </c>
      <c r="AD48" s="31">
        <v>648349.56018818961</v>
      </c>
      <c r="AE48" s="36">
        <f t="shared" si="31"/>
        <v>3.1803315910279655</v>
      </c>
      <c r="AF48" s="2"/>
      <c r="AG48" s="28">
        <f t="shared" si="36"/>
        <v>40</v>
      </c>
      <c r="AH48" s="32">
        <f t="shared" si="33"/>
        <v>98494.2</v>
      </c>
      <c r="AI48" s="31">
        <v>738232.96283317718</v>
      </c>
      <c r="AJ48" s="36">
        <f t="shared" si="34"/>
        <v>17.484651141653977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</row>
    <row r="49" spans="1:51" ht="15.75" customHeight="1" x14ac:dyDescent="0.25">
      <c r="A49" s="24" t="s">
        <v>172</v>
      </c>
      <c r="B49" s="6">
        <f>SUM(B31:B32)</f>
        <v>0</v>
      </c>
      <c r="C49" s="2" t="s">
        <v>3</v>
      </c>
      <c r="D49" s="2"/>
      <c r="E49" s="2" t="s">
        <v>165</v>
      </c>
      <c r="F49" s="6">
        <f>J26*365</f>
        <v>42887.5</v>
      </c>
      <c r="G49" s="2" t="s">
        <v>43</v>
      </c>
      <c r="H49" s="2"/>
      <c r="I49" s="2"/>
      <c r="J49" s="2"/>
      <c r="K49" s="2"/>
      <c r="L49" s="14"/>
      <c r="M49" s="2"/>
      <c r="N49" s="12" t="s">
        <v>119</v>
      </c>
      <c r="O49" s="17">
        <f t="shared" ref="O49:X49" si="37">SUM(O8:O48)</f>
        <v>120953.17306451612</v>
      </c>
      <c r="P49" s="17">
        <f t="shared" si="37"/>
        <v>358011.58101176354</v>
      </c>
      <c r="Q49" s="17">
        <f t="shared" si="37"/>
        <v>29829.375656737921</v>
      </c>
      <c r="R49" s="17">
        <f t="shared" si="37"/>
        <v>0</v>
      </c>
      <c r="S49" s="17">
        <f t="shared" si="37"/>
        <v>190470.39829112618</v>
      </c>
      <c r="T49" s="17">
        <f t="shared" si="37"/>
        <v>0</v>
      </c>
      <c r="U49" s="17">
        <f t="shared" si="37"/>
        <v>0</v>
      </c>
      <c r="V49" s="17">
        <f t="shared" si="37"/>
        <v>0</v>
      </c>
      <c r="W49" s="17">
        <f t="shared" si="37"/>
        <v>-70899.07291199264</v>
      </c>
      <c r="X49" s="17">
        <f t="shared" si="37"/>
        <v>628365.45511215122</v>
      </c>
      <c r="Y49" s="3"/>
      <c r="Z49" s="3"/>
      <c r="AA49" s="2"/>
      <c r="AB49" s="28">
        <f t="shared" si="35"/>
        <v>50</v>
      </c>
      <c r="AC49" s="32">
        <f t="shared" si="30"/>
        <v>50715</v>
      </c>
      <c r="AD49" s="31">
        <v>653345.58645719918</v>
      </c>
      <c r="AE49" s="36">
        <f t="shared" si="31"/>
        <v>3.9754144887849523</v>
      </c>
      <c r="AF49" s="2"/>
      <c r="AG49" s="28">
        <f t="shared" si="36"/>
        <v>50</v>
      </c>
      <c r="AH49" s="32">
        <f t="shared" si="33"/>
        <v>105529.5</v>
      </c>
      <c r="AI49" s="31">
        <v>761340.99427196884</v>
      </c>
      <c r="AJ49" s="36">
        <f t="shared" si="34"/>
        <v>21.16213392667871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</row>
    <row r="50" spans="1:51" ht="15.75" customHeight="1" x14ac:dyDescent="0.25">
      <c r="A50" s="24" t="s">
        <v>174</v>
      </c>
      <c r="B50" s="6">
        <f>B48-B49</f>
        <v>354790.14677419356</v>
      </c>
      <c r="C50" s="2" t="s">
        <v>3</v>
      </c>
      <c r="D50" s="2"/>
      <c r="E50" s="2" t="s">
        <v>163</v>
      </c>
      <c r="F50" s="5">
        <f>F48*F49</f>
        <v>3734.6289277171877</v>
      </c>
      <c r="G50" s="72" t="s">
        <v>49</v>
      </c>
      <c r="H50" s="2"/>
      <c r="I50" s="2"/>
      <c r="J50" s="2"/>
      <c r="K50" s="2"/>
      <c r="L50" s="14"/>
      <c r="M50" s="2"/>
      <c r="N50" s="2"/>
      <c r="O50" s="2"/>
      <c r="P50" s="6"/>
      <c r="Q50" s="2"/>
      <c r="R50" s="2"/>
      <c r="S50" s="2"/>
      <c r="T50" s="2"/>
      <c r="U50" s="2"/>
      <c r="V50" s="2"/>
      <c r="W50" s="2"/>
      <c r="X50" s="23"/>
      <c r="Y50" s="23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</row>
    <row r="51" spans="1:51" ht="15.75" customHeight="1" x14ac:dyDescent="0.25">
      <c r="A51" s="15" t="s">
        <v>72</v>
      </c>
      <c r="B51" s="6">
        <f>J18/B8</f>
        <v>48387.096774193546</v>
      </c>
      <c r="C51" s="2" t="s">
        <v>3</v>
      </c>
      <c r="D51" s="2"/>
      <c r="E51" s="2" t="s">
        <v>164</v>
      </c>
      <c r="F51" s="75">
        <f>IF(F12&gt;F49,(F12-F49)*F48,0)</f>
        <v>2391.6864077928631</v>
      </c>
      <c r="G51" s="72" t="s">
        <v>49</v>
      </c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7" t="s">
        <v>48</v>
      </c>
      <c r="AC51" s="28"/>
      <c r="AD51" s="28"/>
      <c r="AE51" s="28"/>
      <c r="AF51" s="2"/>
      <c r="AG51" s="27" t="s">
        <v>166</v>
      </c>
      <c r="AH51" s="28"/>
      <c r="AI51" s="28"/>
      <c r="AJ51" s="2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</row>
    <row r="52" spans="1:51" ht="15.75" customHeight="1" x14ac:dyDescent="0.25">
      <c r="A52" s="15" t="s">
        <v>120</v>
      </c>
      <c r="B52" s="6">
        <f>B50+B51</f>
        <v>403177.24354838708</v>
      </c>
      <c r="C52" s="2" t="s">
        <v>3</v>
      </c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8" t="s">
        <v>80</v>
      </c>
      <c r="AC52" s="28" t="s">
        <v>121</v>
      </c>
      <c r="AD52" s="28" t="s">
        <v>23</v>
      </c>
      <c r="AE52" s="28" t="s">
        <v>82</v>
      </c>
      <c r="AF52" s="2"/>
      <c r="AG52" s="28" t="s">
        <v>80</v>
      </c>
      <c r="AH52" s="28" t="s">
        <v>169</v>
      </c>
      <c r="AI52" s="28" t="s">
        <v>23</v>
      </c>
      <c r="AJ52" s="28" t="s">
        <v>82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</row>
    <row r="53" spans="1:51" ht="15.75" customHeight="1" thickBot="1" x14ac:dyDescent="0.3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8" t="s">
        <v>86</v>
      </c>
      <c r="AC53" s="32">
        <v>24651.691200000001</v>
      </c>
      <c r="AD53" s="31">
        <f>X49</f>
        <v>628365.45511215122</v>
      </c>
      <c r="AE53" s="28"/>
      <c r="AF53" s="2"/>
      <c r="AG53" s="28" t="s">
        <v>86</v>
      </c>
      <c r="AH53" s="32">
        <v>117.5</v>
      </c>
      <c r="AI53" s="31">
        <f>X49</f>
        <v>628365.45511215122</v>
      </c>
      <c r="AJ53" s="28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</row>
    <row r="54" spans="1:51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48"/>
      <c r="V54" s="51"/>
      <c r="W54" s="2"/>
      <c r="X54" s="35"/>
      <c r="Y54" s="35"/>
      <c r="Z54" s="51"/>
      <c r="AA54" s="35"/>
      <c r="AB54" s="28">
        <f t="shared" ref="AB54:AB58" si="38">AB55-10</f>
        <v>-50</v>
      </c>
      <c r="AC54" s="32">
        <f t="shared" ref="AC54:AC64" si="39">$AC$53*(1+(AB54/100))</f>
        <v>12325.845600000001</v>
      </c>
      <c r="AD54" s="31">
        <f t="dataTable" ref="AD54:AD64" dt2D="0" dtr="0" r1="J42" ca="1"/>
        <v>533188.54261089221</v>
      </c>
      <c r="AE54" s="36">
        <f t="shared" ref="AE54:AE64" si="40">100*((AD54-$AD$59)/$AD$59)</f>
        <v>-15.14674489613242</v>
      </c>
      <c r="AF54" s="2"/>
      <c r="AG54" s="28">
        <f t="shared" ref="AG54:AG56" si="41">AG55-20</f>
        <v>-100</v>
      </c>
      <c r="AH54" s="32">
        <f>$AH$53*(1+(AG54/100))</f>
        <v>0</v>
      </c>
      <c r="AI54" s="31">
        <f t="dataTable" ref="AI54:AI64" dt2D="0" dtr="0" r1="J26" ca="1"/>
        <v>628365.45511215122</v>
      </c>
      <c r="AJ54" s="36">
        <f>100*((AI54-$AI$59)/$AI$59)</f>
        <v>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</row>
    <row r="55" spans="1:51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478964.75407627964</v>
      </c>
      <c r="Q55" s="2" t="s">
        <v>3</v>
      </c>
      <c r="R55" s="52">
        <f t="shared" ref="R55:R59" si="42">P55/$J$34</f>
        <v>0.68080217485576966</v>
      </c>
      <c r="S55" s="2" t="s">
        <v>4</v>
      </c>
      <c r="T55" s="2"/>
      <c r="U55" s="2"/>
      <c r="V55" s="51"/>
      <c r="W55" s="2"/>
      <c r="X55" s="35"/>
      <c r="Y55" s="35"/>
      <c r="Z55" s="51"/>
      <c r="AA55" s="35"/>
      <c r="AB55" s="28">
        <f t="shared" si="38"/>
        <v>-40</v>
      </c>
      <c r="AC55" s="32">
        <f t="shared" si="39"/>
        <v>14791.014719999999</v>
      </c>
      <c r="AD55" s="31">
        <v>552223.92511114397</v>
      </c>
      <c r="AE55" s="36">
        <f t="shared" si="40"/>
        <v>-12.117395916905942</v>
      </c>
      <c r="AF55" s="2"/>
      <c r="AG55" s="28">
        <f t="shared" si="41"/>
        <v>-80</v>
      </c>
      <c r="AH55" s="32">
        <f t="shared" ref="AH55:AH64" si="43">$AH$53*(1+(AG55/100))</f>
        <v>23.499999999999996</v>
      </c>
      <c r="AI55" s="31">
        <v>628365.45511215122</v>
      </c>
      <c r="AJ55" s="36">
        <f t="shared" ref="AJ55:AJ64" si="44">100*((AI55-$AI$59)/$AI$59)</f>
        <v>0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</row>
    <row r="56" spans="1:51" ht="15.75" customHeight="1" x14ac:dyDescent="0.25">
      <c r="A56" s="2"/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SUM(Q49:R49)</f>
        <v>29829.375656737921</v>
      </c>
      <c r="Q56" s="2" t="s">
        <v>3</v>
      </c>
      <c r="R56" s="52">
        <f t="shared" si="42"/>
        <v>4.2399578776651917E-2</v>
      </c>
      <c r="S56" s="2" t="s">
        <v>4</v>
      </c>
      <c r="T56" s="2"/>
      <c r="U56" s="2"/>
      <c r="V56" s="51"/>
      <c r="W56" s="2"/>
      <c r="X56" s="35"/>
      <c r="Y56" s="35"/>
      <c r="Z56" s="51"/>
      <c r="AA56" s="35"/>
      <c r="AB56" s="28">
        <f t="shared" si="38"/>
        <v>-30</v>
      </c>
      <c r="AC56" s="32">
        <f t="shared" si="39"/>
        <v>17256.183839999998</v>
      </c>
      <c r="AD56" s="31">
        <v>571259.30761139572</v>
      </c>
      <c r="AE56" s="36">
        <f t="shared" si="40"/>
        <v>-9.088046937679465</v>
      </c>
      <c r="AF56" s="2"/>
      <c r="AG56" s="28">
        <f t="shared" si="41"/>
        <v>-60</v>
      </c>
      <c r="AH56" s="32">
        <f t="shared" si="43"/>
        <v>47</v>
      </c>
      <c r="AI56" s="31">
        <v>628365.45511215122</v>
      </c>
      <c r="AJ56" s="36">
        <f t="shared" si="44"/>
        <v>0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</row>
    <row r="57" spans="1:51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SUM(S49:T49)</f>
        <v>190470.39829112618</v>
      </c>
      <c r="Q57" s="2" t="s">
        <v>3</v>
      </c>
      <c r="R57" s="52">
        <f t="shared" si="42"/>
        <v>0.27073528959834858</v>
      </c>
      <c r="S57" s="2" t="s">
        <v>4</v>
      </c>
      <c r="T57" s="2"/>
      <c r="U57" s="2"/>
      <c r="V57" s="51"/>
      <c r="W57" s="2"/>
      <c r="X57" s="35"/>
      <c r="Y57" s="35"/>
      <c r="Z57" s="51"/>
      <c r="AA57" s="35"/>
      <c r="AB57" s="28">
        <f t="shared" si="38"/>
        <v>-20</v>
      </c>
      <c r="AC57" s="32">
        <f t="shared" si="39"/>
        <v>19721.352960000004</v>
      </c>
      <c r="AD57" s="31">
        <v>590294.69011164771</v>
      </c>
      <c r="AE57" s="36">
        <f t="shared" si="40"/>
        <v>-6.058697958452953</v>
      </c>
      <c r="AF57" s="2"/>
      <c r="AG57" s="28">
        <f>AG58-20</f>
        <v>-40</v>
      </c>
      <c r="AH57" s="32">
        <f t="shared" si="43"/>
        <v>70.5</v>
      </c>
      <c r="AI57" s="31">
        <v>628365.45511215122</v>
      </c>
      <c r="AJ57" s="36">
        <f t="shared" si="44"/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</row>
    <row r="58" spans="1:51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125</v>
      </c>
      <c r="P58" s="23">
        <f>SUM(U49:V49)</f>
        <v>0</v>
      </c>
      <c r="Q58" s="2" t="s">
        <v>3</v>
      </c>
      <c r="R58" s="52">
        <f t="shared" si="42"/>
        <v>0</v>
      </c>
      <c r="S58" s="2" t="s">
        <v>4</v>
      </c>
      <c r="T58" s="2"/>
      <c r="U58" s="2"/>
      <c r="V58" s="51"/>
      <c r="W58" s="2"/>
      <c r="X58" s="35"/>
      <c r="Y58" s="35"/>
      <c r="Z58" s="51"/>
      <c r="AA58" s="35"/>
      <c r="AB58" s="28">
        <f t="shared" si="38"/>
        <v>-10</v>
      </c>
      <c r="AC58" s="32">
        <f t="shared" si="39"/>
        <v>22186.522080000002</v>
      </c>
      <c r="AD58" s="31">
        <v>609330.07261189935</v>
      </c>
      <c r="AE58" s="36">
        <f t="shared" si="40"/>
        <v>-3.0293489792264947</v>
      </c>
      <c r="AF58" s="2"/>
      <c r="AG58" s="28">
        <f>AG59-20</f>
        <v>-20</v>
      </c>
      <c r="AH58" s="32">
        <f t="shared" si="43"/>
        <v>94</v>
      </c>
      <c r="AI58" s="31">
        <v>628365.45511215122</v>
      </c>
      <c r="AJ58" s="36">
        <f t="shared" si="44"/>
        <v>0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</row>
    <row r="59" spans="1:51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s">
        <v>126</v>
      </c>
      <c r="P59" s="23">
        <f>W49</f>
        <v>-70899.07291199264</v>
      </c>
      <c r="Q59" s="2" t="s">
        <v>3</v>
      </c>
      <c r="R59" s="52">
        <f t="shared" si="42"/>
        <v>-0.10077618994498122</v>
      </c>
      <c r="S59" s="2" t="s">
        <v>4</v>
      </c>
      <c r="T59" s="2"/>
      <c r="U59" s="2"/>
      <c r="V59" s="51"/>
      <c r="W59" s="2"/>
      <c r="X59" s="35"/>
      <c r="Y59" s="35"/>
      <c r="Z59" s="51"/>
      <c r="AA59" s="35"/>
      <c r="AB59" s="41">
        <v>0</v>
      </c>
      <c r="AC59" s="47">
        <f t="shared" si="39"/>
        <v>24651.691200000001</v>
      </c>
      <c r="AD59" s="42">
        <v>628365.45511215122</v>
      </c>
      <c r="AE59" s="62">
        <f t="shared" si="40"/>
        <v>0</v>
      </c>
      <c r="AF59" s="2"/>
      <c r="AG59" s="41">
        <v>0</v>
      </c>
      <c r="AH59" s="63">
        <f t="shared" si="43"/>
        <v>117.5</v>
      </c>
      <c r="AI59" s="42">
        <v>628365.45511215122</v>
      </c>
      <c r="AJ59" s="62">
        <f t="shared" si="44"/>
        <v>0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</row>
    <row r="60" spans="1:51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SUM(P55:P59)</f>
        <v>628365.4551121511</v>
      </c>
      <c r="Q60" s="1" t="s">
        <v>3</v>
      </c>
      <c r="R60" s="46">
        <f>SUM(R55:R59)</f>
        <v>0.89316085328578887</v>
      </c>
      <c r="S60" s="1" t="s">
        <v>4</v>
      </c>
      <c r="T60" s="1"/>
      <c r="U60" s="2"/>
      <c r="V60" s="51"/>
      <c r="W60" s="2"/>
      <c r="X60" s="35"/>
      <c r="Y60" s="35"/>
      <c r="Z60" s="51"/>
      <c r="AA60" s="35"/>
      <c r="AB60" s="28">
        <f t="shared" ref="AB60:AB64" si="45">AB59+10</f>
        <v>10</v>
      </c>
      <c r="AC60" s="32">
        <f t="shared" si="39"/>
        <v>27116.860320000003</v>
      </c>
      <c r="AD60" s="31">
        <v>647400.83761240309</v>
      </c>
      <c r="AE60" s="36">
        <f t="shared" si="40"/>
        <v>3.0293489792264947</v>
      </c>
      <c r="AF60" s="2"/>
      <c r="AG60" s="28">
        <f>AG59+20</f>
        <v>20</v>
      </c>
      <c r="AH60" s="32">
        <f t="shared" si="43"/>
        <v>141</v>
      </c>
      <c r="AI60" s="31">
        <v>628365.45511215122</v>
      </c>
      <c r="AJ60" s="36">
        <f t="shared" si="44"/>
        <v>0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</row>
    <row r="61" spans="1:51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1"/>
      <c r="W61" s="2"/>
      <c r="X61" s="35"/>
      <c r="Y61" s="35"/>
      <c r="Z61" s="51"/>
      <c r="AA61" s="35"/>
      <c r="AB61" s="28">
        <f t="shared" si="45"/>
        <v>20</v>
      </c>
      <c r="AC61" s="32">
        <f t="shared" si="39"/>
        <v>29582.029439999998</v>
      </c>
      <c r="AD61" s="31">
        <v>666436.22011265461</v>
      </c>
      <c r="AE61" s="36">
        <f t="shared" si="40"/>
        <v>6.0586979584529344</v>
      </c>
      <c r="AF61" s="2"/>
      <c r="AG61" s="28">
        <f t="shared" ref="AG61:AG64" si="46">AG60+20</f>
        <v>40</v>
      </c>
      <c r="AH61" s="32">
        <f t="shared" si="43"/>
        <v>164.5</v>
      </c>
      <c r="AI61" s="31">
        <v>628365.45511215122</v>
      </c>
      <c r="AJ61" s="36">
        <f t="shared" si="44"/>
        <v>0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</row>
    <row r="62" spans="1:51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1"/>
      <c r="W62" s="2"/>
      <c r="X62" s="35"/>
      <c r="Y62" s="35"/>
      <c r="Z62" s="51"/>
      <c r="AA62" s="35"/>
      <c r="AB62" s="28">
        <f t="shared" si="45"/>
        <v>30</v>
      </c>
      <c r="AC62" s="32">
        <f t="shared" si="39"/>
        <v>32047.198560000004</v>
      </c>
      <c r="AD62" s="31">
        <v>685471.60261290637</v>
      </c>
      <c r="AE62" s="36">
        <f t="shared" si="40"/>
        <v>9.08804693767941</v>
      </c>
      <c r="AF62" s="2"/>
      <c r="AG62" s="28">
        <f t="shared" si="46"/>
        <v>60</v>
      </c>
      <c r="AH62" s="32">
        <f t="shared" si="43"/>
        <v>188</v>
      </c>
      <c r="AI62" s="31">
        <v>628365.45511215122</v>
      </c>
      <c r="AJ62" s="36">
        <f t="shared" si="44"/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</row>
    <row r="63" spans="1:51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1"/>
      <c r="W63" s="2"/>
      <c r="X63" s="35"/>
      <c r="Y63" s="35"/>
      <c r="Z63" s="51"/>
      <c r="AA63" s="35"/>
      <c r="AB63" s="28">
        <f t="shared" si="45"/>
        <v>40</v>
      </c>
      <c r="AC63" s="32">
        <f t="shared" si="39"/>
        <v>34512.367679999996</v>
      </c>
      <c r="AD63" s="31">
        <v>704506.98511315824</v>
      </c>
      <c r="AE63" s="36">
        <f t="shared" si="40"/>
        <v>12.117395916905906</v>
      </c>
      <c r="AF63" s="2"/>
      <c r="AG63" s="28">
        <f t="shared" si="46"/>
        <v>80</v>
      </c>
      <c r="AH63" s="32">
        <f t="shared" si="43"/>
        <v>211.5</v>
      </c>
      <c r="AI63" s="31">
        <v>628365.45511215122</v>
      </c>
      <c r="AJ63" s="36">
        <f t="shared" si="44"/>
        <v>0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</row>
    <row r="64" spans="1:51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1"/>
      <c r="W64" s="2"/>
      <c r="X64" s="35"/>
      <c r="Y64" s="35"/>
      <c r="Z64" s="51"/>
      <c r="AA64" s="35"/>
      <c r="AB64" s="28">
        <f t="shared" si="45"/>
        <v>50</v>
      </c>
      <c r="AC64" s="32">
        <f t="shared" si="39"/>
        <v>36977.536800000002</v>
      </c>
      <c r="AD64" s="31">
        <v>723542.36761341011</v>
      </c>
      <c r="AE64" s="36">
        <f t="shared" si="40"/>
        <v>15.1467448961324</v>
      </c>
      <c r="AF64" s="2"/>
      <c r="AG64" s="28">
        <f t="shared" si="46"/>
        <v>100</v>
      </c>
      <c r="AH64" s="32">
        <f t="shared" si="43"/>
        <v>235</v>
      </c>
      <c r="AI64" s="31">
        <v>628365.45511215122</v>
      </c>
      <c r="AJ64" s="36">
        <f t="shared" si="44"/>
        <v>0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</row>
    <row r="65" spans="1:51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1"/>
      <c r="W65" s="2"/>
      <c r="X65" s="35"/>
      <c r="Y65" s="35"/>
      <c r="Z65" s="51"/>
      <c r="AA65" s="35"/>
      <c r="AB65" s="2"/>
      <c r="AC65" s="2"/>
      <c r="AD65" s="2"/>
      <c r="AE65" s="2"/>
      <c r="AF65" s="2"/>
      <c r="AG65" s="2"/>
      <c r="AH65" s="19"/>
      <c r="AI65" s="6"/>
      <c r="AJ65" s="53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</row>
    <row r="66" spans="1:51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1"/>
      <c r="W66" s="2"/>
      <c r="X66" s="35"/>
      <c r="Y66" s="35"/>
      <c r="Z66" s="51"/>
      <c r="AA66" s="35"/>
      <c r="AB66" s="27" t="s">
        <v>197</v>
      </c>
      <c r="AC66" s="28"/>
      <c r="AD66" s="28"/>
      <c r="AE66" s="28"/>
      <c r="AF66" s="2"/>
      <c r="AG66" s="2"/>
      <c r="AH66" s="19"/>
      <c r="AI66" s="6"/>
      <c r="AJ66" s="53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</row>
    <row r="67" spans="1:51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1"/>
      <c r="W67" s="2"/>
      <c r="X67" s="35"/>
      <c r="Y67" s="35"/>
      <c r="Z67" s="51"/>
      <c r="AA67" s="35"/>
      <c r="AB67" s="28" t="s">
        <v>80</v>
      </c>
      <c r="AC67" s="28" t="s">
        <v>197</v>
      </c>
      <c r="AD67" s="28" t="s">
        <v>23</v>
      </c>
      <c r="AE67" s="28" t="s">
        <v>82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</row>
    <row r="68" spans="1:51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1"/>
      <c r="W68" s="2"/>
      <c r="X68" s="35"/>
      <c r="Y68" s="35"/>
      <c r="Z68" s="51"/>
      <c r="AA68" s="35"/>
      <c r="AB68" s="28" t="s">
        <v>86</v>
      </c>
      <c r="AC68" s="30">
        <v>0.99</v>
      </c>
      <c r="AD68" s="31">
        <f>X49</f>
        <v>628365.45511215122</v>
      </c>
      <c r="AE68" s="28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</row>
    <row r="69" spans="1:51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54"/>
      <c r="Y69" s="54"/>
      <c r="Z69" s="2"/>
      <c r="AA69" s="54"/>
      <c r="AB69" s="28">
        <f t="shared" ref="AB69:AB73" si="47">AB70-10</f>
        <v>-50</v>
      </c>
      <c r="AC69" s="30">
        <f>$AC$68*(1-(AB69/100))</f>
        <v>1.4849999999999999</v>
      </c>
      <c r="AD69" s="31">
        <f t="dataTable" ref="AD69:AD79" dt2D="0" dtr="0" r1="J17"/>
        <v>643280.14294052019</v>
      </c>
      <c r="AE69" s="36">
        <f>100*((AD69-$AD$74)/$AD$74)</f>
        <v>2.3735690285053921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</row>
    <row r="70" spans="1:51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8">
        <f t="shared" si="47"/>
        <v>-40</v>
      </c>
      <c r="AC70" s="30">
        <f t="shared" ref="AC70:AC73" si="48">$AC$68*(1-(AB70/100))</f>
        <v>1.3859999999999999</v>
      </c>
      <c r="AD70" s="31">
        <v>640297.20537484623</v>
      </c>
      <c r="AE70" s="36">
        <f t="shared" ref="AE70:AE79" si="49">100*((AD70-$AD$74)/$AD$74)</f>
        <v>1.8988552228042879</v>
      </c>
      <c r="AF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</row>
    <row r="71" spans="1:51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8">
        <f t="shared" si="47"/>
        <v>-30</v>
      </c>
      <c r="AC71" s="30">
        <f t="shared" si="48"/>
        <v>1.2869999999999999</v>
      </c>
      <c r="AD71" s="31">
        <v>637314.26780917239</v>
      </c>
      <c r="AE71" s="36">
        <f t="shared" si="49"/>
        <v>1.4241414171032019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</row>
    <row r="72" spans="1:51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8">
        <f t="shared" si="47"/>
        <v>-20</v>
      </c>
      <c r="AC72" s="30">
        <f t="shared" si="48"/>
        <v>1.1879999999999999</v>
      </c>
      <c r="AD72" s="31">
        <v>634331.33024349879</v>
      </c>
      <c r="AE72" s="36">
        <f t="shared" si="49"/>
        <v>0.94942761140215315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</row>
    <row r="73" spans="1:51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8">
        <f t="shared" si="47"/>
        <v>-10</v>
      </c>
      <c r="AC73" s="30">
        <f t="shared" si="48"/>
        <v>1.089</v>
      </c>
      <c r="AD73" s="31">
        <v>631348.39267782483</v>
      </c>
      <c r="AE73" s="36">
        <f t="shared" si="49"/>
        <v>0.47471380570104882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</row>
    <row r="74" spans="1:51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41">
        <v>0</v>
      </c>
      <c r="AC74" s="60">
        <f t="shared" ref="AC74" si="50">$AC$68*(1+(AB74/100))</f>
        <v>0.99</v>
      </c>
      <c r="AD74" s="42">
        <v>628365.45511215122</v>
      </c>
      <c r="AE74" s="62">
        <f t="shared" si="49"/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</row>
    <row r="75" spans="1:51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8">
        <f t="shared" ref="AB75:AB79" si="51">AB74+10</f>
        <v>10</v>
      </c>
      <c r="AC75" s="30">
        <f t="shared" ref="AC75:AC79" si="52">$AC$68*(1-(AB75/100))</f>
        <v>0.89100000000000001</v>
      </c>
      <c r="AD75" s="31">
        <v>625382.51754647726</v>
      </c>
      <c r="AE75" s="36">
        <f t="shared" si="49"/>
        <v>-0.47471380570110433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</row>
    <row r="76" spans="1:51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8">
        <f t="shared" si="51"/>
        <v>20</v>
      </c>
      <c r="AC76" s="30">
        <f t="shared" si="52"/>
        <v>0.79200000000000004</v>
      </c>
      <c r="AD76" s="31">
        <v>622399.57998080342</v>
      </c>
      <c r="AE76" s="36">
        <f t="shared" si="49"/>
        <v>-0.94942761140219023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</row>
    <row r="77" spans="1:51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8">
        <f t="shared" si="51"/>
        <v>30</v>
      </c>
      <c r="AC77" s="30">
        <f t="shared" si="52"/>
        <v>0.69299999999999995</v>
      </c>
      <c r="AD77" s="31">
        <v>619416.6424151297</v>
      </c>
      <c r="AE77" s="36">
        <f t="shared" si="49"/>
        <v>-1.4241414171032574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</row>
    <row r="78" spans="1:51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8">
        <f t="shared" si="51"/>
        <v>40</v>
      </c>
      <c r="AC78" s="30">
        <f t="shared" si="52"/>
        <v>0.59399999999999997</v>
      </c>
      <c r="AD78" s="31">
        <v>616433.70484945597</v>
      </c>
      <c r="AE78" s="36">
        <f t="shared" si="49"/>
        <v>-1.8988552228043247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</row>
    <row r="79" spans="1:51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8">
        <f t="shared" si="51"/>
        <v>50</v>
      </c>
      <c r="AC79" s="30">
        <f t="shared" si="52"/>
        <v>0.495</v>
      </c>
      <c r="AD79" s="31">
        <v>613450.76728378201</v>
      </c>
      <c r="AE79" s="36">
        <f t="shared" si="49"/>
        <v>-2.3735690285054289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</row>
    <row r="80" spans="1:51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</row>
    <row r="81" spans="1:51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</row>
    <row r="82" spans="1:51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</row>
    <row r="83" spans="1:51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</row>
    <row r="84" spans="1:51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</row>
    <row r="85" spans="1:51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</row>
    <row r="86" spans="1:51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</row>
    <row r="87" spans="1:51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1:51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</row>
    <row r="89" spans="1:51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</row>
    <row r="90" spans="1:51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</row>
    <row r="91" spans="1:51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</row>
    <row r="92" spans="1:51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</row>
    <row r="93" spans="1:51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</row>
    <row r="94" spans="1:51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</row>
    <row r="95" spans="1:51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</row>
    <row r="96" spans="1:51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</row>
    <row r="97" spans="1:51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</row>
    <row r="98" spans="1:51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</row>
    <row r="99" spans="1:51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</row>
    <row r="100" spans="1:51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1:51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1:51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1:51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1:51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1:51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1:51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1:51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1:51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1:51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1:51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1:51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1:51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1:51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</row>
    <row r="176" spans="1:51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</row>
    <row r="177" spans="1:51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</row>
    <row r="178" spans="1:51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</row>
    <row r="179" spans="1:51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</row>
    <row r="180" spans="1:51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</row>
    <row r="181" spans="1:51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</row>
    <row r="182" spans="1:51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</row>
    <row r="183" spans="1:51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</row>
    <row r="184" spans="1:51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</row>
    <row r="185" spans="1:51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</row>
    <row r="186" spans="1:51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</row>
    <row r="187" spans="1:51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</row>
    <row r="188" spans="1:51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</row>
    <row r="189" spans="1:51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</row>
    <row r="190" spans="1:51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</row>
    <row r="191" spans="1:51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</row>
    <row r="192" spans="1:51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</row>
    <row r="193" spans="1:51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</row>
    <row r="194" spans="1:51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5" spans="1:51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</row>
    <row r="196" spans="1:51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</row>
    <row r="197" spans="1:51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</row>
    <row r="198" spans="1:51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</row>
    <row r="199" spans="1:51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</row>
    <row r="200" spans="1:51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</row>
    <row r="201" spans="1:51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</row>
    <row r="202" spans="1:51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</row>
    <row r="203" spans="1:51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</row>
    <row r="204" spans="1:51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</row>
    <row r="205" spans="1:51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</row>
    <row r="206" spans="1:51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</row>
    <row r="207" spans="1:51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</row>
    <row r="208" spans="1:51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</row>
    <row r="209" spans="1:51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</row>
    <row r="210" spans="1:51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</row>
    <row r="211" spans="1:51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</row>
    <row r="212" spans="1:51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</row>
    <row r="213" spans="1:51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</row>
    <row r="214" spans="1:51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</row>
    <row r="215" spans="1:51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</row>
    <row r="216" spans="1:51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</row>
    <row r="217" spans="1:51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</row>
    <row r="218" spans="1:51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</row>
    <row r="219" spans="1:51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</row>
    <row r="220" spans="1:51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</row>
    <row r="221" spans="1:51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</row>
    <row r="222" spans="1:51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spans="1:51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spans="1:51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spans="1:51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</row>
    <row r="226" spans="1:51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</row>
    <row r="227" spans="1:51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</row>
    <row r="228" spans="1:51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</row>
    <row r="229" spans="1:51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</row>
    <row r="230" spans="1:51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</row>
    <row r="231" spans="1:51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</row>
    <row r="232" spans="1:51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</row>
    <row r="233" spans="1:51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</row>
    <row r="234" spans="1:51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</row>
    <row r="235" spans="1:51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spans="1:51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spans="1:51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</row>
    <row r="238" spans="1:51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</row>
    <row r="239" spans="1:51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</row>
    <row r="240" spans="1:51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</row>
    <row r="241" spans="1:51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spans="1:51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spans="1:51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</row>
    <row r="244" spans="1:51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</row>
    <row r="245" spans="1:51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</row>
    <row r="246" spans="1:51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</row>
    <row r="247" spans="1:51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</row>
    <row r="248" spans="1:51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</row>
    <row r="249" spans="1:51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</row>
    <row r="250" spans="1:51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</row>
    <row r="251" spans="1:51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</row>
    <row r="252" spans="1:51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</row>
    <row r="253" spans="1:51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</row>
    <row r="254" spans="1:51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</row>
    <row r="255" spans="1:51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</row>
    <row r="256" spans="1:51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</row>
    <row r="257" spans="1:51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</row>
    <row r="258" spans="1:51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</row>
    <row r="259" spans="1:51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</row>
    <row r="260" spans="1:51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</row>
    <row r="261" spans="1:51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</row>
    <row r="262" spans="1:51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</row>
    <row r="263" spans="1:51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</row>
    <row r="264" spans="1:51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</row>
    <row r="265" spans="1:51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</row>
    <row r="266" spans="1:51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</row>
    <row r="267" spans="1:51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</row>
    <row r="268" spans="1:51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</row>
    <row r="269" spans="1:51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</row>
    <row r="270" spans="1:51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</row>
    <row r="271" spans="1:51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</row>
    <row r="272" spans="1:51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</row>
    <row r="273" spans="1:51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</row>
    <row r="274" spans="1:51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</row>
    <row r="275" spans="1:51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</row>
    <row r="276" spans="1:51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</row>
    <row r="277" spans="1:51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</row>
    <row r="278" spans="1:51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</row>
    <row r="279" spans="1:51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</row>
    <row r="280" spans="1:51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</row>
    <row r="281" spans="1:51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</row>
    <row r="282" spans="1:51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</row>
    <row r="283" spans="1:51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</row>
    <row r="284" spans="1:51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</row>
    <row r="285" spans="1:51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</row>
    <row r="286" spans="1:51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</row>
    <row r="287" spans="1:51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</row>
    <row r="288" spans="1:51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</row>
    <row r="289" spans="1:51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</row>
    <row r="290" spans="1:51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</row>
    <row r="291" spans="1:51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</row>
    <row r="292" spans="1:51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</row>
    <row r="293" spans="1:51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</row>
    <row r="294" spans="1:51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</row>
    <row r="295" spans="1:51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</row>
    <row r="296" spans="1:51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</row>
    <row r="297" spans="1:51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</row>
    <row r="298" spans="1:51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</row>
    <row r="299" spans="1:51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</row>
    <row r="300" spans="1:51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</row>
    <row r="301" spans="1:51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</row>
    <row r="302" spans="1:51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</row>
    <row r="303" spans="1:51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</row>
    <row r="304" spans="1:51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</row>
    <row r="305" spans="1:51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</row>
    <row r="306" spans="1:51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</row>
    <row r="307" spans="1:51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</row>
    <row r="308" spans="1:51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</row>
    <row r="309" spans="1:51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</row>
    <row r="310" spans="1:51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</row>
    <row r="311" spans="1:51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</row>
    <row r="312" spans="1:51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</row>
    <row r="313" spans="1:51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</row>
    <row r="314" spans="1:51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</row>
    <row r="315" spans="1:51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</row>
    <row r="316" spans="1:51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</row>
    <row r="317" spans="1:51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</row>
    <row r="318" spans="1:51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</row>
    <row r="319" spans="1:51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</row>
    <row r="320" spans="1:51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</row>
    <row r="321" spans="1:51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</row>
    <row r="322" spans="1:51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</row>
    <row r="323" spans="1:51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</row>
    <row r="324" spans="1:51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</row>
    <row r="325" spans="1:51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</row>
    <row r="326" spans="1:51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</row>
    <row r="327" spans="1:51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</row>
    <row r="328" spans="1:51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</row>
    <row r="329" spans="1:51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</row>
    <row r="330" spans="1:51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</row>
    <row r="331" spans="1:51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</row>
    <row r="332" spans="1:51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</row>
    <row r="333" spans="1:51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</row>
    <row r="334" spans="1:51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</row>
    <row r="335" spans="1:51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</row>
    <row r="336" spans="1:51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</row>
    <row r="337" spans="1:51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</row>
    <row r="338" spans="1:51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</row>
    <row r="339" spans="1:51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</row>
    <row r="340" spans="1:51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</row>
    <row r="341" spans="1:51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</row>
    <row r="342" spans="1:51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</row>
    <row r="343" spans="1:51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</row>
    <row r="344" spans="1:51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</row>
    <row r="345" spans="1:51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</row>
    <row r="346" spans="1:51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</row>
    <row r="347" spans="1:51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</row>
    <row r="348" spans="1:51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</row>
    <row r="349" spans="1:51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</row>
    <row r="350" spans="1:51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</row>
    <row r="351" spans="1:51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</row>
    <row r="352" spans="1:51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</row>
    <row r="353" spans="1:51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</row>
    <row r="354" spans="1:51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</row>
    <row r="355" spans="1:51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</row>
    <row r="356" spans="1:51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</row>
    <row r="357" spans="1:51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</row>
    <row r="358" spans="1:51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</row>
    <row r="359" spans="1:51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</row>
    <row r="360" spans="1:51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</row>
    <row r="361" spans="1:51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</row>
    <row r="362" spans="1:51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</row>
    <row r="363" spans="1:51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</row>
    <row r="364" spans="1:51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</row>
    <row r="365" spans="1:51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</row>
    <row r="366" spans="1:51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</row>
    <row r="367" spans="1:51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</row>
    <row r="368" spans="1:51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</row>
    <row r="369" spans="1:51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</row>
    <row r="370" spans="1:51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</row>
    <row r="371" spans="1:51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</row>
    <row r="372" spans="1:51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</row>
    <row r="373" spans="1:51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</row>
    <row r="374" spans="1:51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</row>
    <row r="375" spans="1:51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</row>
    <row r="376" spans="1:51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</row>
    <row r="377" spans="1:51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</row>
    <row r="378" spans="1:51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</row>
    <row r="379" spans="1:51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</row>
    <row r="380" spans="1:51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</row>
    <row r="381" spans="1:51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</row>
    <row r="382" spans="1:51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</row>
    <row r="383" spans="1:51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</row>
    <row r="384" spans="1:51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</row>
    <row r="385" spans="1:51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</row>
    <row r="386" spans="1:51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</row>
    <row r="387" spans="1:51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</row>
    <row r="388" spans="1:51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</row>
    <row r="389" spans="1:51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</row>
    <row r="390" spans="1:51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</row>
    <row r="391" spans="1:51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</row>
    <row r="392" spans="1:51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</row>
    <row r="393" spans="1:51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</row>
    <row r="394" spans="1:51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</row>
    <row r="395" spans="1:51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</row>
    <row r="396" spans="1:51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</row>
    <row r="397" spans="1:51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</row>
    <row r="398" spans="1:51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</row>
    <row r="399" spans="1:51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</row>
    <row r="400" spans="1:51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</row>
    <row r="401" spans="1:51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</row>
    <row r="402" spans="1:51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</row>
    <row r="403" spans="1:51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</row>
    <row r="404" spans="1:51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</row>
    <row r="405" spans="1:51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</row>
    <row r="406" spans="1:51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</row>
    <row r="407" spans="1:51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</row>
    <row r="408" spans="1:51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</row>
    <row r="409" spans="1:51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</row>
    <row r="410" spans="1:51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</row>
    <row r="411" spans="1:51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</row>
    <row r="412" spans="1:51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</row>
    <row r="413" spans="1:51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</row>
    <row r="414" spans="1:51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</row>
    <row r="415" spans="1:51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</row>
    <row r="416" spans="1:51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</row>
    <row r="417" spans="1:51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</row>
    <row r="418" spans="1:51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</row>
    <row r="419" spans="1:51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</row>
    <row r="420" spans="1:51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</row>
    <row r="421" spans="1:51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</row>
    <row r="422" spans="1:51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</row>
    <row r="423" spans="1:51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</row>
    <row r="424" spans="1:51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</row>
    <row r="425" spans="1:51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</row>
    <row r="426" spans="1:51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</row>
    <row r="427" spans="1:51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</row>
    <row r="428" spans="1:51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</row>
    <row r="429" spans="1:51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</row>
    <row r="430" spans="1:51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</row>
    <row r="431" spans="1:51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</row>
    <row r="432" spans="1:51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</row>
    <row r="433" spans="1:51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</row>
    <row r="434" spans="1:51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</row>
    <row r="435" spans="1:51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</row>
    <row r="436" spans="1:51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</row>
    <row r="437" spans="1:51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</row>
    <row r="438" spans="1:51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</row>
    <row r="439" spans="1:51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</row>
    <row r="440" spans="1:51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</row>
    <row r="441" spans="1:51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</row>
    <row r="442" spans="1:51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</row>
    <row r="443" spans="1:51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</row>
    <row r="444" spans="1:51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</row>
    <row r="445" spans="1:51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</row>
    <row r="446" spans="1:51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</row>
    <row r="447" spans="1:51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</row>
    <row r="448" spans="1:51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</row>
    <row r="449" spans="1:51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</row>
    <row r="450" spans="1:51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</row>
    <row r="451" spans="1:51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</row>
    <row r="452" spans="1:51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</row>
    <row r="453" spans="1:51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</row>
    <row r="454" spans="1:51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</row>
    <row r="455" spans="1:51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</row>
    <row r="456" spans="1:51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</row>
    <row r="457" spans="1:51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</row>
    <row r="458" spans="1:51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</row>
    <row r="459" spans="1:51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</row>
    <row r="460" spans="1:51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</row>
    <row r="461" spans="1:51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</row>
    <row r="462" spans="1:51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</row>
    <row r="463" spans="1:51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</row>
    <row r="464" spans="1:51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</row>
    <row r="465" spans="1:51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</row>
    <row r="466" spans="1:51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</row>
    <row r="467" spans="1:51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</row>
    <row r="468" spans="1:51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</row>
    <row r="469" spans="1:51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</row>
    <row r="470" spans="1:51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</row>
    <row r="471" spans="1:51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</row>
    <row r="472" spans="1:51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</row>
    <row r="473" spans="1:51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</row>
    <row r="474" spans="1:51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</row>
    <row r="475" spans="1:51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</row>
    <row r="476" spans="1:51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</row>
    <row r="477" spans="1:51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</row>
    <row r="478" spans="1:51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</row>
    <row r="479" spans="1:51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</row>
    <row r="480" spans="1:51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</row>
    <row r="481" spans="1:51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</row>
    <row r="482" spans="1:51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</row>
    <row r="483" spans="1:51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</row>
    <row r="484" spans="1:51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</row>
    <row r="485" spans="1:51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</row>
    <row r="486" spans="1:51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</row>
    <row r="487" spans="1:51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</row>
    <row r="488" spans="1:51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</row>
    <row r="489" spans="1:51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</row>
    <row r="490" spans="1:51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</row>
    <row r="491" spans="1:51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</row>
    <row r="492" spans="1:51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</row>
    <row r="493" spans="1:51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</row>
    <row r="494" spans="1:51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</row>
    <row r="495" spans="1:51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</row>
    <row r="496" spans="1:51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</row>
    <row r="497" spans="1:51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</row>
    <row r="498" spans="1:51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</row>
    <row r="499" spans="1:51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</row>
    <row r="500" spans="1:51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</row>
    <row r="501" spans="1:51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</row>
    <row r="502" spans="1:51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</row>
    <row r="503" spans="1:51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</row>
    <row r="504" spans="1:51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</row>
    <row r="505" spans="1:51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</row>
    <row r="506" spans="1:51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</row>
    <row r="507" spans="1:51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</row>
    <row r="508" spans="1:51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</row>
    <row r="509" spans="1:51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</row>
    <row r="510" spans="1:51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</row>
    <row r="511" spans="1:51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</row>
    <row r="512" spans="1:51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</row>
    <row r="513" spans="1:51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</row>
    <row r="514" spans="1:51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</row>
    <row r="515" spans="1:51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</row>
    <row r="516" spans="1:51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</row>
    <row r="517" spans="1:51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</row>
    <row r="518" spans="1:51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</row>
    <row r="519" spans="1:51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</row>
    <row r="520" spans="1:51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</row>
    <row r="521" spans="1:51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</row>
    <row r="522" spans="1:51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</row>
    <row r="523" spans="1:51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</row>
    <row r="524" spans="1:51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</row>
    <row r="525" spans="1:51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</row>
    <row r="526" spans="1:51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</row>
    <row r="527" spans="1:51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</row>
    <row r="528" spans="1:51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</row>
    <row r="529" spans="1:51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</row>
    <row r="530" spans="1:51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</row>
    <row r="531" spans="1:51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</row>
    <row r="532" spans="1:51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</row>
    <row r="533" spans="1:51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</row>
    <row r="534" spans="1:51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</row>
    <row r="535" spans="1:51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</row>
    <row r="536" spans="1:51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</row>
    <row r="537" spans="1:51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</row>
    <row r="538" spans="1:51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</row>
    <row r="539" spans="1:51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</row>
    <row r="540" spans="1:51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</row>
    <row r="541" spans="1:51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</row>
    <row r="542" spans="1:51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</row>
    <row r="543" spans="1:51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</row>
    <row r="544" spans="1:51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</row>
    <row r="545" spans="1:51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</row>
    <row r="546" spans="1:51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</row>
    <row r="547" spans="1:51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</row>
    <row r="548" spans="1:51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</row>
    <row r="549" spans="1:51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</row>
    <row r="550" spans="1:51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</row>
    <row r="551" spans="1:51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</row>
    <row r="552" spans="1:51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</row>
    <row r="553" spans="1:51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</row>
    <row r="554" spans="1:51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</row>
    <row r="555" spans="1:51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</row>
    <row r="556" spans="1:51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</row>
    <row r="557" spans="1:51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</row>
    <row r="558" spans="1:51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</row>
    <row r="559" spans="1:51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</row>
    <row r="560" spans="1:51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</row>
    <row r="561" spans="1:51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</row>
    <row r="562" spans="1:51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</row>
    <row r="563" spans="1:51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</row>
    <row r="564" spans="1:51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</row>
    <row r="565" spans="1:51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</row>
    <row r="566" spans="1:51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</row>
    <row r="567" spans="1:51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</row>
    <row r="568" spans="1:51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</row>
    <row r="569" spans="1:51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</row>
    <row r="570" spans="1:51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</row>
    <row r="571" spans="1:51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</row>
    <row r="572" spans="1:51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</row>
    <row r="573" spans="1:51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</row>
    <row r="574" spans="1:51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</row>
    <row r="575" spans="1:51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</row>
    <row r="576" spans="1:51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</row>
    <row r="577" spans="1:51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</row>
    <row r="578" spans="1:51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</row>
    <row r="579" spans="1:51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</row>
    <row r="580" spans="1:51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</row>
    <row r="581" spans="1:51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</row>
    <row r="582" spans="1:51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</row>
    <row r="583" spans="1:51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</row>
    <row r="584" spans="1:51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</row>
    <row r="585" spans="1:51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</row>
    <row r="586" spans="1:51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</row>
    <row r="587" spans="1:51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</row>
    <row r="588" spans="1:51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</row>
    <row r="589" spans="1:51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</row>
    <row r="590" spans="1:51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</row>
    <row r="591" spans="1:51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</row>
    <row r="592" spans="1:51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</row>
    <row r="593" spans="1:51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</row>
    <row r="594" spans="1:51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</row>
    <row r="595" spans="1:51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</row>
    <row r="596" spans="1:51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</row>
    <row r="597" spans="1:51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</row>
    <row r="598" spans="1:51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</row>
    <row r="599" spans="1:51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</row>
    <row r="600" spans="1:51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</row>
    <row r="601" spans="1:51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</row>
    <row r="602" spans="1:51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</row>
    <row r="603" spans="1:51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</row>
    <row r="604" spans="1:51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</row>
    <row r="605" spans="1:51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</row>
    <row r="606" spans="1:51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</row>
    <row r="607" spans="1:51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</row>
    <row r="608" spans="1:51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</row>
    <row r="609" spans="1:51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</row>
    <row r="610" spans="1:51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</row>
    <row r="611" spans="1:51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</row>
    <row r="612" spans="1:51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</row>
    <row r="613" spans="1:51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</row>
    <row r="614" spans="1:51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</row>
    <row r="615" spans="1:51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</row>
    <row r="616" spans="1:51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</row>
    <row r="617" spans="1:51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</row>
    <row r="618" spans="1:51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</row>
    <row r="619" spans="1:51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</row>
    <row r="620" spans="1:51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</row>
    <row r="621" spans="1:51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</row>
    <row r="622" spans="1:51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</row>
    <row r="623" spans="1:51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</row>
    <row r="624" spans="1:51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</row>
    <row r="625" spans="1:51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</row>
    <row r="626" spans="1:51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</row>
    <row r="627" spans="1:51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</row>
    <row r="628" spans="1:51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</row>
    <row r="629" spans="1:51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</row>
    <row r="630" spans="1:51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</row>
    <row r="631" spans="1:51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</row>
    <row r="632" spans="1:51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</row>
    <row r="633" spans="1:51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</row>
    <row r="634" spans="1:51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</row>
    <row r="635" spans="1:51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</row>
    <row r="636" spans="1:51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</row>
    <row r="637" spans="1:51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</row>
    <row r="638" spans="1:51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</row>
    <row r="639" spans="1:51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</row>
    <row r="640" spans="1:51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</row>
    <row r="641" spans="1:51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</row>
    <row r="642" spans="1:51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</row>
    <row r="643" spans="1:51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</row>
    <row r="644" spans="1:51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</row>
    <row r="645" spans="1:51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</row>
    <row r="646" spans="1:51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</row>
    <row r="647" spans="1:51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</row>
    <row r="648" spans="1:51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</row>
    <row r="649" spans="1:51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</row>
    <row r="650" spans="1:51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</row>
    <row r="651" spans="1:51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</row>
    <row r="652" spans="1:51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</row>
    <row r="653" spans="1:51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</row>
    <row r="654" spans="1:51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</row>
    <row r="655" spans="1:51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</row>
    <row r="656" spans="1:51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</row>
    <row r="657" spans="1:51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</row>
    <row r="658" spans="1:51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</row>
    <row r="659" spans="1:51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</row>
    <row r="660" spans="1:51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</row>
    <row r="661" spans="1:51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</row>
    <row r="662" spans="1:51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</row>
    <row r="663" spans="1:51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</row>
    <row r="664" spans="1:51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</row>
    <row r="665" spans="1:51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</row>
    <row r="666" spans="1:51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</row>
    <row r="667" spans="1:51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</row>
    <row r="668" spans="1:51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</row>
    <row r="669" spans="1:51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</row>
    <row r="670" spans="1:51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</row>
    <row r="671" spans="1:51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</row>
    <row r="672" spans="1:51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</row>
    <row r="673" spans="1:51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</row>
    <row r="674" spans="1:51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</row>
    <row r="675" spans="1:51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</row>
    <row r="676" spans="1:51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</row>
    <row r="677" spans="1:51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</row>
    <row r="678" spans="1:51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</row>
    <row r="679" spans="1:51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</row>
    <row r="680" spans="1:51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</row>
    <row r="681" spans="1:51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</row>
    <row r="682" spans="1:51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</row>
    <row r="683" spans="1:51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</row>
    <row r="684" spans="1:51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</row>
    <row r="685" spans="1:51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</row>
    <row r="686" spans="1:51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</row>
    <row r="687" spans="1:51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</row>
    <row r="688" spans="1:51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</row>
    <row r="689" spans="1:51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</row>
    <row r="690" spans="1:51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</row>
    <row r="691" spans="1:51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</row>
    <row r="692" spans="1:51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</row>
    <row r="693" spans="1:51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</row>
    <row r="694" spans="1:51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</row>
    <row r="695" spans="1:51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</row>
    <row r="696" spans="1:51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</row>
    <row r="697" spans="1:51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</row>
    <row r="698" spans="1:51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</row>
    <row r="699" spans="1:51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</row>
    <row r="700" spans="1:51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</row>
    <row r="701" spans="1:51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</row>
    <row r="702" spans="1:51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</row>
    <row r="703" spans="1:51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</row>
    <row r="704" spans="1:51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</row>
    <row r="705" spans="1:51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</row>
    <row r="706" spans="1:51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</row>
    <row r="707" spans="1:51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</row>
    <row r="708" spans="1:51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</row>
    <row r="709" spans="1:51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</row>
    <row r="710" spans="1:51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</row>
    <row r="711" spans="1:51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</row>
    <row r="712" spans="1:51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</row>
    <row r="713" spans="1:51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</row>
    <row r="714" spans="1:51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</row>
    <row r="715" spans="1:51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</row>
    <row r="716" spans="1:51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</row>
    <row r="717" spans="1:51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</row>
    <row r="718" spans="1:51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</row>
    <row r="719" spans="1:51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</row>
    <row r="720" spans="1:51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</row>
    <row r="721" spans="1:51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</row>
    <row r="722" spans="1:51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</row>
    <row r="723" spans="1:51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</row>
    <row r="724" spans="1:51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</row>
    <row r="725" spans="1:51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</row>
    <row r="726" spans="1:51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</row>
    <row r="727" spans="1:51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</row>
    <row r="728" spans="1:51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</row>
    <row r="729" spans="1:51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</row>
    <row r="730" spans="1:51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</row>
    <row r="731" spans="1:51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</row>
    <row r="732" spans="1:51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</row>
    <row r="733" spans="1:51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</row>
    <row r="734" spans="1:51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</row>
    <row r="735" spans="1:51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</row>
    <row r="736" spans="1:51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</row>
    <row r="737" spans="1:51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</row>
    <row r="738" spans="1:51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</row>
    <row r="739" spans="1:51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</row>
    <row r="740" spans="1:51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</row>
    <row r="741" spans="1:51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</row>
    <row r="742" spans="1:51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</row>
    <row r="743" spans="1:51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</row>
    <row r="744" spans="1:51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</row>
    <row r="745" spans="1:51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</row>
    <row r="746" spans="1:51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</row>
    <row r="747" spans="1:51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</row>
    <row r="748" spans="1:51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</row>
    <row r="749" spans="1:51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</row>
    <row r="750" spans="1:51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</row>
    <row r="751" spans="1:51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</row>
    <row r="752" spans="1:51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</row>
    <row r="753" spans="1:51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</row>
    <row r="754" spans="1:51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</row>
    <row r="755" spans="1:51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</row>
    <row r="756" spans="1:51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</row>
    <row r="757" spans="1:51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</row>
    <row r="758" spans="1:51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</row>
    <row r="759" spans="1:51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</row>
    <row r="760" spans="1:51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</row>
    <row r="761" spans="1:51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</row>
    <row r="762" spans="1:51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</row>
    <row r="763" spans="1:51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</row>
    <row r="764" spans="1:51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</row>
    <row r="765" spans="1:51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</row>
    <row r="766" spans="1:51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</row>
    <row r="767" spans="1:51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</row>
    <row r="768" spans="1:51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</row>
    <row r="769" spans="1:51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</row>
    <row r="770" spans="1:51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</row>
    <row r="771" spans="1:51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</row>
    <row r="772" spans="1:51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</row>
    <row r="773" spans="1:51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</row>
    <row r="774" spans="1:51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</row>
    <row r="775" spans="1:51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</row>
    <row r="776" spans="1:51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</row>
    <row r="777" spans="1:51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</row>
    <row r="778" spans="1:51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</row>
    <row r="779" spans="1:51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</row>
    <row r="780" spans="1:51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</row>
    <row r="781" spans="1:51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</row>
    <row r="782" spans="1:51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</row>
    <row r="783" spans="1:51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</row>
    <row r="784" spans="1:51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</row>
    <row r="785" spans="1:51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</row>
    <row r="786" spans="1:51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</row>
    <row r="787" spans="1:51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</row>
    <row r="788" spans="1:51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</row>
    <row r="789" spans="1:51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</row>
    <row r="790" spans="1:51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</row>
    <row r="791" spans="1:51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</row>
    <row r="792" spans="1:51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</row>
    <row r="793" spans="1:51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</row>
    <row r="794" spans="1:51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</row>
    <row r="795" spans="1:51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</row>
    <row r="796" spans="1:51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</row>
    <row r="797" spans="1:51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</row>
    <row r="798" spans="1:51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</row>
    <row r="799" spans="1:51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</row>
    <row r="800" spans="1:51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</row>
    <row r="801" spans="1:51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</row>
    <row r="802" spans="1:51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</row>
    <row r="803" spans="1:51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</row>
    <row r="804" spans="1:51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</row>
    <row r="805" spans="1:51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</row>
    <row r="806" spans="1:51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</row>
    <row r="807" spans="1:51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</row>
    <row r="808" spans="1:51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</row>
    <row r="809" spans="1:51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</row>
    <row r="810" spans="1:51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</row>
    <row r="811" spans="1:51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</row>
    <row r="812" spans="1:51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</row>
    <row r="813" spans="1:51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</row>
    <row r="814" spans="1:51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</row>
    <row r="815" spans="1:51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</row>
    <row r="816" spans="1:51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</row>
    <row r="817" spans="1:51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</row>
    <row r="818" spans="1:51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</row>
    <row r="819" spans="1:51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</row>
    <row r="820" spans="1:51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</row>
    <row r="821" spans="1:51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</row>
    <row r="822" spans="1:51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</row>
    <row r="823" spans="1:51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</row>
    <row r="824" spans="1:51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</row>
    <row r="825" spans="1:51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</row>
    <row r="826" spans="1:51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</row>
    <row r="827" spans="1:51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</row>
    <row r="828" spans="1:51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</row>
    <row r="829" spans="1:51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</row>
    <row r="830" spans="1:51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</row>
    <row r="831" spans="1:51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</row>
    <row r="832" spans="1:51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</row>
    <row r="833" spans="1:51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</row>
    <row r="834" spans="1:51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</row>
    <row r="835" spans="1:51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</row>
    <row r="836" spans="1:51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</row>
    <row r="837" spans="1:51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</row>
    <row r="838" spans="1:51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</row>
    <row r="839" spans="1:51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</row>
    <row r="840" spans="1:51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</row>
    <row r="841" spans="1:51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</row>
    <row r="842" spans="1:51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</row>
    <row r="843" spans="1:51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</row>
    <row r="844" spans="1:51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</row>
    <row r="845" spans="1:51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</row>
    <row r="846" spans="1:51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</row>
    <row r="847" spans="1:51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</row>
    <row r="848" spans="1:51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</row>
    <row r="849" spans="1:51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</row>
    <row r="850" spans="1:51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</row>
    <row r="851" spans="1:51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</row>
    <row r="852" spans="1:51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</row>
    <row r="853" spans="1:51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</row>
    <row r="854" spans="1:51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</row>
    <row r="855" spans="1:51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</row>
    <row r="856" spans="1:51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</row>
    <row r="857" spans="1:51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</row>
    <row r="858" spans="1:51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</row>
    <row r="859" spans="1:51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</row>
    <row r="860" spans="1:51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</row>
    <row r="861" spans="1:51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</row>
    <row r="862" spans="1:51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</row>
    <row r="863" spans="1:51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</row>
    <row r="864" spans="1:51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</row>
    <row r="865" spans="1:51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</row>
    <row r="866" spans="1:51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</row>
    <row r="867" spans="1:51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</row>
    <row r="868" spans="1:51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</row>
    <row r="869" spans="1:51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</row>
    <row r="870" spans="1:51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</row>
    <row r="871" spans="1:51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</row>
    <row r="872" spans="1:51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</row>
    <row r="873" spans="1:51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</row>
    <row r="874" spans="1:51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</row>
    <row r="875" spans="1:51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</row>
    <row r="876" spans="1:51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</row>
    <row r="877" spans="1:51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</row>
    <row r="878" spans="1:51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</row>
    <row r="879" spans="1:51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</row>
    <row r="880" spans="1:51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</row>
    <row r="881" spans="1:51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</row>
    <row r="882" spans="1:51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</row>
    <row r="883" spans="1:51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</row>
    <row r="884" spans="1:51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</row>
    <row r="885" spans="1:51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</row>
    <row r="886" spans="1:51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</row>
    <row r="887" spans="1:51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</row>
    <row r="888" spans="1:51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</row>
    <row r="889" spans="1:51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</row>
    <row r="890" spans="1:51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</row>
    <row r="891" spans="1:51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</row>
    <row r="892" spans="1:51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</row>
    <row r="893" spans="1:51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</row>
    <row r="894" spans="1:51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</row>
    <row r="895" spans="1:51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</row>
    <row r="896" spans="1:51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</row>
    <row r="897" spans="1:51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</row>
    <row r="898" spans="1:51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</row>
    <row r="899" spans="1:51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</row>
    <row r="900" spans="1:51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</row>
    <row r="901" spans="1:51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</row>
    <row r="902" spans="1:51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</row>
    <row r="903" spans="1:51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</row>
    <row r="904" spans="1:51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</row>
    <row r="905" spans="1:51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</row>
    <row r="906" spans="1:51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</row>
    <row r="907" spans="1:51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</row>
    <row r="908" spans="1:51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</row>
    <row r="909" spans="1:51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</row>
    <row r="910" spans="1:51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</row>
    <row r="911" spans="1:51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</row>
    <row r="912" spans="1:51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</row>
    <row r="913" spans="1:51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</row>
    <row r="914" spans="1:51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</row>
    <row r="915" spans="1:51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</row>
    <row r="916" spans="1:51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</row>
    <row r="917" spans="1:51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</row>
    <row r="918" spans="1:51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</row>
    <row r="919" spans="1:51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</row>
    <row r="920" spans="1:51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</row>
    <row r="921" spans="1:51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</row>
    <row r="922" spans="1:51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</row>
    <row r="923" spans="1:51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</row>
    <row r="924" spans="1:51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</row>
    <row r="925" spans="1:51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</row>
    <row r="926" spans="1:51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</row>
    <row r="927" spans="1:51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</row>
    <row r="928" spans="1:51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</row>
    <row r="929" spans="1:51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</row>
    <row r="930" spans="1:51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</row>
    <row r="931" spans="1:51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</row>
    <row r="932" spans="1:51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</row>
    <row r="933" spans="1:51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</row>
    <row r="934" spans="1:51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</row>
    <row r="935" spans="1:51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</row>
    <row r="936" spans="1:51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</row>
    <row r="937" spans="1:51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</row>
    <row r="938" spans="1:51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</row>
    <row r="939" spans="1:51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</row>
    <row r="940" spans="1:51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</row>
    <row r="941" spans="1:51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</row>
    <row r="942" spans="1:51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</row>
    <row r="943" spans="1:51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</row>
    <row r="944" spans="1:51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</row>
    <row r="945" spans="1:51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</row>
    <row r="946" spans="1:51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</row>
    <row r="947" spans="1:51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</row>
    <row r="948" spans="1:51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</row>
    <row r="949" spans="1:51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</row>
    <row r="950" spans="1:51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</row>
    <row r="951" spans="1:51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</row>
    <row r="952" spans="1:51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</row>
    <row r="953" spans="1:51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</row>
    <row r="954" spans="1:51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</row>
    <row r="955" spans="1:51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</row>
    <row r="956" spans="1:51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</row>
    <row r="957" spans="1:51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</row>
    <row r="958" spans="1:51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</row>
    <row r="959" spans="1:51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</row>
    <row r="960" spans="1:51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</row>
    <row r="961" spans="1:51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</row>
    <row r="962" spans="1:51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</row>
    <row r="963" spans="1:51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</row>
    <row r="964" spans="1:51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</row>
    <row r="965" spans="1:51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</row>
    <row r="966" spans="1:51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</row>
    <row r="967" spans="1:51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</row>
    <row r="968" spans="1:51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</row>
    <row r="969" spans="1:51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</row>
    <row r="970" spans="1:51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</row>
    <row r="971" spans="1:51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</row>
    <row r="972" spans="1:51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</row>
    <row r="973" spans="1:51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</row>
    <row r="974" spans="1:51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</row>
    <row r="975" spans="1:51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</row>
    <row r="976" spans="1:51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</row>
    <row r="977" spans="1:51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</row>
    <row r="978" spans="1:51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</row>
    <row r="979" spans="1:51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</row>
    <row r="980" spans="1:51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</row>
    <row r="981" spans="1:51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</row>
    <row r="982" spans="1:51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</row>
    <row r="983" spans="1:51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</row>
    <row r="984" spans="1:51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</row>
    <row r="985" spans="1:51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</row>
    <row r="986" spans="1:51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</row>
    <row r="987" spans="1:51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</row>
    <row r="988" spans="1:51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</row>
    <row r="989" spans="1:51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</row>
    <row r="990" spans="1:51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</row>
    <row r="991" spans="1:51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</row>
    <row r="992" spans="1:51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</row>
    <row r="993" spans="1:51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</row>
    <row r="994" spans="1:51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</row>
    <row r="995" spans="1:51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</row>
    <row r="996" spans="1:51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</row>
    <row r="997" spans="1:51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</row>
    <row r="998" spans="1:51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</row>
    <row r="999" spans="1:51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</row>
    <row r="1000" spans="1:51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</row>
  </sheetData>
  <pageMargins left="0.7" right="0.7" top="0.75" bottom="0.75" header="0" footer="0"/>
  <pageSetup orientation="landscape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931A97F3-279F-4693-A9F1-AD53AB38A24F}">
          <x14:formula1>
            <xm:f>Description!$A$18:$A$19</xm:f>
          </x14:formula1>
          <xm:sqref>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AO1000"/>
  <sheetViews>
    <sheetView topLeftCell="T40" zoomScale="77" zoomScaleNormal="100" workbookViewId="0">
      <selection activeCell="AA60" sqref="AA60:AA64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4.28515625" customWidth="1"/>
    <col min="7" max="7" width="8.85546875" customWidth="1"/>
    <col min="8" max="8" width="19.28515625" customWidth="1"/>
    <col min="9" max="9" width="47" bestFit="1" customWidth="1"/>
    <col min="10" max="10" width="17.4257812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16.42578125" customWidth="1"/>
    <col min="19" max="19" width="16" customWidth="1"/>
    <col min="20" max="20" width="22" customWidth="1"/>
    <col min="21" max="21" width="23.85546875" customWidth="1"/>
    <col min="22" max="22" width="12.7109375" customWidth="1"/>
    <col min="23" max="23" width="19.42578125" customWidth="1"/>
    <col min="24" max="24" width="13.42578125" customWidth="1"/>
    <col min="25" max="25" width="8.85546875" customWidth="1"/>
    <col min="26" max="26" width="20.140625" customWidth="1"/>
    <col min="27" max="27" width="25" customWidth="1"/>
    <col min="28" max="28" width="12.85546875" customWidth="1"/>
    <col min="29" max="29" width="19" customWidth="1"/>
    <col min="30" max="30" width="4.7109375" customWidth="1"/>
    <col min="31" max="31" width="20.140625" customWidth="1"/>
    <col min="32" max="32" width="19.28515625" customWidth="1"/>
    <col min="33" max="33" width="11.28515625" customWidth="1"/>
    <col min="34" max="34" width="17.85546875" customWidth="1"/>
  </cols>
  <sheetData>
    <row r="1" spans="1:34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x14ac:dyDescent="0.25">
      <c r="A2" s="1" t="s">
        <v>2</v>
      </c>
      <c r="B2" s="3">
        <f>U49</f>
        <v>387466.19517795823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25">
      <c r="A3" s="2"/>
      <c r="B3" s="4">
        <f>B2/F41</f>
        <v>0.55074580355913494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1" t="s">
        <v>7</v>
      </c>
      <c r="AA4" s="2"/>
      <c r="AB4" s="2"/>
      <c r="AC4" s="2"/>
      <c r="AD4" s="2"/>
      <c r="AE4" s="2"/>
      <c r="AF4" s="2"/>
      <c r="AG4" s="2"/>
      <c r="AH4" s="2"/>
    </row>
    <row r="5" spans="1:34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127</v>
      </c>
      <c r="R7" s="11" t="s">
        <v>128</v>
      </c>
      <c r="S7" s="11" t="s">
        <v>19</v>
      </c>
      <c r="T7" s="11" t="s">
        <v>22</v>
      </c>
      <c r="U7" s="12" t="s">
        <v>23</v>
      </c>
      <c r="V7" s="1"/>
      <c r="W7" s="2" t="s">
        <v>24</v>
      </c>
      <c r="X7" s="2"/>
      <c r="Y7" s="2"/>
      <c r="Z7" s="2" t="s">
        <v>25</v>
      </c>
      <c r="AA7" s="2"/>
      <c r="AB7" s="2"/>
      <c r="AC7" s="2"/>
      <c r="AD7" s="2"/>
      <c r="AE7" s="2"/>
      <c r="AF7" s="2"/>
      <c r="AG7" s="2"/>
      <c r="AH7" s="2"/>
    </row>
    <row r="8" spans="1:34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1580000000</v>
      </c>
      <c r="K8" s="2" t="s">
        <v>29</v>
      </c>
      <c r="L8" s="14"/>
      <c r="M8" s="2"/>
      <c r="N8" s="11">
        <v>0</v>
      </c>
      <c r="O8" s="16">
        <f>F31</f>
        <v>46318.209677419356</v>
      </c>
      <c r="P8" s="11"/>
      <c r="Q8" s="11"/>
      <c r="R8" s="11"/>
      <c r="S8" s="11"/>
      <c r="T8" s="11"/>
      <c r="U8" s="17">
        <f t="shared" ref="U8:U48" si="0">SUM(O8:T8)</f>
        <v>46318.209677419356</v>
      </c>
      <c r="V8" s="3"/>
      <c r="W8" s="6"/>
      <c r="X8" s="2"/>
      <c r="Y8" s="2"/>
      <c r="Z8" s="2" t="s">
        <v>181</v>
      </c>
      <c r="AA8" s="18">
        <f>F36</f>
        <v>0.43870967741935485</v>
      </c>
      <c r="AB8" s="2" t="s">
        <v>130</v>
      </c>
      <c r="AC8" s="2"/>
      <c r="AD8" s="2"/>
      <c r="AE8" s="2"/>
      <c r="AF8" s="2"/>
      <c r="AG8" s="2"/>
      <c r="AH8" s="2"/>
    </row>
    <row r="9" spans="1:34" x14ac:dyDescent="0.25">
      <c r="A9" s="13"/>
      <c r="B9" s="2"/>
      <c r="C9" s="2"/>
      <c r="D9" s="2"/>
      <c r="E9" s="2"/>
      <c r="F9" s="19"/>
      <c r="G9" s="2"/>
      <c r="H9" s="14"/>
      <c r="I9" s="2"/>
      <c r="J9" s="2"/>
      <c r="K9" s="2"/>
      <c r="L9" s="14"/>
      <c r="M9" s="2"/>
      <c r="N9" s="11">
        <v>1</v>
      </c>
      <c r="O9" s="11"/>
      <c r="P9" s="20">
        <f t="shared" ref="P9:P48" si="1">IF(N9&gt;0,IF(N9&lt;=$J$15,(($F$32+$F$33)/$J$15)/((1+($F$11/100))^N9),0),0)</f>
        <v>30158.300967741932</v>
      </c>
      <c r="Q9" s="21">
        <f t="shared" ref="Q9:Q48" si="2">IF(N9&gt;0,($F$38*((1+($F$14/100))^(N9-1)))/((1+($F$11/100))^N9),0)</f>
        <v>14403.452903225807</v>
      </c>
      <c r="R9" s="21">
        <f t="shared" ref="R9:R48" si="3">IF(N9&gt;0,$J$31/((1+($F$11/100))^N9),0)</f>
        <v>13950.972165898618</v>
      </c>
      <c r="S9" s="21">
        <f t="shared" ref="S9:S48" si="4">IF(N9&gt;0,(($F$17/100)*($F$18/100)*$B$17*W9)/((1+($F$11/100))^N9),0)</f>
        <v>148.8432811059908</v>
      </c>
      <c r="T9" s="20">
        <f t="shared" ref="T9:T48" si="5">IF(N9=$B$5,((((1-$J$12/100)^N9)*$B$44)/((1+($F$11/100))^N9))*-1,0)</f>
        <v>0</v>
      </c>
      <c r="U9" s="17">
        <f t="shared" si="0"/>
        <v>58661.569317972346</v>
      </c>
      <c r="V9" s="3"/>
      <c r="W9" s="6">
        <f t="shared" ref="W9:W48" si="6">IF(N9&gt;0,((((1-$J$12/100)^N9)*$B$44/((1+($F$11/100))^N9))),0)</f>
        <v>94718.451612903227</v>
      </c>
      <c r="X9" s="2"/>
      <c r="Y9" s="2"/>
      <c r="Z9" s="2" t="s">
        <v>174</v>
      </c>
      <c r="AA9" s="23">
        <f>B47</f>
        <v>154394.03225806452</v>
      </c>
      <c r="AB9" s="2" t="s">
        <v>3</v>
      </c>
      <c r="AC9" s="2"/>
      <c r="AD9" s="6"/>
      <c r="AE9" s="2"/>
      <c r="AF9" s="2"/>
      <c r="AG9" s="2"/>
      <c r="AH9" s="2"/>
    </row>
    <row r="10" spans="1:34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131</v>
      </c>
      <c r="J10" s="26">
        <v>0.49</v>
      </c>
      <c r="K10" s="2" t="s">
        <v>132</v>
      </c>
      <c r="L10" s="14"/>
      <c r="M10" s="2"/>
      <c r="N10" s="11">
        <f t="shared" ref="N10:N48" si="7">IF((N9+1)&gt;$B$5,,IF(N9=0,,N9+1))</f>
        <v>2</v>
      </c>
      <c r="O10" s="11"/>
      <c r="P10" s="20">
        <f t="shared" si="1"/>
        <v>28722.191397849459</v>
      </c>
      <c r="Q10" s="21">
        <f t="shared" si="2"/>
        <v>13854.749935483871</v>
      </c>
      <c r="R10" s="21">
        <f t="shared" si="3"/>
        <v>13286.640157998685</v>
      </c>
      <c r="S10" s="21">
        <f t="shared" si="4"/>
        <v>125.44687238429628</v>
      </c>
      <c r="T10" s="20">
        <f t="shared" si="5"/>
        <v>0</v>
      </c>
      <c r="U10" s="17">
        <f t="shared" si="0"/>
        <v>55989.028363716308</v>
      </c>
      <c r="V10" s="3"/>
      <c r="W10" s="6">
        <f t="shared" si="6"/>
        <v>83821.319274961599</v>
      </c>
      <c r="X10" s="2"/>
      <c r="Y10" s="2"/>
      <c r="Z10" s="2" t="s">
        <v>42</v>
      </c>
      <c r="AA10" s="6">
        <f>F12</f>
        <v>70353</v>
      </c>
      <c r="AB10" s="2" t="s">
        <v>43</v>
      </c>
      <c r="AC10" s="2"/>
      <c r="AD10" s="6"/>
      <c r="AE10" s="2"/>
      <c r="AF10" s="2"/>
      <c r="AG10" s="2"/>
      <c r="AH10" s="2"/>
    </row>
    <row r="11" spans="1:34" x14ac:dyDescent="0.25">
      <c r="A11" s="24" t="s">
        <v>171</v>
      </c>
      <c r="B11" s="2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52</v>
      </c>
      <c r="J11" s="2">
        <v>30</v>
      </c>
      <c r="K11" s="2" t="s">
        <v>53</v>
      </c>
      <c r="L11" s="14"/>
      <c r="M11" s="2"/>
      <c r="N11" s="11">
        <f t="shared" si="7"/>
        <v>3</v>
      </c>
      <c r="O11" s="11"/>
      <c r="P11" s="20">
        <f t="shared" si="1"/>
        <v>27354.467997951866</v>
      </c>
      <c r="Q11" s="21">
        <f t="shared" si="2"/>
        <v>13326.949937941627</v>
      </c>
      <c r="R11" s="21">
        <f t="shared" si="3"/>
        <v>12653.943007617794</v>
      </c>
      <c r="S11" s="21">
        <f t="shared" si="4"/>
        <v>105.72810323763092</v>
      </c>
      <c r="T11" s="20">
        <f t="shared" si="5"/>
        <v>0</v>
      </c>
      <c r="U11" s="17">
        <f t="shared" si="0"/>
        <v>53441.089046748923</v>
      </c>
      <c r="V11" s="3"/>
      <c r="W11" s="6">
        <f t="shared" si="6"/>
        <v>74177.876066946963</v>
      </c>
      <c r="X11" s="2"/>
      <c r="Y11" s="2"/>
      <c r="Z11" s="15" t="s">
        <v>48</v>
      </c>
      <c r="AA11" s="6">
        <f>J36</f>
        <v>14633.424000000001</v>
      </c>
      <c r="AB11" s="2" t="s">
        <v>49</v>
      </c>
      <c r="AC11" s="2"/>
      <c r="AD11" s="6"/>
      <c r="AE11" s="2"/>
      <c r="AF11" s="2"/>
      <c r="AG11" s="2"/>
      <c r="AH11" s="2"/>
    </row>
    <row r="12" spans="1:34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70353</v>
      </c>
      <c r="G12" s="2" t="s">
        <v>43</v>
      </c>
      <c r="H12" s="14"/>
      <c r="I12" s="15" t="s">
        <v>60</v>
      </c>
      <c r="J12" s="2">
        <v>7.08</v>
      </c>
      <c r="K12" s="2" t="s">
        <v>61</v>
      </c>
      <c r="L12" s="14"/>
      <c r="M12" s="2"/>
      <c r="N12" s="11">
        <f t="shared" si="7"/>
        <v>4</v>
      </c>
      <c r="O12" s="11"/>
      <c r="P12" s="20">
        <f t="shared" si="1"/>
        <v>26051.874283763682</v>
      </c>
      <c r="Q12" s="21">
        <f t="shared" si="2"/>
        <v>12819.256606972423</v>
      </c>
      <c r="R12" s="21">
        <f t="shared" si="3"/>
        <v>12051.374292969329</v>
      </c>
      <c r="S12" s="21">
        <f t="shared" si="4"/>
        <v>89.108892089257765</v>
      </c>
      <c r="T12" s="20">
        <f t="shared" si="5"/>
        <v>0</v>
      </c>
      <c r="U12" s="17">
        <f t="shared" si="0"/>
        <v>51011.614075794692</v>
      </c>
      <c r="V12" s="3"/>
      <c r="W12" s="6">
        <f t="shared" si="6"/>
        <v>65643.888039435362</v>
      </c>
      <c r="X12" s="2"/>
      <c r="Y12" s="2"/>
      <c r="Z12" s="91" t="s">
        <v>197</v>
      </c>
      <c r="AA12" s="92">
        <f>J10</f>
        <v>0.49</v>
      </c>
      <c r="AB12" s="91" t="s">
        <v>132</v>
      </c>
      <c r="AC12" s="2"/>
      <c r="AD12" s="6"/>
      <c r="AE12" s="2"/>
      <c r="AF12" s="2"/>
      <c r="AG12" s="2"/>
      <c r="AH12" s="2"/>
    </row>
    <row r="13" spans="1:34" x14ac:dyDescent="0.25">
      <c r="A13" s="24" t="s">
        <v>50</v>
      </c>
      <c r="B13" s="2">
        <v>11</v>
      </c>
      <c r="C13" s="2" t="s">
        <v>38</v>
      </c>
      <c r="D13" s="2"/>
      <c r="E13" s="15" t="s">
        <v>129</v>
      </c>
      <c r="F13" s="6">
        <v>6800</v>
      </c>
      <c r="G13" s="2" t="s">
        <v>133</v>
      </c>
      <c r="H13" s="14"/>
      <c r="I13" s="15"/>
      <c r="J13" s="6"/>
      <c r="K13" s="2"/>
      <c r="L13" s="14"/>
      <c r="M13" s="2"/>
      <c r="N13" s="11">
        <f t="shared" si="7"/>
        <v>5</v>
      </c>
      <c r="O13" s="11"/>
      <c r="P13" s="20">
        <f t="shared" si="1"/>
        <v>24811.308841679696</v>
      </c>
      <c r="Q13" s="21">
        <f t="shared" si="2"/>
        <v>12330.903974325855</v>
      </c>
      <c r="R13" s="21">
        <f t="shared" si="3"/>
        <v>11477.499326637455</v>
      </c>
      <c r="S13" s="21">
        <f t="shared" si="4"/>
        <v>75.102024969921359</v>
      </c>
      <c r="T13" s="20">
        <f t="shared" si="5"/>
        <v>0</v>
      </c>
      <c r="U13" s="17">
        <f t="shared" si="0"/>
        <v>48694.814167612931</v>
      </c>
      <c r="V13" s="3"/>
      <c r="W13" s="6">
        <f t="shared" si="6"/>
        <v>58091.715015469847</v>
      </c>
      <c r="X13" s="2"/>
      <c r="Y13" s="2"/>
      <c r="Z13" s="2"/>
      <c r="AA13" s="2"/>
      <c r="AB13" s="2"/>
      <c r="AC13" s="2"/>
      <c r="AD13" s="6"/>
      <c r="AE13" s="2"/>
      <c r="AF13" s="2"/>
      <c r="AG13" s="2"/>
      <c r="AH13" s="2"/>
    </row>
    <row r="14" spans="1:34" x14ac:dyDescent="0.25">
      <c r="A14" s="24" t="s">
        <v>134</v>
      </c>
      <c r="B14" s="2">
        <v>7.5</v>
      </c>
      <c r="C14" s="2" t="s">
        <v>38</v>
      </c>
      <c r="D14" s="2"/>
      <c r="E14" s="15" t="s">
        <v>135</v>
      </c>
      <c r="F14" s="2">
        <v>1</v>
      </c>
      <c r="G14" s="2" t="s">
        <v>56</v>
      </c>
      <c r="H14" s="14"/>
      <c r="I14" s="1" t="s">
        <v>79</v>
      </c>
      <c r="J14" s="2"/>
      <c r="K14" s="2"/>
      <c r="L14" s="14"/>
      <c r="M14" s="2"/>
      <c r="N14" s="11">
        <f t="shared" si="7"/>
        <v>6</v>
      </c>
      <c r="O14" s="11"/>
      <c r="P14" s="20">
        <f t="shared" si="1"/>
        <v>0</v>
      </c>
      <c r="Q14" s="21">
        <f t="shared" si="2"/>
        <v>11861.155251494394</v>
      </c>
      <c r="R14" s="21">
        <f t="shared" si="3"/>
        <v>10930.95173965472</v>
      </c>
      <c r="S14" s="21">
        <f t="shared" si="4"/>
        <v>63.296872201406771</v>
      </c>
      <c r="T14" s="20">
        <f t="shared" si="5"/>
        <v>0</v>
      </c>
      <c r="U14" s="17">
        <f t="shared" si="0"/>
        <v>22855.403863350522</v>
      </c>
      <c r="V14" s="3"/>
      <c r="W14" s="6">
        <f t="shared" si="6"/>
        <v>51408.401516547237</v>
      </c>
      <c r="X14" s="2"/>
      <c r="Y14" s="2"/>
      <c r="Z14" s="2"/>
      <c r="AA14" s="2"/>
      <c r="AB14" s="2"/>
      <c r="AC14" s="2"/>
      <c r="AD14" s="6"/>
      <c r="AE14" s="2"/>
      <c r="AF14" s="2"/>
      <c r="AG14" s="2"/>
      <c r="AH14" s="2"/>
    </row>
    <row r="15" spans="1:34" x14ac:dyDescent="0.25">
      <c r="A15" s="2" t="s">
        <v>58</v>
      </c>
      <c r="B15" s="2">
        <v>22</v>
      </c>
      <c r="C15" s="2" t="s">
        <v>38</v>
      </c>
      <c r="D15" s="2"/>
      <c r="E15" s="15" t="s">
        <v>63</v>
      </c>
      <c r="F15" s="2">
        <v>0</v>
      </c>
      <c r="G15" s="2" t="s">
        <v>64</v>
      </c>
      <c r="H15" s="14"/>
      <c r="I15" s="15" t="s">
        <v>85</v>
      </c>
      <c r="J15" s="2">
        <v>5</v>
      </c>
      <c r="K15" s="2" t="s">
        <v>53</v>
      </c>
      <c r="L15" s="14"/>
      <c r="M15" s="2"/>
      <c r="N15" s="11">
        <f t="shared" si="7"/>
        <v>7</v>
      </c>
      <c r="O15" s="11"/>
      <c r="P15" s="20">
        <f t="shared" si="1"/>
        <v>0</v>
      </c>
      <c r="Q15" s="21">
        <f t="shared" si="2"/>
        <v>11409.30171810413</v>
      </c>
      <c r="R15" s="21">
        <f t="shared" si="3"/>
        <v>10410.430228242589</v>
      </c>
      <c r="S15" s="21">
        <f t="shared" si="4"/>
        <v>53.347350249022348</v>
      </c>
      <c r="T15" s="20">
        <f t="shared" si="5"/>
        <v>0</v>
      </c>
      <c r="U15" s="17">
        <f t="shared" si="0"/>
        <v>21873.079296595744</v>
      </c>
      <c r="V15" s="3"/>
      <c r="W15" s="6">
        <f t="shared" si="6"/>
        <v>45493.987323024456</v>
      </c>
      <c r="X15" s="2"/>
      <c r="Y15" s="2"/>
      <c r="Z15" s="2"/>
      <c r="AA15" s="2"/>
      <c r="AB15" s="2"/>
      <c r="AC15" s="2"/>
      <c r="AD15" s="6"/>
      <c r="AE15" s="2"/>
      <c r="AF15" s="2"/>
      <c r="AG15" s="2"/>
      <c r="AH15" s="2"/>
    </row>
    <row r="16" spans="1:34" x14ac:dyDescent="0.25">
      <c r="A16" s="24" t="s">
        <v>62</v>
      </c>
      <c r="B16" s="2">
        <v>5</v>
      </c>
      <c r="C16" s="2" t="s">
        <v>38</v>
      </c>
      <c r="D16" s="2"/>
      <c r="E16" s="15" t="s">
        <v>67</v>
      </c>
      <c r="F16" s="6">
        <f>2*87000</f>
        <v>174000</v>
      </c>
      <c r="G16" s="2" t="s">
        <v>64</v>
      </c>
      <c r="H16" s="14"/>
      <c r="I16" s="15" t="s">
        <v>89</v>
      </c>
      <c r="J16" s="2">
        <v>30</v>
      </c>
      <c r="K16" s="2" t="s">
        <v>90</v>
      </c>
      <c r="L16" s="14"/>
      <c r="M16" s="2"/>
      <c r="N16" s="11">
        <f t="shared" si="7"/>
        <v>8</v>
      </c>
      <c r="O16" s="11"/>
      <c r="P16" s="20">
        <f t="shared" si="1"/>
        <v>0</v>
      </c>
      <c r="Q16" s="21">
        <f t="shared" si="2"/>
        <v>10974.661652652543</v>
      </c>
      <c r="R16" s="21">
        <f t="shared" si="3"/>
        <v>9914.6954554691329</v>
      </c>
      <c r="S16" s="21">
        <f t="shared" si="4"/>
        <v>44.961775828926605</v>
      </c>
      <c r="T16" s="20">
        <f t="shared" si="5"/>
        <v>0</v>
      </c>
      <c r="U16" s="17">
        <f t="shared" si="0"/>
        <v>20934.318883950604</v>
      </c>
      <c r="V16" s="3"/>
      <c r="W16" s="6">
        <f t="shared" si="6"/>
        <v>40260.012400527936</v>
      </c>
      <c r="X16" s="2"/>
      <c r="Y16" s="2"/>
      <c r="Z16" s="2"/>
      <c r="AA16" s="2"/>
      <c r="AB16" s="2"/>
      <c r="AC16" s="2"/>
      <c r="AD16" s="6"/>
      <c r="AE16" s="2"/>
      <c r="AF16" s="2"/>
      <c r="AG16" s="2"/>
      <c r="AH16" s="2"/>
    </row>
    <row r="17" spans="1:41" x14ac:dyDescent="0.25">
      <c r="A17" s="24" t="s">
        <v>66</v>
      </c>
      <c r="B17" s="2">
        <v>1.1000000000000001</v>
      </c>
      <c r="C17" s="2"/>
      <c r="D17" s="2"/>
      <c r="E17" s="15" t="s">
        <v>70</v>
      </c>
      <c r="F17" s="2">
        <v>30</v>
      </c>
      <c r="G17" s="2" t="s">
        <v>38</v>
      </c>
      <c r="H17" s="14"/>
      <c r="I17" s="2"/>
      <c r="J17" s="2"/>
      <c r="K17" s="2"/>
      <c r="L17" s="14"/>
      <c r="M17" s="2"/>
      <c r="N17" s="11">
        <f t="shared" si="7"/>
        <v>9</v>
      </c>
      <c r="O17" s="11"/>
      <c r="P17" s="20">
        <f t="shared" si="1"/>
        <v>0</v>
      </c>
      <c r="Q17" s="21">
        <f t="shared" si="2"/>
        <v>10556.579303980068</v>
      </c>
      <c r="R17" s="21">
        <f t="shared" si="3"/>
        <v>9442.5671004467931</v>
      </c>
      <c r="S17" s="21">
        <f t="shared" si="4"/>
        <v>37.894314830148389</v>
      </c>
      <c r="T17" s="20">
        <f t="shared" si="5"/>
        <v>0</v>
      </c>
      <c r="U17" s="17">
        <f t="shared" si="0"/>
        <v>20037.040719257009</v>
      </c>
      <c r="V17" s="3"/>
      <c r="W17" s="6">
        <f t="shared" si="6"/>
        <v>35628.193831019576</v>
      </c>
      <c r="X17" s="2"/>
      <c r="Y17" s="2"/>
      <c r="Z17" s="2"/>
      <c r="AA17" s="2"/>
      <c r="AB17" s="2"/>
      <c r="AC17" s="2"/>
      <c r="AD17" s="6"/>
      <c r="AE17" s="2"/>
      <c r="AF17" s="2"/>
      <c r="AG17" s="2"/>
      <c r="AH17" s="2"/>
    </row>
    <row r="18" spans="1:41" x14ac:dyDescent="0.25">
      <c r="A18" s="24" t="s">
        <v>179</v>
      </c>
      <c r="B18" s="2">
        <f>30%*12.5%*100</f>
        <v>3.75</v>
      </c>
      <c r="C18" s="2" t="s">
        <v>38</v>
      </c>
      <c r="D18" s="2"/>
      <c r="E18" s="15" t="s">
        <v>71</v>
      </c>
      <c r="F18" s="2">
        <v>0.5</v>
      </c>
      <c r="G18" s="2" t="s">
        <v>38</v>
      </c>
      <c r="H18" s="14"/>
      <c r="I18" s="15"/>
      <c r="J18" s="2"/>
      <c r="K18" s="2"/>
      <c r="L18" s="14"/>
      <c r="M18" s="2"/>
      <c r="N18" s="11">
        <f t="shared" si="7"/>
        <v>10</v>
      </c>
      <c r="O18" s="11"/>
      <c r="P18" s="20">
        <f t="shared" si="1"/>
        <v>0</v>
      </c>
      <c r="Q18" s="21">
        <f t="shared" si="2"/>
        <v>10154.423901923685</v>
      </c>
      <c r="R18" s="21">
        <f t="shared" si="3"/>
        <v>8992.9210480445654</v>
      </c>
      <c r="S18" s="21">
        <f t="shared" si="4"/>
        <v>31.937775365237083</v>
      </c>
      <c r="T18" s="20">
        <f t="shared" si="5"/>
        <v>-31529.254959793707</v>
      </c>
      <c r="U18" s="17">
        <f t="shared" si="0"/>
        <v>-12349.97223446022</v>
      </c>
      <c r="V18" s="3"/>
      <c r="W18" s="6">
        <f t="shared" si="6"/>
        <v>31529.254959793707</v>
      </c>
      <c r="X18" s="2"/>
      <c r="Y18" s="2"/>
      <c r="Z18" s="2"/>
      <c r="AA18" s="2"/>
      <c r="AB18" s="2"/>
      <c r="AC18" s="2"/>
      <c r="AD18" s="6"/>
      <c r="AE18" s="2"/>
      <c r="AF18" s="2"/>
      <c r="AG18" s="2"/>
      <c r="AH18" s="2"/>
    </row>
    <row r="19" spans="1:41" x14ac:dyDescent="0.25">
      <c r="A19" s="24" t="s">
        <v>180</v>
      </c>
      <c r="B19" s="2">
        <v>0</v>
      </c>
      <c r="C19" s="2" t="s">
        <v>38</v>
      </c>
      <c r="D19" s="2"/>
      <c r="E19" s="15" t="s">
        <v>74</v>
      </c>
      <c r="F19" s="6">
        <v>0</v>
      </c>
      <c r="G19" s="2" t="s">
        <v>64</v>
      </c>
      <c r="H19" s="14"/>
      <c r="I19" s="2"/>
      <c r="J19" s="2"/>
      <c r="K19" s="2"/>
      <c r="L19" s="14"/>
      <c r="M19" s="2"/>
      <c r="N19" s="11">
        <f t="shared" si="7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0">
        <f t="shared" si="5"/>
        <v>0</v>
      </c>
      <c r="U19" s="17">
        <f t="shared" si="0"/>
        <v>0</v>
      </c>
      <c r="V19" s="3"/>
      <c r="W19" s="6">
        <f t="shared" si="6"/>
        <v>0</v>
      </c>
      <c r="X19" s="2"/>
      <c r="Y19" s="2"/>
      <c r="Z19" s="2"/>
      <c r="AA19" s="2"/>
      <c r="AB19" s="2"/>
      <c r="AC19" s="2"/>
      <c r="AD19" s="6"/>
      <c r="AE19" s="2"/>
      <c r="AF19" s="2"/>
      <c r="AG19" s="2"/>
      <c r="AH19" s="2"/>
    </row>
    <row r="20" spans="1:41" x14ac:dyDescent="0.25">
      <c r="A20" s="24" t="s">
        <v>73</v>
      </c>
      <c r="B20" s="2">
        <v>0</v>
      </c>
      <c r="C20" s="2" t="s">
        <v>38</v>
      </c>
      <c r="D20" s="2"/>
      <c r="E20" s="15" t="s">
        <v>48</v>
      </c>
      <c r="F20" s="5">
        <v>3224</v>
      </c>
      <c r="G20" s="2" t="s">
        <v>152</v>
      </c>
      <c r="H20" s="14"/>
      <c r="I20" s="2"/>
      <c r="J20" s="2"/>
      <c r="K20" s="2"/>
      <c r="L20" s="14"/>
      <c r="M20" s="2"/>
      <c r="N20" s="11">
        <f t="shared" si="7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0">
        <f t="shared" si="5"/>
        <v>0</v>
      </c>
      <c r="U20" s="17">
        <f t="shared" si="0"/>
        <v>0</v>
      </c>
      <c r="V20" s="3"/>
      <c r="W20" s="6">
        <f t="shared" si="6"/>
        <v>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4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84</v>
      </c>
      <c r="F21" s="2">
        <v>9.3000000000000007</v>
      </c>
      <c r="G21" s="2" t="s">
        <v>61</v>
      </c>
      <c r="H21" s="14"/>
      <c r="I21" s="2"/>
      <c r="J21" s="2"/>
      <c r="K21" s="2"/>
      <c r="L21" s="14"/>
      <c r="M21" s="2"/>
      <c r="N21" s="11">
        <f t="shared" si="7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0">
        <f t="shared" si="5"/>
        <v>0</v>
      </c>
      <c r="U21" s="17">
        <f t="shared" si="0"/>
        <v>0</v>
      </c>
      <c r="V21" s="3"/>
      <c r="W21" s="6">
        <f t="shared" si="6"/>
        <v>0</v>
      </c>
      <c r="X21" s="2"/>
      <c r="Y21" s="2"/>
      <c r="Z21" s="27" t="s">
        <v>129</v>
      </c>
      <c r="AA21" s="28"/>
      <c r="AB21" s="28"/>
      <c r="AC21" s="28"/>
      <c r="AD21" s="2"/>
      <c r="AE21" s="27" t="s">
        <v>28</v>
      </c>
      <c r="AF21" s="28"/>
      <c r="AG21" s="28"/>
      <c r="AH21" s="28"/>
      <c r="AJ21" s="76" t="s">
        <v>191</v>
      </c>
      <c r="AK21" s="76" t="s">
        <v>183</v>
      </c>
      <c r="AL21" s="76" t="s">
        <v>129</v>
      </c>
      <c r="AM21" s="76" t="s">
        <v>189</v>
      </c>
      <c r="AN21" s="76" t="s">
        <v>188</v>
      </c>
      <c r="AO21" s="93" t="str">
        <f>Z51</f>
        <v>Energy Efficiency</v>
      </c>
    </row>
    <row r="22" spans="1:41" ht="15.75" customHeight="1" x14ac:dyDescent="0.25">
      <c r="A22" s="24" t="s">
        <v>78</v>
      </c>
      <c r="B22" s="2">
        <v>0</v>
      </c>
      <c r="C22" s="2" t="s">
        <v>38</v>
      </c>
      <c r="D22" s="2"/>
      <c r="E22" s="2" t="s">
        <v>88</v>
      </c>
      <c r="F22" s="5">
        <f>(100000+200000)/5</f>
        <v>60000</v>
      </c>
      <c r="G22" s="2" t="s">
        <v>64</v>
      </c>
      <c r="H22" s="14"/>
      <c r="I22" s="2"/>
      <c r="J22" s="2"/>
      <c r="K22" s="2"/>
      <c r="L22" s="14"/>
      <c r="M22" s="2"/>
      <c r="N22" s="11">
        <f t="shared" si="7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0">
        <f t="shared" si="5"/>
        <v>0</v>
      </c>
      <c r="U22" s="17">
        <f t="shared" si="0"/>
        <v>0</v>
      </c>
      <c r="V22" s="3"/>
      <c r="W22" s="6">
        <f t="shared" si="6"/>
        <v>0</v>
      </c>
      <c r="X22" s="2"/>
      <c r="Y22" s="2"/>
      <c r="Z22" s="28" t="s">
        <v>80</v>
      </c>
      <c r="AA22" s="28" t="s">
        <v>136</v>
      </c>
      <c r="AB22" s="28" t="s">
        <v>23</v>
      </c>
      <c r="AC22" s="28" t="s">
        <v>82</v>
      </c>
      <c r="AD22" s="2"/>
      <c r="AE22" s="28" t="s">
        <v>80</v>
      </c>
      <c r="AF22" s="28" t="s">
        <v>83</v>
      </c>
      <c r="AG22" s="28" t="s">
        <v>23</v>
      </c>
      <c r="AH22" s="28" t="s">
        <v>82</v>
      </c>
      <c r="AJ22" s="77">
        <v>-50</v>
      </c>
      <c r="AK22" s="78">
        <f>AH24</f>
        <v>-23.668691030215587</v>
      </c>
      <c r="AL22" s="78">
        <f>AC24</f>
        <v>-15.703490614221607</v>
      </c>
      <c r="AM22" s="79">
        <f t="shared" ref="AM22:AM32" si="8">AC39</f>
        <v>-14.581326402226397</v>
      </c>
      <c r="AN22" s="79">
        <f t="shared" ref="AN22:AN32" si="9">AH39</f>
        <v>-30.284817016447992</v>
      </c>
      <c r="AO22" s="53">
        <f>AC54</f>
        <v>15.703490614221579</v>
      </c>
    </row>
    <row r="23" spans="1:41" ht="15.75" customHeight="1" x14ac:dyDescent="0.25">
      <c r="A23" s="2"/>
      <c r="B23" s="2"/>
      <c r="C23" s="2"/>
      <c r="D23" s="2"/>
      <c r="E23" s="2"/>
      <c r="F23" s="2"/>
      <c r="G23" s="2"/>
      <c r="H23" s="14"/>
      <c r="I23" s="2"/>
      <c r="J23" s="2"/>
      <c r="K23" s="2"/>
      <c r="L23" s="14"/>
      <c r="M23" s="2"/>
      <c r="N23" s="11">
        <f t="shared" si="7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0">
        <f t="shared" si="5"/>
        <v>0</v>
      </c>
      <c r="U23" s="17">
        <f t="shared" si="0"/>
        <v>0</v>
      </c>
      <c r="V23" s="3"/>
      <c r="W23" s="6">
        <f t="shared" si="6"/>
        <v>0</v>
      </c>
      <c r="X23" s="2"/>
      <c r="Y23" s="2"/>
      <c r="Z23" s="28" t="s">
        <v>87</v>
      </c>
      <c r="AA23" s="30">
        <v>0.43870967741935485</v>
      </c>
      <c r="AB23" s="31">
        <f>U49</f>
        <v>387466.19517795823</v>
      </c>
      <c r="AC23" s="28"/>
      <c r="AD23" s="2"/>
      <c r="AE23" s="28" t="s">
        <v>87</v>
      </c>
      <c r="AF23" s="32">
        <v>154394.03225806452</v>
      </c>
      <c r="AG23" s="31">
        <f>U49</f>
        <v>387466.19517795823</v>
      </c>
      <c r="AH23" s="28"/>
      <c r="AJ23" s="77">
        <v>-40</v>
      </c>
      <c r="AK23" s="78">
        <f>AH25</f>
        <v>-18.934952824172456</v>
      </c>
      <c r="AL23" s="78">
        <f t="shared" ref="AL23:AL32" si="10">AC25</f>
        <v>-12.562792491377287</v>
      </c>
      <c r="AM23" s="79">
        <f t="shared" si="8"/>
        <v>-11.665061121781127</v>
      </c>
      <c r="AN23" s="79">
        <f t="shared" si="9"/>
        <v>-24.227853613158398</v>
      </c>
      <c r="AO23" s="53">
        <f t="shared" ref="AO23:AO32" si="11">AC55</f>
        <v>12.562792491377243</v>
      </c>
    </row>
    <row r="24" spans="1:41" ht="15.75" customHeight="1" x14ac:dyDescent="0.25">
      <c r="A24" s="13"/>
      <c r="B24" s="2"/>
      <c r="C24" s="2"/>
      <c r="D24" s="2"/>
      <c r="E24" s="2"/>
      <c r="F24" s="2"/>
      <c r="G24" s="2"/>
      <c r="H24" s="14"/>
      <c r="I24" s="2"/>
      <c r="J24" s="2"/>
      <c r="K24" s="2"/>
      <c r="L24" s="14"/>
      <c r="M24" s="2"/>
      <c r="N24" s="11">
        <f t="shared" si="7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0">
        <f t="shared" si="5"/>
        <v>0</v>
      </c>
      <c r="U24" s="17">
        <f t="shared" si="0"/>
        <v>0</v>
      </c>
      <c r="V24" s="3"/>
      <c r="W24" s="6">
        <f t="shared" si="6"/>
        <v>0</v>
      </c>
      <c r="X24" s="2"/>
      <c r="Y24" s="2"/>
      <c r="Z24" s="28">
        <f t="shared" ref="Z24:Z28" si="12">Z25-10</f>
        <v>-50</v>
      </c>
      <c r="AA24" s="30">
        <f t="shared" ref="AA24:AA34" si="13">$AA$23*(1+(Z24/100))</f>
        <v>0.21935483870967742</v>
      </c>
      <c r="AB24" s="31">
        <f t="dataTable" ref="AB24:AB34" dt2D="0" dtr="0" r1="F36" ca="1"/>
        <v>326620.47758490598</v>
      </c>
      <c r="AC24" s="36">
        <f t="shared" ref="AC24:AC34" si="14">100*((AB24-$AB$29)/$AB$29)</f>
        <v>-15.703490614221607</v>
      </c>
      <c r="AD24" s="2"/>
      <c r="AE24" s="28">
        <f t="shared" ref="AE24:AE28" si="15">AE25-10</f>
        <v>-50</v>
      </c>
      <c r="AF24" s="32">
        <f t="shared" ref="AF24:AF34" si="16">$AF$23*(1+(AE24/100))</f>
        <v>77197.016129032258</v>
      </c>
      <c r="AG24" s="31">
        <f t="dataTable" ref="AG24:AG34" dt2D="0" dtr="0" r1="B47" ca="1"/>
        <v>295758.01859475521</v>
      </c>
      <c r="AH24" s="36">
        <f t="shared" ref="AH24:AH34" si="17">100*((AG24-$AG$29)/$AG$29)</f>
        <v>-23.668691030215587</v>
      </c>
      <c r="AJ24" s="77">
        <v>-30</v>
      </c>
      <c r="AK24" s="78">
        <f t="shared" ref="AK24:AK32" si="18">AH26</f>
        <v>-14.201214618129351</v>
      </c>
      <c r="AL24" s="78">
        <f t="shared" si="10"/>
        <v>-9.4220943685329495</v>
      </c>
      <c r="AM24" s="79">
        <f t="shared" si="8"/>
        <v>-8.7487958413358413</v>
      </c>
      <c r="AN24" s="79">
        <f t="shared" si="9"/>
        <v>-18.170890209868805</v>
      </c>
      <c r="AO24" s="53">
        <f t="shared" si="11"/>
        <v>9.4220943685329654</v>
      </c>
    </row>
    <row r="25" spans="1:41" ht="15.75" customHeight="1" x14ac:dyDescent="0.25">
      <c r="A25" s="13"/>
      <c r="B25" s="2"/>
      <c r="C25" s="2"/>
      <c r="D25" s="2"/>
      <c r="E25" s="2"/>
      <c r="F25" s="2"/>
      <c r="G25" s="2"/>
      <c r="H25" s="14"/>
      <c r="I25" s="2"/>
      <c r="J25" s="2"/>
      <c r="K25" s="2"/>
      <c r="L25" s="14"/>
      <c r="M25" s="2"/>
      <c r="N25" s="11">
        <f t="shared" si="7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0">
        <f t="shared" si="5"/>
        <v>0</v>
      </c>
      <c r="U25" s="17">
        <f t="shared" si="0"/>
        <v>0</v>
      </c>
      <c r="V25" s="3"/>
      <c r="W25" s="6">
        <f t="shared" si="6"/>
        <v>0</v>
      </c>
      <c r="X25" s="2"/>
      <c r="Y25" s="2"/>
      <c r="Z25" s="28">
        <f t="shared" si="12"/>
        <v>-40</v>
      </c>
      <c r="AA25" s="30">
        <f t="shared" si="13"/>
        <v>0.26322580645161292</v>
      </c>
      <c r="AB25" s="31">
        <v>338789.62110351643</v>
      </c>
      <c r="AC25" s="36">
        <f t="shared" si="14"/>
        <v>-12.562792491377287</v>
      </c>
      <c r="AD25" s="2"/>
      <c r="AE25" s="28">
        <f t="shared" si="15"/>
        <v>-40</v>
      </c>
      <c r="AF25" s="32">
        <f t="shared" si="16"/>
        <v>92636.419354838712</v>
      </c>
      <c r="AG25" s="31">
        <v>314099.65391139587</v>
      </c>
      <c r="AH25" s="36">
        <f t="shared" si="17"/>
        <v>-18.934952824172456</v>
      </c>
      <c r="AJ25" s="77">
        <v>-20</v>
      </c>
      <c r="AK25" s="78">
        <f t="shared" si="18"/>
        <v>-9.4674764120862349</v>
      </c>
      <c r="AL25" s="78">
        <f t="shared" si="10"/>
        <v>-6.2813962456886436</v>
      </c>
      <c r="AM25" s="79">
        <f t="shared" si="8"/>
        <v>-5.8325305608905555</v>
      </c>
      <c r="AN25" s="79">
        <f t="shared" si="9"/>
        <v>-12.113926806579199</v>
      </c>
      <c r="AO25" s="53">
        <f t="shared" si="11"/>
        <v>6.2813962456886436</v>
      </c>
    </row>
    <row r="26" spans="1:4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/>
      <c r="J26" s="39"/>
      <c r="K26" s="39"/>
      <c r="L26" s="40"/>
      <c r="M26" s="2"/>
      <c r="N26" s="11">
        <f t="shared" si="7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0">
        <f t="shared" si="5"/>
        <v>0</v>
      </c>
      <c r="U26" s="17">
        <f t="shared" si="0"/>
        <v>0</v>
      </c>
      <c r="V26" s="3"/>
      <c r="W26" s="6">
        <f t="shared" si="6"/>
        <v>0</v>
      </c>
      <c r="X26" s="2"/>
      <c r="Y26" s="2"/>
      <c r="Z26" s="28">
        <f t="shared" si="12"/>
        <v>-30</v>
      </c>
      <c r="AA26" s="30">
        <f t="shared" si="13"/>
        <v>0.30709677419354836</v>
      </c>
      <c r="AB26" s="31">
        <v>350958.76462212694</v>
      </c>
      <c r="AC26" s="36">
        <f t="shared" si="14"/>
        <v>-9.4220943685329495</v>
      </c>
      <c r="AD26" s="2"/>
      <c r="AE26" s="28">
        <f t="shared" si="15"/>
        <v>-30</v>
      </c>
      <c r="AF26" s="32">
        <f t="shared" si="16"/>
        <v>108075.82258064515</v>
      </c>
      <c r="AG26" s="31">
        <v>332441.28922803642</v>
      </c>
      <c r="AH26" s="36">
        <f t="shared" si="17"/>
        <v>-14.201214618129351</v>
      </c>
      <c r="AJ26" s="77">
        <v>-10</v>
      </c>
      <c r="AK26" s="78">
        <f t="shared" si="18"/>
        <v>-4.7337382060431175</v>
      </c>
      <c r="AL26" s="78">
        <f t="shared" si="10"/>
        <v>-3.1406981228443218</v>
      </c>
      <c r="AM26" s="79">
        <f t="shared" si="8"/>
        <v>-2.9162652804452858</v>
      </c>
      <c r="AN26" s="79">
        <f t="shared" si="9"/>
        <v>-6.0569634032895916</v>
      </c>
      <c r="AO26" s="53">
        <f t="shared" si="11"/>
        <v>3.1406981228443072</v>
      </c>
    </row>
    <row r="27" spans="1:4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7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0">
        <f t="shared" si="5"/>
        <v>0</v>
      </c>
      <c r="U27" s="17">
        <f t="shared" si="0"/>
        <v>0</v>
      </c>
      <c r="V27" s="3"/>
      <c r="W27" s="6">
        <f t="shared" si="6"/>
        <v>0</v>
      </c>
      <c r="X27" s="2"/>
      <c r="Y27" s="2"/>
      <c r="Z27" s="28">
        <f t="shared" si="12"/>
        <v>-20</v>
      </c>
      <c r="AA27" s="30">
        <f t="shared" si="13"/>
        <v>0.35096774193548391</v>
      </c>
      <c r="AB27" s="31">
        <v>363127.90814073733</v>
      </c>
      <c r="AC27" s="36">
        <f t="shared" si="14"/>
        <v>-6.2813962456886436</v>
      </c>
      <c r="AD27" s="2"/>
      <c r="AE27" s="28">
        <f t="shared" si="15"/>
        <v>-20</v>
      </c>
      <c r="AF27" s="32">
        <f t="shared" si="16"/>
        <v>123515.22580645162</v>
      </c>
      <c r="AG27" s="31">
        <v>350782.92454467702</v>
      </c>
      <c r="AH27" s="36">
        <f t="shared" si="17"/>
        <v>-9.4674764120862349</v>
      </c>
      <c r="AJ27" s="77">
        <v>0</v>
      </c>
      <c r="AK27" s="78">
        <f t="shared" si="18"/>
        <v>0</v>
      </c>
      <c r="AL27" s="78">
        <f t="shared" si="10"/>
        <v>0</v>
      </c>
      <c r="AM27" s="79">
        <f t="shared" si="8"/>
        <v>0</v>
      </c>
      <c r="AN27" s="79">
        <f t="shared" si="9"/>
        <v>0</v>
      </c>
      <c r="AO27" s="53">
        <f t="shared" si="11"/>
        <v>0</v>
      </c>
    </row>
    <row r="28" spans="1:4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7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0">
        <f t="shared" si="5"/>
        <v>0</v>
      </c>
      <c r="U28" s="17">
        <f t="shared" si="0"/>
        <v>0</v>
      </c>
      <c r="V28" s="3"/>
      <c r="W28" s="6">
        <f t="shared" si="6"/>
        <v>0</v>
      </c>
      <c r="X28" s="2"/>
      <c r="Y28" s="2"/>
      <c r="Z28" s="28">
        <f t="shared" si="12"/>
        <v>-10</v>
      </c>
      <c r="AA28" s="30">
        <f t="shared" si="13"/>
        <v>0.39483870967741935</v>
      </c>
      <c r="AB28" s="31">
        <v>375297.05165934778</v>
      </c>
      <c r="AC28" s="36">
        <f t="shared" si="14"/>
        <v>-3.1406981228443218</v>
      </c>
      <c r="AD28" s="2"/>
      <c r="AE28" s="28">
        <f t="shared" si="15"/>
        <v>-10</v>
      </c>
      <c r="AF28" s="32">
        <f t="shared" si="16"/>
        <v>138954.62903225806</v>
      </c>
      <c r="AG28" s="31">
        <v>369124.55986131763</v>
      </c>
      <c r="AH28" s="36">
        <f t="shared" si="17"/>
        <v>-4.7337382060431175</v>
      </c>
      <c r="AJ28" s="77">
        <v>10</v>
      </c>
      <c r="AK28" s="78">
        <f t="shared" si="18"/>
        <v>4.7337382060431175</v>
      </c>
      <c r="AL28" s="78">
        <f t="shared" si="10"/>
        <v>3.1406981228443072</v>
      </c>
      <c r="AM28" s="79">
        <f t="shared" si="8"/>
        <v>2.9162652804452702</v>
      </c>
      <c r="AN28" s="79">
        <f t="shared" si="9"/>
        <v>6.0569634032895916</v>
      </c>
      <c r="AO28" s="53">
        <f t="shared" si="11"/>
        <v>-3.1406981228443218</v>
      </c>
    </row>
    <row r="29" spans="1:4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7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0">
        <f t="shared" si="5"/>
        <v>0</v>
      </c>
      <c r="U29" s="17">
        <f t="shared" si="0"/>
        <v>0</v>
      </c>
      <c r="V29" s="3"/>
      <c r="W29" s="6">
        <f t="shared" si="6"/>
        <v>0</v>
      </c>
      <c r="X29" s="2"/>
      <c r="Y29" s="2"/>
      <c r="Z29" s="41">
        <v>0</v>
      </c>
      <c r="AA29" s="55">
        <f t="shared" si="13"/>
        <v>0.43870967741935485</v>
      </c>
      <c r="AB29" s="42">
        <v>387466.19517795823</v>
      </c>
      <c r="AC29" s="56">
        <f t="shared" si="14"/>
        <v>0</v>
      </c>
      <c r="AD29" s="2"/>
      <c r="AE29" s="41">
        <v>0</v>
      </c>
      <c r="AF29" s="47">
        <f t="shared" si="16"/>
        <v>154394.03225806452</v>
      </c>
      <c r="AG29" s="42">
        <v>387466.19517795823</v>
      </c>
      <c r="AH29" s="56">
        <f t="shared" si="17"/>
        <v>0</v>
      </c>
      <c r="AJ29" s="77">
        <v>20</v>
      </c>
      <c r="AK29" s="78">
        <f t="shared" si="18"/>
        <v>9.4674764120862349</v>
      </c>
      <c r="AL29" s="78">
        <f t="shared" si="10"/>
        <v>6.2813962456886436</v>
      </c>
      <c r="AM29" s="79">
        <f t="shared" si="8"/>
        <v>5.8325305608905404</v>
      </c>
      <c r="AN29" s="79">
        <f t="shared" si="9"/>
        <v>12.113926806579169</v>
      </c>
      <c r="AO29" s="53">
        <f t="shared" si="11"/>
        <v>-6.2813962456886436</v>
      </c>
    </row>
    <row r="30" spans="1:4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/>
      <c r="J30" s="43"/>
      <c r="K30" s="8"/>
      <c r="L30" s="9"/>
      <c r="M30" s="2"/>
      <c r="N30" s="11">
        <f t="shared" si="7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0">
        <f t="shared" si="5"/>
        <v>0</v>
      </c>
      <c r="U30" s="17">
        <f t="shared" si="0"/>
        <v>0</v>
      </c>
      <c r="V30" s="3"/>
      <c r="W30" s="6">
        <f t="shared" si="6"/>
        <v>0</v>
      </c>
      <c r="X30" s="2"/>
      <c r="Y30" s="2"/>
      <c r="Z30" s="28">
        <f t="shared" ref="Z30:Z34" si="19">Z29+10</f>
        <v>10</v>
      </c>
      <c r="AA30" s="30">
        <f t="shared" si="13"/>
        <v>0.4825806451612904</v>
      </c>
      <c r="AB30" s="31">
        <v>399635.33869656862</v>
      </c>
      <c r="AC30" s="36">
        <f t="shared" si="14"/>
        <v>3.1406981228443072</v>
      </c>
      <c r="AD30" s="2"/>
      <c r="AE30" s="28">
        <f t="shared" ref="AE30:AE34" si="20">AE29+10</f>
        <v>10</v>
      </c>
      <c r="AF30" s="32">
        <f t="shared" si="16"/>
        <v>169833.43548387097</v>
      </c>
      <c r="AG30" s="31">
        <v>405807.83049459883</v>
      </c>
      <c r="AH30" s="36">
        <f t="shared" si="17"/>
        <v>4.7337382060431175</v>
      </c>
      <c r="AJ30" s="77">
        <v>30</v>
      </c>
      <c r="AK30" s="78">
        <f t="shared" si="18"/>
        <v>14.201214618129351</v>
      </c>
      <c r="AL30" s="78">
        <f t="shared" si="10"/>
        <v>9.4220943685329654</v>
      </c>
      <c r="AM30" s="79">
        <f t="shared" si="8"/>
        <v>8.7487958413358271</v>
      </c>
      <c r="AN30" s="79">
        <f t="shared" si="9"/>
        <v>18.170890209868805</v>
      </c>
      <c r="AO30" s="53">
        <f t="shared" si="11"/>
        <v>-9.4220943685329495</v>
      </c>
    </row>
    <row r="31" spans="1:41" ht="15.75" customHeight="1" x14ac:dyDescent="0.25">
      <c r="A31" s="24" t="s">
        <v>171</v>
      </c>
      <c r="B31" s="6">
        <f t="shared" ref="B31:B32" si="21">IF(B11=0,0,-(B11/100)*$B$45)</f>
        <v>0</v>
      </c>
      <c r="C31" s="2" t="s">
        <v>3</v>
      </c>
      <c r="D31" s="2"/>
      <c r="E31" s="15" t="s">
        <v>95</v>
      </c>
      <c r="F31" s="23">
        <f>(J16/100)*B47</f>
        <v>46318.209677419356</v>
      </c>
      <c r="G31" s="2" t="s">
        <v>3</v>
      </c>
      <c r="H31" s="2"/>
      <c r="I31" s="1" t="s">
        <v>106</v>
      </c>
      <c r="J31" s="45">
        <f>SUM(J32:J36)</f>
        <v>14648.52077419355</v>
      </c>
      <c r="K31" s="1" t="s">
        <v>49</v>
      </c>
      <c r="L31" s="14"/>
      <c r="M31" s="2"/>
      <c r="N31" s="11">
        <f t="shared" si="7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0">
        <f t="shared" si="5"/>
        <v>0</v>
      </c>
      <c r="U31" s="17">
        <f t="shared" si="0"/>
        <v>0</v>
      </c>
      <c r="V31" s="3"/>
      <c r="W31" s="6">
        <f t="shared" si="6"/>
        <v>0</v>
      </c>
      <c r="X31" s="2"/>
      <c r="Y31" s="2"/>
      <c r="Z31" s="28">
        <f t="shared" si="19"/>
        <v>20</v>
      </c>
      <c r="AA31" s="30">
        <f t="shared" si="13"/>
        <v>0.52645161290322584</v>
      </c>
      <c r="AB31" s="31">
        <v>411804.48221517913</v>
      </c>
      <c r="AC31" s="36">
        <f t="shared" si="14"/>
        <v>6.2813962456886436</v>
      </c>
      <c r="AD31" s="2"/>
      <c r="AE31" s="28">
        <f t="shared" si="20"/>
        <v>20</v>
      </c>
      <c r="AF31" s="32">
        <f t="shared" si="16"/>
        <v>185272.83870967742</v>
      </c>
      <c r="AG31" s="31">
        <v>424149.46581123944</v>
      </c>
      <c r="AH31" s="36">
        <f t="shared" si="17"/>
        <v>9.4674764120862349</v>
      </c>
      <c r="AJ31" s="77">
        <v>40</v>
      </c>
      <c r="AK31" s="78">
        <f t="shared" si="18"/>
        <v>18.934952824172456</v>
      </c>
      <c r="AL31" s="78">
        <f t="shared" si="10"/>
        <v>12.562792491377243</v>
      </c>
      <c r="AM31" s="79">
        <f t="shared" si="8"/>
        <v>11.665061121781127</v>
      </c>
      <c r="AN31" s="79">
        <f t="shared" si="9"/>
        <v>24.227853613158384</v>
      </c>
      <c r="AO31" s="53">
        <f t="shared" si="11"/>
        <v>-12.562792491377287</v>
      </c>
    </row>
    <row r="32" spans="1:41" ht="15.75" customHeight="1" x14ac:dyDescent="0.25">
      <c r="A32" s="24" t="s">
        <v>44</v>
      </c>
      <c r="B32" s="6">
        <f t="shared" si="21"/>
        <v>0</v>
      </c>
      <c r="C32" s="2" t="s">
        <v>3</v>
      </c>
      <c r="D32" s="2"/>
      <c r="E32" s="15" t="s">
        <v>97</v>
      </c>
      <c r="F32" s="6">
        <f>B47-F31</f>
        <v>108075.82258064515</v>
      </c>
      <c r="G32" s="2" t="s">
        <v>3</v>
      </c>
      <c r="H32" s="2"/>
      <c r="I32" s="15" t="s">
        <v>110</v>
      </c>
      <c r="J32" s="26">
        <f>F16/$B$8</f>
        <v>11.225806451612904</v>
      </c>
      <c r="K32" s="2" t="s">
        <v>49</v>
      </c>
      <c r="L32" s="14"/>
      <c r="M32" s="2"/>
      <c r="N32" s="11">
        <f t="shared" si="7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0">
        <f t="shared" si="5"/>
        <v>0</v>
      </c>
      <c r="U32" s="17">
        <f t="shared" si="0"/>
        <v>0</v>
      </c>
      <c r="V32" s="3"/>
      <c r="W32" s="6">
        <f t="shared" si="6"/>
        <v>0</v>
      </c>
      <c r="X32" s="2"/>
      <c r="Y32" s="2"/>
      <c r="Z32" s="28">
        <f t="shared" si="19"/>
        <v>30</v>
      </c>
      <c r="AA32" s="30">
        <f t="shared" si="13"/>
        <v>0.57032258064516128</v>
      </c>
      <c r="AB32" s="31">
        <v>423973.62573378958</v>
      </c>
      <c r="AC32" s="36">
        <f t="shared" si="14"/>
        <v>9.4220943685329654</v>
      </c>
      <c r="AD32" s="2"/>
      <c r="AE32" s="28">
        <f t="shared" si="20"/>
        <v>30</v>
      </c>
      <c r="AF32" s="32">
        <f t="shared" si="16"/>
        <v>200712.24193548388</v>
      </c>
      <c r="AG32" s="31">
        <v>442491.10112788004</v>
      </c>
      <c r="AH32" s="36">
        <f t="shared" si="17"/>
        <v>14.201214618129351</v>
      </c>
      <c r="AJ32" s="77">
        <v>50</v>
      </c>
      <c r="AK32" s="78">
        <f t="shared" si="18"/>
        <v>23.668691030215602</v>
      </c>
      <c r="AL32" s="78">
        <f t="shared" si="10"/>
        <v>15.703490614221579</v>
      </c>
      <c r="AM32" s="79">
        <f t="shared" si="8"/>
        <v>14.581326402226383</v>
      </c>
      <c r="AN32" s="79">
        <f t="shared" si="9"/>
        <v>30.284817016447974</v>
      </c>
      <c r="AO32" s="53">
        <f t="shared" si="11"/>
        <v>-15.703490614221607</v>
      </c>
    </row>
    <row r="33" spans="1:34" ht="15.75" customHeight="1" x14ac:dyDescent="0.25">
      <c r="A33" s="24" t="s">
        <v>50</v>
      </c>
      <c r="B33" s="6">
        <f t="shared" ref="B33:B35" si="22">IF(B13=0,0,(B13/100)*$B$44)</f>
        <v>11773.548387096775</v>
      </c>
      <c r="C33" s="2" t="s">
        <v>3</v>
      </c>
      <c r="D33" s="2"/>
      <c r="E33" s="15" t="s">
        <v>98</v>
      </c>
      <c r="F33" s="23">
        <f>F32*(F21/100)*J15</f>
        <v>50255.257500000007</v>
      </c>
      <c r="G33" s="2" t="s">
        <v>3</v>
      </c>
      <c r="H33" s="2"/>
      <c r="I33" s="15" t="s">
        <v>74</v>
      </c>
      <c r="J33" s="26">
        <f>F19/$B$8</f>
        <v>0</v>
      </c>
      <c r="K33" s="2" t="s">
        <v>49</v>
      </c>
      <c r="L33" s="14"/>
      <c r="M33" s="2"/>
      <c r="N33" s="11">
        <f t="shared" si="7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0">
        <f t="shared" si="5"/>
        <v>0</v>
      </c>
      <c r="U33" s="17">
        <f t="shared" si="0"/>
        <v>0</v>
      </c>
      <c r="V33" s="3"/>
      <c r="W33" s="6">
        <f t="shared" si="6"/>
        <v>0</v>
      </c>
      <c r="X33" s="2"/>
      <c r="Y33" s="2"/>
      <c r="Z33" s="28">
        <f t="shared" si="19"/>
        <v>40</v>
      </c>
      <c r="AA33" s="30">
        <f t="shared" si="13"/>
        <v>0.61419354838709672</v>
      </c>
      <c r="AB33" s="31">
        <v>436142.76925239986</v>
      </c>
      <c r="AC33" s="36">
        <f t="shared" si="14"/>
        <v>12.562792491377243</v>
      </c>
      <c r="AD33" s="2"/>
      <c r="AE33" s="28">
        <f t="shared" si="20"/>
        <v>40</v>
      </c>
      <c r="AF33" s="32">
        <f t="shared" si="16"/>
        <v>216151.6451612903</v>
      </c>
      <c r="AG33" s="31">
        <v>460832.73644452059</v>
      </c>
      <c r="AH33" s="36">
        <f t="shared" si="17"/>
        <v>18.934952824172456</v>
      </c>
    </row>
    <row r="34" spans="1:34" ht="15.75" customHeight="1" x14ac:dyDescent="0.25">
      <c r="A34" s="24" t="s">
        <v>54</v>
      </c>
      <c r="B34" s="6">
        <f t="shared" si="22"/>
        <v>8027.4193548387102</v>
      </c>
      <c r="C34" s="2" t="s">
        <v>3</v>
      </c>
      <c r="D34" s="2"/>
      <c r="E34" s="2"/>
      <c r="F34" s="35"/>
      <c r="G34" s="2"/>
      <c r="H34" s="2"/>
      <c r="I34" s="15" t="s">
        <v>63</v>
      </c>
      <c r="J34" s="26">
        <f>F15/$B$8</f>
        <v>0</v>
      </c>
      <c r="K34" s="2" t="s">
        <v>49</v>
      </c>
      <c r="L34" s="14"/>
      <c r="M34" s="2"/>
      <c r="N34" s="11">
        <f t="shared" si="7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0">
        <f t="shared" si="5"/>
        <v>0</v>
      </c>
      <c r="U34" s="17">
        <f t="shared" si="0"/>
        <v>0</v>
      </c>
      <c r="V34" s="3"/>
      <c r="W34" s="6">
        <f t="shared" si="6"/>
        <v>0</v>
      </c>
      <c r="X34" s="2"/>
      <c r="Y34" s="2"/>
      <c r="Z34" s="28">
        <f t="shared" si="19"/>
        <v>50</v>
      </c>
      <c r="AA34" s="30">
        <f t="shared" si="13"/>
        <v>0.65806451612903227</v>
      </c>
      <c r="AB34" s="31">
        <v>448311.91277101036</v>
      </c>
      <c r="AC34" s="36">
        <f t="shared" si="14"/>
        <v>15.703490614221579</v>
      </c>
      <c r="AD34" s="2"/>
      <c r="AE34" s="28">
        <f t="shared" si="20"/>
        <v>50</v>
      </c>
      <c r="AF34" s="32">
        <f t="shared" si="16"/>
        <v>231591.04838709679</v>
      </c>
      <c r="AG34" s="31">
        <v>479174.37176116131</v>
      </c>
      <c r="AH34" s="36">
        <f t="shared" si="17"/>
        <v>23.668691030215602</v>
      </c>
    </row>
    <row r="35" spans="1:34" ht="15.75" customHeight="1" x14ac:dyDescent="0.25">
      <c r="A35" s="2" t="s">
        <v>58</v>
      </c>
      <c r="B35" s="5">
        <f t="shared" si="22"/>
        <v>23547.096774193549</v>
      </c>
      <c r="C35" s="2" t="s">
        <v>3</v>
      </c>
      <c r="D35" s="2"/>
      <c r="E35" s="1" t="s">
        <v>103</v>
      </c>
      <c r="F35" s="2"/>
      <c r="G35" s="2"/>
      <c r="H35" s="2"/>
      <c r="I35" s="2" t="s">
        <v>88</v>
      </c>
      <c r="J35" s="35">
        <f>F22/B8</f>
        <v>3.870967741935484</v>
      </c>
      <c r="K35" s="2" t="s">
        <v>49</v>
      </c>
      <c r="L35" s="14"/>
      <c r="M35" s="2"/>
      <c r="N35" s="11">
        <f t="shared" si="7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0">
        <f t="shared" si="5"/>
        <v>0</v>
      </c>
      <c r="U35" s="17">
        <f t="shared" si="0"/>
        <v>0</v>
      </c>
      <c r="V35" s="3"/>
      <c r="W35" s="6">
        <f t="shared" si="6"/>
        <v>0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5.75" customHeight="1" x14ac:dyDescent="0.25">
      <c r="A36" s="24" t="s">
        <v>179</v>
      </c>
      <c r="B36" s="6">
        <f t="shared" ref="B36:B40" si="23">IF(B18=0,0,(B18/100)*$B$44)</f>
        <v>4013.7096774193551</v>
      </c>
      <c r="C36" s="2" t="s">
        <v>3</v>
      </c>
      <c r="D36" s="2"/>
      <c r="E36" s="15" t="s">
        <v>175</v>
      </c>
      <c r="F36" s="18">
        <f>F13/$B$8</f>
        <v>0.43870967741935485</v>
      </c>
      <c r="G36" s="2" t="s">
        <v>130</v>
      </c>
      <c r="H36" s="2"/>
      <c r="I36" s="15" t="s">
        <v>48</v>
      </c>
      <c r="J36" s="19">
        <f>F20*F12/$B$8</f>
        <v>14633.424000000001</v>
      </c>
      <c r="K36" s="2" t="s">
        <v>49</v>
      </c>
      <c r="L36" s="14"/>
      <c r="M36" s="2"/>
      <c r="N36" s="11">
        <f t="shared" si="7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0">
        <f t="shared" si="5"/>
        <v>0</v>
      </c>
      <c r="U36" s="17">
        <f t="shared" si="0"/>
        <v>0</v>
      </c>
      <c r="V36" s="3"/>
      <c r="W36" s="6">
        <f t="shared" si="6"/>
        <v>0</v>
      </c>
      <c r="X36" s="2"/>
      <c r="Y36" s="2"/>
      <c r="Z36" s="27" t="s">
        <v>48</v>
      </c>
      <c r="AA36" s="28"/>
      <c r="AB36" s="28"/>
      <c r="AC36" s="28"/>
      <c r="AD36" s="2"/>
      <c r="AE36" s="27" t="s">
        <v>104</v>
      </c>
      <c r="AF36" s="28"/>
      <c r="AG36" s="28"/>
      <c r="AH36" s="28"/>
    </row>
    <row r="37" spans="1:34" ht="15.75" customHeight="1" x14ac:dyDescent="0.25">
      <c r="A37" s="24" t="s">
        <v>180</v>
      </c>
      <c r="B37" s="6">
        <f t="shared" si="23"/>
        <v>0</v>
      </c>
      <c r="C37" s="2" t="s">
        <v>3</v>
      </c>
      <c r="D37" s="2"/>
      <c r="E37" s="15" t="s">
        <v>176</v>
      </c>
      <c r="F37" s="44">
        <f>F36*J10</f>
        <v>0.21496774193548387</v>
      </c>
      <c r="G37" s="2" t="s">
        <v>4</v>
      </c>
      <c r="H37" s="2"/>
      <c r="I37" s="2"/>
      <c r="J37" s="2"/>
      <c r="K37" s="2"/>
      <c r="L37" s="14"/>
      <c r="M37" s="2"/>
      <c r="N37" s="11">
        <f t="shared" si="7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0">
        <f t="shared" si="5"/>
        <v>0</v>
      </c>
      <c r="U37" s="17">
        <f t="shared" si="0"/>
        <v>0</v>
      </c>
      <c r="V37" s="3"/>
      <c r="W37" s="6">
        <f t="shared" si="6"/>
        <v>0</v>
      </c>
      <c r="X37" s="2"/>
      <c r="Y37" s="2"/>
      <c r="Z37" s="28" t="s">
        <v>80</v>
      </c>
      <c r="AA37" s="28" t="s">
        <v>121</v>
      </c>
      <c r="AB37" s="28" t="s">
        <v>23</v>
      </c>
      <c r="AC37" s="28" t="s">
        <v>82</v>
      </c>
      <c r="AD37" s="2"/>
      <c r="AE37" s="28" t="s">
        <v>80</v>
      </c>
      <c r="AF37" s="28" t="s">
        <v>108</v>
      </c>
      <c r="AG37" s="28" t="s">
        <v>23</v>
      </c>
      <c r="AH37" s="28" t="s">
        <v>82</v>
      </c>
    </row>
    <row r="38" spans="1:34" ht="15.75" customHeight="1" x14ac:dyDescent="0.25">
      <c r="A38" s="24" t="s">
        <v>73</v>
      </c>
      <c r="B38" s="6">
        <f t="shared" si="23"/>
        <v>0</v>
      </c>
      <c r="C38" s="2" t="s">
        <v>3</v>
      </c>
      <c r="D38" s="2"/>
      <c r="E38" s="15" t="s">
        <v>137</v>
      </c>
      <c r="F38" s="35">
        <f>F37*F12</f>
        <v>15123.625548387097</v>
      </c>
      <c r="G38" s="25" t="s">
        <v>49</v>
      </c>
      <c r="H38" s="2"/>
      <c r="I38" s="2"/>
      <c r="J38" s="2"/>
      <c r="K38" s="2"/>
      <c r="L38" s="14"/>
      <c r="M38" s="2"/>
      <c r="N38" s="11">
        <f t="shared" si="7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0">
        <f t="shared" si="5"/>
        <v>0</v>
      </c>
      <c r="U38" s="17">
        <f t="shared" si="0"/>
        <v>0</v>
      </c>
      <c r="V38" s="3"/>
      <c r="W38" s="6">
        <f t="shared" si="6"/>
        <v>0</v>
      </c>
      <c r="X38" s="2"/>
      <c r="Y38" s="2"/>
      <c r="Z38" s="28" t="s">
        <v>87</v>
      </c>
      <c r="AA38" s="30">
        <v>14633.424000000001</v>
      </c>
      <c r="AB38" s="31">
        <f>U49</f>
        <v>387466.19517795823</v>
      </c>
      <c r="AC38" s="28"/>
      <c r="AD38" s="2"/>
      <c r="AE38" s="28" t="s">
        <v>87</v>
      </c>
      <c r="AF38" s="32">
        <v>70353</v>
      </c>
      <c r="AG38" s="31">
        <f>U49</f>
        <v>387466.19517795823</v>
      </c>
      <c r="AH38" s="28"/>
    </row>
    <row r="39" spans="1:34" ht="15.75" customHeight="1" x14ac:dyDescent="0.25">
      <c r="A39" s="24" t="s">
        <v>75</v>
      </c>
      <c r="B39" s="6">
        <f t="shared" si="23"/>
        <v>0</v>
      </c>
      <c r="C39" s="2" t="s">
        <v>3</v>
      </c>
      <c r="D39" s="2"/>
      <c r="E39" s="2"/>
      <c r="F39" s="2"/>
      <c r="G39" s="2"/>
      <c r="H39" s="2"/>
      <c r="I39" s="2"/>
      <c r="J39" s="2"/>
      <c r="K39" s="2"/>
      <c r="L39" s="14"/>
      <c r="M39" s="2"/>
      <c r="N39" s="11">
        <f t="shared" si="7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0">
        <f t="shared" si="5"/>
        <v>0</v>
      </c>
      <c r="U39" s="17">
        <f t="shared" si="0"/>
        <v>0</v>
      </c>
      <c r="V39" s="3"/>
      <c r="W39" s="6">
        <f t="shared" si="6"/>
        <v>0</v>
      </c>
      <c r="X39" s="2"/>
      <c r="Y39" s="2"/>
      <c r="Z39" s="28">
        <f t="shared" ref="Z39:Z43" si="24">Z40-10</f>
        <v>-50</v>
      </c>
      <c r="AA39" s="30">
        <f t="shared" ref="AA39:AA49" si="25">$AA$38*(1+(Z39/100))</f>
        <v>7316.7120000000004</v>
      </c>
      <c r="AB39" s="31">
        <f t="dataTable" ref="AB39:AB49" dt2D="0" dtr="0" r1="J36" ca="1"/>
        <v>330968.48456077254</v>
      </c>
      <c r="AC39" s="36">
        <f t="shared" ref="AC39:AC49" si="26">100*((AB39-$AB$44)/$AB$44)</f>
        <v>-14.581326402226397</v>
      </c>
      <c r="AD39" s="2"/>
      <c r="AE39" s="28">
        <f t="shared" ref="AE39:AE43" si="27">AE40-10</f>
        <v>-50</v>
      </c>
      <c r="AF39" s="32">
        <f t="shared" ref="AF39:AF49" si="28">$AF$38*(1+(AE39/100))</f>
        <v>35176.5</v>
      </c>
      <c r="AG39" s="31">
        <f t="dataTable" ref="AG39:AG49" dt2D="0" dtr="0" r1="F12" ca="1"/>
        <v>270122.76696772035</v>
      </c>
      <c r="AH39" s="36">
        <f t="shared" ref="AH39:AH49" si="29">100*((AG39-$AG$44)/$AG$44)</f>
        <v>-30.284817016447992</v>
      </c>
    </row>
    <row r="40" spans="1:34" ht="15.75" customHeight="1" x14ac:dyDescent="0.25">
      <c r="A40" s="24" t="s">
        <v>78</v>
      </c>
      <c r="B40" s="6">
        <f t="shared" si="23"/>
        <v>0</v>
      </c>
      <c r="C40" s="2" t="s">
        <v>3</v>
      </c>
      <c r="D40" s="2"/>
      <c r="E40" s="2"/>
      <c r="F40" s="2"/>
      <c r="G40" s="2"/>
      <c r="H40" s="2"/>
      <c r="I40" s="2"/>
      <c r="J40" s="2"/>
      <c r="K40" s="2"/>
      <c r="L40" s="14"/>
      <c r="M40" s="2"/>
      <c r="N40" s="11">
        <f t="shared" si="7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0">
        <f t="shared" si="5"/>
        <v>0</v>
      </c>
      <c r="U40" s="17">
        <f t="shared" si="0"/>
        <v>0</v>
      </c>
      <c r="V40" s="3"/>
      <c r="W40" s="6">
        <f t="shared" si="6"/>
        <v>0</v>
      </c>
      <c r="X40" s="2"/>
      <c r="Y40" s="2"/>
      <c r="Z40" s="28">
        <f t="shared" si="24"/>
        <v>-40</v>
      </c>
      <c r="AA40" s="30">
        <f t="shared" si="25"/>
        <v>8780.0544000000009</v>
      </c>
      <c r="AB40" s="31">
        <v>342268.02668420965</v>
      </c>
      <c r="AC40" s="36">
        <f t="shared" si="26"/>
        <v>-11.665061121781127</v>
      </c>
      <c r="AD40" s="2"/>
      <c r="AE40" s="28">
        <f t="shared" si="27"/>
        <v>-40</v>
      </c>
      <c r="AF40" s="32">
        <f t="shared" si="28"/>
        <v>42211.799999999996</v>
      </c>
      <c r="AG40" s="31">
        <v>293591.4526097679</v>
      </c>
      <c r="AH40" s="36">
        <f t="shared" si="29"/>
        <v>-24.227853613158398</v>
      </c>
    </row>
    <row r="41" spans="1:34" ht="15.75" customHeight="1" x14ac:dyDescent="0.25">
      <c r="A41" s="2"/>
      <c r="B41" s="2"/>
      <c r="C41" s="2"/>
      <c r="D41" s="2"/>
      <c r="E41" s="15" t="s">
        <v>100</v>
      </c>
      <c r="F41" s="6">
        <f>F12*B5</f>
        <v>703530</v>
      </c>
      <c r="G41" s="2" t="s">
        <v>101</v>
      </c>
      <c r="H41" s="2"/>
      <c r="I41" s="2"/>
      <c r="J41" s="2"/>
      <c r="K41" s="2"/>
      <c r="L41" s="14"/>
      <c r="M41" s="2"/>
      <c r="N41" s="11">
        <f t="shared" si="7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0">
        <f t="shared" si="5"/>
        <v>0</v>
      </c>
      <c r="U41" s="17">
        <f t="shared" si="0"/>
        <v>0</v>
      </c>
      <c r="V41" s="3"/>
      <c r="W41" s="6">
        <f t="shared" si="6"/>
        <v>0</v>
      </c>
      <c r="X41" s="2"/>
      <c r="Y41" s="2"/>
      <c r="Z41" s="28">
        <f t="shared" si="24"/>
        <v>-30</v>
      </c>
      <c r="AA41" s="30">
        <f t="shared" si="25"/>
        <v>10243.3968</v>
      </c>
      <c r="AB41" s="31">
        <v>353567.56880764681</v>
      </c>
      <c r="AC41" s="36">
        <f t="shared" si="26"/>
        <v>-8.7487958413358413</v>
      </c>
      <c r="AD41" s="2"/>
      <c r="AE41" s="28">
        <f t="shared" si="27"/>
        <v>-30</v>
      </c>
      <c r="AF41" s="32">
        <f t="shared" si="28"/>
        <v>49247.1</v>
      </c>
      <c r="AG41" s="31">
        <v>317060.13825181546</v>
      </c>
      <c r="AH41" s="36">
        <f t="shared" si="29"/>
        <v>-18.170890209868805</v>
      </c>
    </row>
    <row r="42" spans="1:34" ht="15.75" customHeight="1" x14ac:dyDescent="0.25">
      <c r="A42" s="22" t="s">
        <v>113</v>
      </c>
      <c r="B42" s="3"/>
      <c r="C42" s="1"/>
      <c r="D42" s="2"/>
      <c r="E42" s="15"/>
      <c r="F42" s="26"/>
      <c r="G42" s="2"/>
      <c r="H42" s="2"/>
      <c r="I42" s="1"/>
      <c r="J42" s="2"/>
      <c r="K42" s="2"/>
      <c r="L42" s="14"/>
      <c r="M42" s="2"/>
      <c r="N42" s="11">
        <f t="shared" si="7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0">
        <f t="shared" si="5"/>
        <v>0</v>
      </c>
      <c r="U42" s="17">
        <f t="shared" si="0"/>
        <v>0</v>
      </c>
      <c r="V42" s="3"/>
      <c r="W42" s="6">
        <f t="shared" si="6"/>
        <v>0</v>
      </c>
      <c r="X42" s="2"/>
      <c r="Y42" s="2"/>
      <c r="Z42" s="28">
        <f t="shared" si="24"/>
        <v>-20</v>
      </c>
      <c r="AA42" s="30">
        <f t="shared" si="25"/>
        <v>11706.739200000002</v>
      </c>
      <c r="AB42" s="31">
        <v>364867.11093108397</v>
      </c>
      <c r="AC42" s="36">
        <f t="shared" si="26"/>
        <v>-5.8325305608905555</v>
      </c>
      <c r="AD42" s="2"/>
      <c r="AE42" s="28">
        <f t="shared" si="27"/>
        <v>-20</v>
      </c>
      <c r="AF42" s="32">
        <f t="shared" si="28"/>
        <v>56282.400000000001</v>
      </c>
      <c r="AG42" s="31">
        <v>340528.82389386307</v>
      </c>
      <c r="AH42" s="36">
        <f t="shared" si="29"/>
        <v>-12.113926806579199</v>
      </c>
    </row>
    <row r="43" spans="1:34" ht="15.75" customHeight="1" x14ac:dyDescent="0.25">
      <c r="A43" s="15" t="s">
        <v>173</v>
      </c>
      <c r="B43" s="6">
        <f>J8/B8</f>
        <v>101935.48387096774</v>
      </c>
      <c r="C43" s="2" t="s">
        <v>3</v>
      </c>
      <c r="D43" s="2"/>
      <c r="E43" s="2"/>
      <c r="F43" s="2"/>
      <c r="G43" s="2"/>
      <c r="H43" s="2"/>
      <c r="I43" s="15"/>
      <c r="J43" s="19"/>
      <c r="K43" s="2"/>
      <c r="L43" s="14"/>
      <c r="M43" s="2"/>
      <c r="N43" s="11">
        <f t="shared" si="7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0">
        <f t="shared" si="5"/>
        <v>0</v>
      </c>
      <c r="U43" s="17">
        <f t="shared" si="0"/>
        <v>0</v>
      </c>
      <c r="V43" s="3"/>
      <c r="W43" s="6">
        <f t="shared" si="6"/>
        <v>0</v>
      </c>
      <c r="X43" s="2"/>
      <c r="Y43" s="2"/>
      <c r="Z43" s="28">
        <f t="shared" si="24"/>
        <v>-10</v>
      </c>
      <c r="AA43" s="30">
        <f t="shared" si="25"/>
        <v>13170.081600000001</v>
      </c>
      <c r="AB43" s="31">
        <v>376166.65305452107</v>
      </c>
      <c r="AC43" s="36">
        <f t="shared" si="26"/>
        <v>-2.9162652804452858</v>
      </c>
      <c r="AD43" s="2"/>
      <c r="AE43" s="28">
        <f t="shared" si="27"/>
        <v>-10</v>
      </c>
      <c r="AF43" s="32">
        <f t="shared" si="28"/>
        <v>63317.700000000004</v>
      </c>
      <c r="AG43" s="31">
        <v>363997.50953591068</v>
      </c>
      <c r="AH43" s="36">
        <f t="shared" si="29"/>
        <v>-6.0569634032895916</v>
      </c>
    </row>
    <row r="44" spans="1:34" ht="15.75" customHeight="1" x14ac:dyDescent="0.25">
      <c r="A44" s="2" t="s">
        <v>117</v>
      </c>
      <c r="B44" s="23">
        <f>(1+B16/100)*B43</f>
        <v>107032.25806451614</v>
      </c>
      <c r="C44" s="2" t="s">
        <v>3</v>
      </c>
      <c r="D44" s="2"/>
      <c r="E44" s="2"/>
      <c r="F44" s="2"/>
      <c r="G44" s="2"/>
      <c r="H44" s="2"/>
      <c r="I44" s="2"/>
      <c r="J44" s="2"/>
      <c r="K44" s="2"/>
      <c r="L44" s="14"/>
      <c r="M44" s="2"/>
      <c r="N44" s="11">
        <f t="shared" si="7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0">
        <f t="shared" si="5"/>
        <v>0</v>
      </c>
      <c r="U44" s="17">
        <f t="shared" si="0"/>
        <v>0</v>
      </c>
      <c r="V44" s="3"/>
      <c r="W44" s="6">
        <f t="shared" si="6"/>
        <v>0</v>
      </c>
      <c r="X44" s="2"/>
      <c r="Y44" s="2"/>
      <c r="Z44" s="41">
        <v>0</v>
      </c>
      <c r="AA44" s="55">
        <f t="shared" si="25"/>
        <v>14633.424000000001</v>
      </c>
      <c r="AB44" s="42">
        <v>387466.19517795823</v>
      </c>
      <c r="AC44" s="62">
        <f t="shared" si="26"/>
        <v>0</v>
      </c>
      <c r="AD44" s="2"/>
      <c r="AE44" s="41">
        <v>0</v>
      </c>
      <c r="AF44" s="47">
        <f t="shared" si="28"/>
        <v>70353</v>
      </c>
      <c r="AG44" s="42">
        <v>387466.19517795823</v>
      </c>
      <c r="AH44" s="56">
        <f t="shared" si="29"/>
        <v>0</v>
      </c>
    </row>
    <row r="45" spans="1:34" ht="15.75" customHeight="1" x14ac:dyDescent="0.25">
      <c r="A45" s="24" t="s">
        <v>138</v>
      </c>
      <c r="B45" s="6">
        <f>SUM(B33:B40)+B44</f>
        <v>154394.03225806452</v>
      </c>
      <c r="C45" s="2" t="s">
        <v>3</v>
      </c>
      <c r="D45" s="2"/>
      <c r="E45" s="2"/>
      <c r="F45" s="2"/>
      <c r="G45" s="2"/>
      <c r="H45" s="2"/>
      <c r="I45" s="2"/>
      <c r="J45" s="2"/>
      <c r="K45" s="2"/>
      <c r="L45" s="14"/>
      <c r="M45" s="2"/>
      <c r="N45" s="11">
        <f t="shared" si="7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0">
        <f t="shared" si="5"/>
        <v>0</v>
      </c>
      <c r="U45" s="17">
        <f t="shared" si="0"/>
        <v>0</v>
      </c>
      <c r="V45" s="3"/>
      <c r="W45" s="6">
        <f t="shared" si="6"/>
        <v>0</v>
      </c>
      <c r="X45" s="2"/>
      <c r="Y45" s="2"/>
      <c r="Z45" s="28">
        <f t="shared" ref="Z45:Z49" si="30">Z44+10</f>
        <v>10</v>
      </c>
      <c r="AA45" s="30">
        <f t="shared" si="25"/>
        <v>16096.766400000002</v>
      </c>
      <c r="AB45" s="31">
        <v>398765.73730139533</v>
      </c>
      <c r="AC45" s="36">
        <f t="shared" si="26"/>
        <v>2.9162652804452702</v>
      </c>
      <c r="AD45" s="2"/>
      <c r="AE45" s="28">
        <f t="shared" ref="AE45:AE49" si="31">AE44+10</f>
        <v>10</v>
      </c>
      <c r="AF45" s="32">
        <f t="shared" si="28"/>
        <v>77388.3</v>
      </c>
      <c r="AG45" s="31">
        <v>410934.88082000578</v>
      </c>
      <c r="AH45" s="36">
        <f t="shared" si="29"/>
        <v>6.0569634032895916</v>
      </c>
    </row>
    <row r="46" spans="1:34" ht="15.75" customHeight="1" x14ac:dyDescent="0.25">
      <c r="A46" s="24" t="s">
        <v>172</v>
      </c>
      <c r="B46" s="6">
        <f>SUM(B31:B32)</f>
        <v>0</v>
      </c>
      <c r="C46" s="2" t="s">
        <v>3</v>
      </c>
      <c r="D46" s="2"/>
      <c r="E46" s="2"/>
      <c r="F46" s="2"/>
      <c r="G46" s="2"/>
      <c r="H46" s="2"/>
      <c r="I46" s="2"/>
      <c r="J46" s="2"/>
      <c r="K46" s="2"/>
      <c r="L46" s="14"/>
      <c r="M46" s="2"/>
      <c r="N46" s="11">
        <f t="shared" si="7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0">
        <f t="shared" si="5"/>
        <v>0</v>
      </c>
      <c r="U46" s="17">
        <f t="shared" si="0"/>
        <v>0</v>
      </c>
      <c r="V46" s="3"/>
      <c r="W46" s="6">
        <f t="shared" si="6"/>
        <v>0</v>
      </c>
      <c r="X46" s="2"/>
      <c r="Y46" s="2"/>
      <c r="Z46" s="28">
        <f t="shared" si="30"/>
        <v>20</v>
      </c>
      <c r="AA46" s="30">
        <f t="shared" si="25"/>
        <v>17560.108800000002</v>
      </c>
      <c r="AB46" s="31">
        <v>410065.27942483244</v>
      </c>
      <c r="AC46" s="36">
        <f t="shared" si="26"/>
        <v>5.8325305608905404</v>
      </c>
      <c r="AD46" s="2"/>
      <c r="AE46" s="28">
        <f t="shared" si="31"/>
        <v>20</v>
      </c>
      <c r="AF46" s="32">
        <f t="shared" si="28"/>
        <v>84423.599999999991</v>
      </c>
      <c r="AG46" s="31">
        <v>434403.56646205328</v>
      </c>
      <c r="AH46" s="36">
        <f t="shared" si="29"/>
        <v>12.113926806579169</v>
      </c>
    </row>
    <row r="47" spans="1:34" ht="15.75" customHeight="1" x14ac:dyDescent="0.25">
      <c r="A47" s="24" t="s">
        <v>174</v>
      </c>
      <c r="B47" s="6">
        <f>SUM(B45:B46)</f>
        <v>154394.03225806452</v>
      </c>
      <c r="C47" s="2" t="s">
        <v>3</v>
      </c>
      <c r="D47" s="2"/>
      <c r="E47" s="2"/>
      <c r="F47" s="2"/>
      <c r="G47" s="2"/>
      <c r="H47" s="2"/>
      <c r="I47" s="2"/>
      <c r="J47" s="2"/>
      <c r="K47" s="2"/>
      <c r="L47" s="14"/>
      <c r="M47" s="2"/>
      <c r="N47" s="11">
        <f t="shared" si="7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0">
        <f t="shared" si="5"/>
        <v>0</v>
      </c>
      <c r="U47" s="17">
        <f t="shared" si="0"/>
        <v>0</v>
      </c>
      <c r="V47" s="3"/>
      <c r="W47" s="6">
        <f t="shared" si="6"/>
        <v>0</v>
      </c>
      <c r="X47" s="2"/>
      <c r="Y47" s="2"/>
      <c r="Z47" s="28">
        <f t="shared" si="30"/>
        <v>30</v>
      </c>
      <c r="AA47" s="30">
        <f t="shared" si="25"/>
        <v>19023.451200000003</v>
      </c>
      <c r="AB47" s="31">
        <v>421364.8215482696</v>
      </c>
      <c r="AC47" s="36">
        <f t="shared" si="26"/>
        <v>8.7487958413358271</v>
      </c>
      <c r="AD47" s="2"/>
      <c r="AE47" s="28">
        <f t="shared" si="31"/>
        <v>30</v>
      </c>
      <c r="AF47" s="32">
        <f t="shared" si="28"/>
        <v>91458.900000000009</v>
      </c>
      <c r="AG47" s="31">
        <v>457872.252104101</v>
      </c>
      <c r="AH47" s="36">
        <f t="shared" si="29"/>
        <v>18.170890209868805</v>
      </c>
    </row>
    <row r="48" spans="1:34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4"/>
      <c r="M48" s="2"/>
      <c r="N48" s="11">
        <f t="shared" si="7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0">
        <f t="shared" si="5"/>
        <v>0</v>
      </c>
      <c r="U48" s="17">
        <f t="shared" si="0"/>
        <v>0</v>
      </c>
      <c r="V48" s="3"/>
      <c r="W48" s="6">
        <f t="shared" si="6"/>
        <v>0</v>
      </c>
      <c r="X48" s="2"/>
      <c r="Y48" s="2"/>
      <c r="Z48" s="28">
        <f t="shared" si="30"/>
        <v>40</v>
      </c>
      <c r="AA48" s="30">
        <f t="shared" si="25"/>
        <v>20486.793600000001</v>
      </c>
      <c r="AB48" s="31">
        <v>432664.36367170681</v>
      </c>
      <c r="AC48" s="36">
        <f t="shared" si="26"/>
        <v>11.665061121781127</v>
      </c>
      <c r="AD48" s="2"/>
      <c r="AE48" s="28">
        <f t="shared" si="31"/>
        <v>40</v>
      </c>
      <c r="AF48" s="32">
        <f t="shared" si="28"/>
        <v>98494.2</v>
      </c>
      <c r="AG48" s="31">
        <v>481340.9377461485</v>
      </c>
      <c r="AH48" s="36">
        <f t="shared" si="29"/>
        <v>24.227853613158384</v>
      </c>
    </row>
    <row r="49" spans="1:34" ht="15.75" customHeight="1" x14ac:dyDescent="0.25">
      <c r="A49" s="13"/>
      <c r="B49" s="5"/>
      <c r="C49" s="2"/>
      <c r="D49" s="2"/>
      <c r="E49" s="2"/>
      <c r="F49" s="2"/>
      <c r="G49" s="2"/>
      <c r="H49" s="2"/>
      <c r="I49" s="2"/>
      <c r="J49" s="2"/>
      <c r="K49" s="2"/>
      <c r="L49" s="14"/>
      <c r="M49" s="2"/>
      <c r="N49" s="12" t="s">
        <v>119</v>
      </c>
      <c r="O49" s="17">
        <f t="shared" ref="O49:U49" si="32">SUM(O8:O48)</f>
        <v>46318.209677419356</v>
      </c>
      <c r="P49" s="17">
        <f t="shared" si="32"/>
        <v>137098.14348898665</v>
      </c>
      <c r="Q49" s="17">
        <f t="shared" si="32"/>
        <v>121691.4351861044</v>
      </c>
      <c r="R49" s="17">
        <f t="shared" si="32"/>
        <v>113111.99452297967</v>
      </c>
      <c r="S49" s="17">
        <f t="shared" si="32"/>
        <v>775.66726226183835</v>
      </c>
      <c r="T49" s="17">
        <f t="shared" si="32"/>
        <v>-31529.254959793707</v>
      </c>
      <c r="U49" s="17">
        <f t="shared" si="32"/>
        <v>387466.19517795823</v>
      </c>
      <c r="V49" s="3"/>
      <c r="W49" s="3"/>
      <c r="X49" s="2"/>
      <c r="Y49" s="2"/>
      <c r="Z49" s="28">
        <f t="shared" si="30"/>
        <v>50</v>
      </c>
      <c r="AA49" s="30">
        <f t="shared" si="25"/>
        <v>21950.136000000002</v>
      </c>
      <c r="AB49" s="31">
        <v>443963.90579514386</v>
      </c>
      <c r="AC49" s="36">
        <f t="shared" si="26"/>
        <v>14.581326402226383</v>
      </c>
      <c r="AD49" s="2"/>
      <c r="AE49" s="28">
        <f t="shared" si="31"/>
        <v>50</v>
      </c>
      <c r="AF49" s="32">
        <f t="shared" si="28"/>
        <v>105529.5</v>
      </c>
      <c r="AG49" s="31">
        <v>504809.62338819605</v>
      </c>
      <c r="AH49" s="36">
        <f t="shared" si="29"/>
        <v>30.284817016447974</v>
      </c>
    </row>
    <row r="50" spans="1:34" ht="15.75" customHeight="1" x14ac:dyDescent="0.25">
      <c r="A50" s="2"/>
      <c r="B50" s="35"/>
      <c r="C50" s="2"/>
      <c r="D50" s="2"/>
      <c r="E50" s="2"/>
      <c r="F50" s="2"/>
      <c r="G50" s="2"/>
      <c r="H50" s="2"/>
      <c r="I50" s="2"/>
      <c r="J50" s="2"/>
      <c r="K50" s="2"/>
      <c r="L50" s="14"/>
      <c r="M50" s="2"/>
      <c r="N50" s="2"/>
      <c r="O50" s="2"/>
      <c r="P50" s="2"/>
      <c r="Q50" s="2"/>
      <c r="R50" s="23">
        <f>SUM(R49:S49)</f>
        <v>113887.66178524151</v>
      </c>
      <c r="S50" s="2"/>
      <c r="T50" s="2"/>
      <c r="U50" s="2"/>
      <c r="V50" s="2"/>
      <c r="W50" s="2"/>
      <c r="X50" s="23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7" t="s">
        <v>197</v>
      </c>
      <c r="AA51" s="28"/>
      <c r="AB51" s="28"/>
      <c r="AC51" s="28"/>
      <c r="AD51" s="2"/>
      <c r="AE51" s="2"/>
      <c r="AF51" s="2"/>
      <c r="AG51" s="2"/>
      <c r="AH51" s="2"/>
    </row>
    <row r="52" spans="1:34" ht="15.75" customHeight="1" x14ac:dyDescent="0.25">
      <c r="A52" s="13"/>
      <c r="B52" s="2"/>
      <c r="C52" s="2"/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8" t="s">
        <v>80</v>
      </c>
      <c r="AA52" s="28" t="s">
        <v>197</v>
      </c>
      <c r="AB52" s="28" t="s">
        <v>23</v>
      </c>
      <c r="AC52" s="28" t="s">
        <v>82</v>
      </c>
      <c r="AD52" s="2"/>
      <c r="AE52" s="2"/>
      <c r="AF52" s="2"/>
      <c r="AG52" s="2"/>
      <c r="AH52" s="2"/>
    </row>
    <row r="53" spans="1:34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35"/>
      <c r="Y53" s="2"/>
      <c r="Z53" s="28" t="s">
        <v>87</v>
      </c>
      <c r="AA53" s="30">
        <v>0.49</v>
      </c>
      <c r="AB53" s="31">
        <f>U49</f>
        <v>387466.19517795823</v>
      </c>
      <c r="AC53" s="28"/>
      <c r="AD53" s="2"/>
      <c r="AE53" s="2"/>
      <c r="AF53" s="2"/>
      <c r="AG53" s="2"/>
      <c r="AH53" s="2"/>
    </row>
    <row r="54" spans="1:34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2"/>
      <c r="V54" s="2"/>
      <c r="W54" s="2"/>
      <c r="X54" s="35"/>
      <c r="Y54" s="2"/>
      <c r="Z54" s="28">
        <f t="shared" ref="Z54:Z58" si="33">Z55-10</f>
        <v>-50</v>
      </c>
      <c r="AA54" s="30">
        <f>$AA$53*(1-(Z54/100))</f>
        <v>0.73499999999999999</v>
      </c>
      <c r="AB54" s="31">
        <f t="dataTable" ref="AB54:AB64" dt2D="0" dtr="0" r1="J10"/>
        <v>448311.91277101036</v>
      </c>
      <c r="AC54" s="36">
        <f>100*((AB54-$AB$59)/$AB$59)</f>
        <v>15.703490614221579</v>
      </c>
      <c r="AD54" s="2"/>
      <c r="AE54" s="2"/>
      <c r="AF54" s="2"/>
      <c r="AG54" s="2"/>
      <c r="AH54" s="2"/>
    </row>
    <row r="55" spans="1:34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183416.35316640601</v>
      </c>
      <c r="Q55" s="2" t="s">
        <v>3</v>
      </c>
      <c r="R55" s="52">
        <f t="shared" ref="R55:R58" si="34">P55/$F$41</f>
        <v>0.26070864521257942</v>
      </c>
      <c r="S55" s="2" t="s">
        <v>4</v>
      </c>
      <c r="T55" s="2"/>
      <c r="U55" s="2"/>
      <c r="V55" s="2"/>
      <c r="W55" s="2"/>
      <c r="X55" s="35"/>
      <c r="Y55" s="2"/>
      <c r="Z55" s="28">
        <f t="shared" si="33"/>
        <v>-40</v>
      </c>
      <c r="AA55" s="30">
        <f t="shared" ref="AA55:AA58" si="35">$AA$53*(1-(Z55/100))</f>
        <v>0.68599999999999994</v>
      </c>
      <c r="AB55" s="31">
        <v>436142.76925239986</v>
      </c>
      <c r="AC55" s="36">
        <f t="shared" ref="AC55:AC64" si="36">100*((AB55-$AB$59)/$AB$59)</f>
        <v>12.562792491377243</v>
      </c>
      <c r="AD55" s="2"/>
      <c r="AE55" s="2"/>
      <c r="AF55" s="2"/>
      <c r="AG55" s="2"/>
      <c r="AH55" s="2"/>
    </row>
    <row r="56" spans="1:34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SUM(Q49)</f>
        <v>121691.4351861044</v>
      </c>
      <c r="Q56" s="2" t="s">
        <v>3</v>
      </c>
      <c r="R56" s="52">
        <f t="shared" si="34"/>
        <v>0.17297263114025613</v>
      </c>
      <c r="S56" s="2" t="s">
        <v>4</v>
      </c>
      <c r="T56" s="2"/>
      <c r="U56" s="2"/>
      <c r="V56" s="2"/>
      <c r="W56" s="2"/>
      <c r="X56" s="35"/>
      <c r="Y56" s="2"/>
      <c r="Z56" s="28">
        <f t="shared" si="33"/>
        <v>-30</v>
      </c>
      <c r="AA56" s="30">
        <f t="shared" si="35"/>
        <v>0.63700000000000001</v>
      </c>
      <c r="AB56" s="31">
        <v>423973.62573378958</v>
      </c>
      <c r="AC56" s="36">
        <f t="shared" si="36"/>
        <v>9.4220943685329654</v>
      </c>
      <c r="AD56" s="2"/>
      <c r="AE56" s="2"/>
      <c r="AF56" s="2"/>
      <c r="AG56" s="2"/>
      <c r="AH56" s="2"/>
    </row>
    <row r="57" spans="1:34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SUM(R49:S49)</f>
        <v>113887.66178524151</v>
      </c>
      <c r="Q57" s="2" t="s">
        <v>3</v>
      </c>
      <c r="R57" s="52">
        <f t="shared" si="34"/>
        <v>0.16188032036336975</v>
      </c>
      <c r="S57" s="2" t="s">
        <v>4</v>
      </c>
      <c r="T57" s="2"/>
      <c r="U57" s="2"/>
      <c r="V57" s="2"/>
      <c r="W57" s="2"/>
      <c r="X57" s="35"/>
      <c r="Y57" s="2"/>
      <c r="Z57" s="28">
        <f t="shared" si="33"/>
        <v>-20</v>
      </c>
      <c r="AA57" s="30">
        <f t="shared" si="35"/>
        <v>0.58799999999999997</v>
      </c>
      <c r="AB57" s="31">
        <v>411804.48221517913</v>
      </c>
      <c r="AC57" s="36">
        <f t="shared" si="36"/>
        <v>6.2813962456886436</v>
      </c>
      <c r="AD57" s="2"/>
      <c r="AE57" s="2"/>
      <c r="AF57" s="2"/>
      <c r="AG57" s="2"/>
      <c r="AH57" s="2"/>
    </row>
    <row r="58" spans="1:34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126</v>
      </c>
      <c r="P58" s="23">
        <f>T49</f>
        <v>-31529.254959793707</v>
      </c>
      <c r="Q58" s="2" t="s">
        <v>3</v>
      </c>
      <c r="R58" s="52">
        <f t="shared" si="34"/>
        <v>-4.4815793157070356E-2</v>
      </c>
      <c r="S58" s="2" t="s">
        <v>4</v>
      </c>
      <c r="T58" s="2"/>
      <c r="U58" s="2"/>
      <c r="V58" s="2"/>
      <c r="W58" s="2"/>
      <c r="X58" s="35"/>
      <c r="Y58" s="2"/>
      <c r="Z58" s="28">
        <f t="shared" si="33"/>
        <v>-10</v>
      </c>
      <c r="AA58" s="30">
        <f t="shared" si="35"/>
        <v>0.53900000000000003</v>
      </c>
      <c r="AB58" s="31">
        <v>399635.33869656862</v>
      </c>
      <c r="AC58" s="36">
        <f t="shared" si="36"/>
        <v>3.1406981228443072</v>
      </c>
      <c r="AD58" s="2"/>
      <c r="AE58" s="2"/>
      <c r="AF58" s="2"/>
      <c r="AG58" s="2"/>
      <c r="AH58" s="2"/>
    </row>
    <row r="59" spans="1:34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5"/>
      <c r="Y59" s="2"/>
      <c r="Z59" s="41">
        <v>0</v>
      </c>
      <c r="AA59" s="60">
        <f t="shared" ref="AA59" si="37">$AA$53*(1+(Z59/100))</f>
        <v>0.49</v>
      </c>
      <c r="AB59" s="42">
        <v>387466.19517795823</v>
      </c>
      <c r="AC59" s="62">
        <f t="shared" si="36"/>
        <v>0</v>
      </c>
      <c r="AD59" s="2"/>
      <c r="AE59" s="2"/>
      <c r="AF59" s="2"/>
      <c r="AG59" s="2"/>
      <c r="AH59" s="2"/>
    </row>
    <row r="60" spans="1:34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SUM(P55:P58)</f>
        <v>387466.19517795823</v>
      </c>
      <c r="Q60" s="1" t="s">
        <v>3</v>
      </c>
      <c r="R60" s="46">
        <f>SUM(R55:R58)</f>
        <v>0.55074580355913494</v>
      </c>
      <c r="S60" s="1" t="s">
        <v>4</v>
      </c>
      <c r="T60" s="2"/>
      <c r="U60" s="2"/>
      <c r="V60" s="2"/>
      <c r="W60" s="2"/>
      <c r="X60" s="35"/>
      <c r="Y60" s="2"/>
      <c r="Z60" s="28">
        <f t="shared" ref="Z60:Z64" si="38">Z59+10</f>
        <v>10</v>
      </c>
      <c r="AA60" s="30">
        <f t="shared" ref="AA60:AA64" si="39">$AA$53*(1-(Z60/100))</f>
        <v>0.441</v>
      </c>
      <c r="AB60" s="31">
        <v>375297.05165934778</v>
      </c>
      <c r="AC60" s="36">
        <f t="shared" si="36"/>
        <v>-3.1406981228443218</v>
      </c>
      <c r="AD60" s="2"/>
      <c r="AE60" s="2"/>
      <c r="AF60" s="2"/>
      <c r="AG60" s="2"/>
      <c r="AH60" s="2"/>
    </row>
    <row r="61" spans="1:34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5"/>
      <c r="Y61" s="2"/>
      <c r="Z61" s="28">
        <f t="shared" si="38"/>
        <v>20</v>
      </c>
      <c r="AA61" s="30">
        <f t="shared" si="39"/>
        <v>0.39200000000000002</v>
      </c>
      <c r="AB61" s="31">
        <v>363127.90814073733</v>
      </c>
      <c r="AC61" s="36">
        <f t="shared" si="36"/>
        <v>-6.2813962456886436</v>
      </c>
      <c r="AD61" s="2"/>
      <c r="AE61" s="2"/>
      <c r="AF61" s="2"/>
      <c r="AG61" s="2"/>
      <c r="AH61" s="2"/>
    </row>
    <row r="62" spans="1:34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5"/>
      <c r="Y62" s="2"/>
      <c r="Z62" s="28">
        <f t="shared" si="38"/>
        <v>30</v>
      </c>
      <c r="AA62" s="30">
        <f t="shared" si="39"/>
        <v>0.34299999999999997</v>
      </c>
      <c r="AB62" s="31">
        <v>350958.76462212694</v>
      </c>
      <c r="AC62" s="36">
        <f t="shared" si="36"/>
        <v>-9.4220943685329495</v>
      </c>
      <c r="AD62" s="2"/>
      <c r="AE62" s="2"/>
      <c r="AF62" s="2"/>
      <c r="AG62" s="2"/>
      <c r="AH62" s="2"/>
    </row>
    <row r="63" spans="1:34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35"/>
      <c r="Y63" s="2"/>
      <c r="Z63" s="28">
        <f t="shared" si="38"/>
        <v>40</v>
      </c>
      <c r="AA63" s="30">
        <f t="shared" si="39"/>
        <v>0.29399999999999998</v>
      </c>
      <c r="AB63" s="31">
        <v>338789.62110351643</v>
      </c>
      <c r="AC63" s="36">
        <f t="shared" si="36"/>
        <v>-12.562792491377287</v>
      </c>
      <c r="AD63" s="2"/>
      <c r="AE63" s="2"/>
      <c r="AF63" s="2"/>
      <c r="AG63" s="2"/>
      <c r="AH63" s="2"/>
    </row>
    <row r="64" spans="1:34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5"/>
      <c r="Y64" s="2"/>
      <c r="Z64" s="28">
        <f t="shared" si="38"/>
        <v>50</v>
      </c>
      <c r="AA64" s="30">
        <f t="shared" si="39"/>
        <v>0.245</v>
      </c>
      <c r="AB64" s="31">
        <v>326620.47758490598</v>
      </c>
      <c r="AC64" s="36">
        <f t="shared" si="36"/>
        <v>-15.703490614221607</v>
      </c>
      <c r="AD64" s="2"/>
      <c r="AE64" s="2"/>
      <c r="AF64" s="2"/>
      <c r="AG64" s="2"/>
      <c r="AH64" s="2"/>
    </row>
    <row r="65" spans="1:34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35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5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35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spans="1:34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spans="1:34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spans="1:34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spans="1:34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spans="1:34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34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spans="1:34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spans="1:34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spans="1:34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spans="1:34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spans="1:34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spans="1:34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spans="1:34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spans="1:34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spans="1:34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spans="1:34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spans="1:34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spans="1:34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spans="1:34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spans="1:34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4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spans="1:34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spans="1:34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spans="1:34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spans="1:34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spans="1:34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spans="1:34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spans="1:34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spans="1:34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spans="1:34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spans="1:34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spans="1:34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spans="1:34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spans="1:34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spans="1:34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spans="1:34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spans="1:34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spans="1:34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spans="1:34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spans="1:34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spans="1:34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spans="1:34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spans="1:34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spans="1:34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spans="1:34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spans="1:34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spans="1:34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spans="1:34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spans="1:34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spans="1:34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spans="1:34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spans="1:34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spans="1:34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spans="1:34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4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</sheetData>
  <pageMargins left="0.7" right="0.7" top="0.75" bottom="0.75" header="0" footer="0"/>
  <pageSetup orientation="landscape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/>
  </sheetPr>
  <dimension ref="A1:AY1000"/>
  <sheetViews>
    <sheetView topLeftCell="Z57" zoomScale="85" zoomScaleNormal="85" workbookViewId="0">
      <selection activeCell="AC75" sqref="AC75:AC79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7" customWidth="1"/>
    <col min="7" max="7" width="8.85546875" customWidth="1"/>
    <col min="8" max="8" width="19.28515625" customWidth="1"/>
    <col min="9" max="9" width="47" bestFit="1" customWidth="1"/>
    <col min="10" max="10" width="17.710937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33.7109375" customWidth="1"/>
    <col min="19" max="19" width="16.5703125" customWidth="1"/>
    <col min="20" max="20" width="11.140625" customWidth="1"/>
    <col min="21" max="22" width="31.28515625" customWidth="1"/>
    <col min="23" max="23" width="23.85546875" customWidth="1"/>
    <col min="24" max="25" width="13.42578125" customWidth="1"/>
    <col min="26" max="26" width="19.5703125" customWidth="1"/>
    <col min="27" max="27" width="12.28515625" customWidth="1"/>
    <col min="28" max="28" width="20.140625" customWidth="1"/>
    <col min="29" max="29" width="25.28515625" customWidth="1"/>
    <col min="30" max="30" width="12.85546875" customWidth="1"/>
    <col min="31" max="31" width="19" customWidth="1"/>
    <col min="32" max="32" width="4.7109375" customWidth="1"/>
    <col min="33" max="33" width="20.140625" customWidth="1"/>
    <col min="34" max="34" width="19.28515625" customWidth="1"/>
    <col min="35" max="35" width="11.28515625" customWidth="1"/>
    <col min="36" max="36" width="17.85546875" customWidth="1"/>
    <col min="37" max="37" width="8.85546875" customWidth="1"/>
    <col min="38" max="43" width="19.42578125" customWidth="1"/>
    <col min="44" max="44" width="12.7109375" customWidth="1"/>
    <col min="45" max="51" width="8.85546875" customWidth="1"/>
  </cols>
  <sheetData>
    <row r="1" spans="1:51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25">
      <c r="A2" s="1" t="s">
        <v>2</v>
      </c>
      <c r="B2" s="3">
        <f>X49</f>
        <v>157973.28489761622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2"/>
      <c r="B3" s="4">
        <f>B2/J34</f>
        <v>0.21483668956508098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 t="s">
        <v>7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16</v>
      </c>
      <c r="R7" s="11" t="s">
        <v>17</v>
      </c>
      <c r="S7" s="11" t="s">
        <v>18</v>
      </c>
      <c r="T7" s="11" t="s">
        <v>19</v>
      </c>
      <c r="U7" s="11" t="s">
        <v>20</v>
      </c>
      <c r="V7" s="11" t="s">
        <v>21</v>
      </c>
      <c r="W7" s="11" t="s">
        <v>22</v>
      </c>
      <c r="X7" s="12" t="s">
        <v>23</v>
      </c>
      <c r="Y7" s="1"/>
      <c r="Z7" s="2" t="s">
        <v>24</v>
      </c>
      <c r="AA7" s="2"/>
      <c r="AB7" s="2" t="s">
        <v>25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660000000</v>
      </c>
      <c r="K8" s="2" t="s">
        <v>29</v>
      </c>
      <c r="L8" s="14"/>
      <c r="M8" s="2"/>
      <c r="N8" s="11">
        <v>0</v>
      </c>
      <c r="O8" s="16">
        <f>F31</f>
        <v>21532.599435483869</v>
      </c>
      <c r="P8" s="11"/>
      <c r="Q8" s="11"/>
      <c r="R8" s="11"/>
      <c r="S8" s="11"/>
      <c r="T8" s="11"/>
      <c r="U8" s="11"/>
      <c r="V8" s="11"/>
      <c r="W8" s="11"/>
      <c r="X8" s="17">
        <f t="shared" ref="X8:X48" si="0">SUM(O8:W8)</f>
        <v>21532.599435483869</v>
      </c>
      <c r="Y8" s="3"/>
      <c r="Z8" s="6"/>
      <c r="AA8" s="2"/>
      <c r="AB8" s="2" t="s">
        <v>30</v>
      </c>
      <c r="AC8" s="18">
        <f>F36</f>
        <v>0.15916129032258064</v>
      </c>
      <c r="AD8" s="2" t="s">
        <v>31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3"/>
      <c r="B9" s="2"/>
      <c r="C9" s="2"/>
      <c r="D9" s="2"/>
      <c r="E9" s="2"/>
      <c r="F9" s="19"/>
      <c r="G9" s="2"/>
      <c r="H9" s="14"/>
      <c r="I9" s="15" t="s">
        <v>32</v>
      </c>
      <c r="J9" s="6">
        <v>105</v>
      </c>
      <c r="K9" s="2" t="s">
        <v>31</v>
      </c>
      <c r="L9" s="14"/>
      <c r="M9" s="2"/>
      <c r="N9" s="11">
        <v>1</v>
      </c>
      <c r="O9" s="11"/>
      <c r="P9" s="20">
        <f t="shared" ref="P9:P48" si="1">IF(N9&gt;0,IF(N9&lt;=$J$20,(($F$32+$F$33)/$J$20)/((1+($F$11/100))^N9),0),0)</f>
        <v>14020.114743548387</v>
      </c>
      <c r="Q9" s="21">
        <f t="shared" ref="Q9:Q48" si="2">IF(N9&gt;0,($F$41*((1+($F$14/100))^(N9-1)))/((1+($F$11/100))^N9),0)</f>
        <v>2117.7610208294932</v>
      </c>
      <c r="R9" s="21">
        <f t="shared" ref="R9:R48" si="3">IF(N9&gt;0,$F$40/((1+($F$11/100))^N9),0)</f>
        <v>331.18663594470047</v>
      </c>
      <c r="S9" s="21">
        <f t="shared" ref="S9:S48" si="4">IF(N9&gt;0,$J$37/((1+($F$11/100))^N9),0)</f>
        <v>4226.026052227342</v>
      </c>
      <c r="T9" s="21">
        <f t="shared" ref="T9:T48" si="5">IF(N9&gt;0,(($F$18/100)*($F$19/100)*$B$17*Z9)/((1+($F$11/100))^N9),0)</f>
        <v>0</v>
      </c>
      <c r="U9" s="21">
        <f t="shared" ref="U9:U48" si="6">IF(AND(MOD(N9,$J$31)=0,N9&gt;0),$B$46/((1+($F$11/100))^N9),0)</f>
        <v>0</v>
      </c>
      <c r="V9" s="21">
        <f t="shared" ref="V9:V48" si="7">IF(N9&gt;0,$J$32/((1+($F$11/100))^N9),0)</f>
        <v>0</v>
      </c>
      <c r="W9" s="20">
        <f t="shared" ref="W9:W18" si="8">IF(N9=$B$5,((((1-$J$15/100)^N9)*$B$47+((1-$J$16/100)^N9)*$B$48)/((1+($F$11/100))^N9))*-1,0)</f>
        <v>0</v>
      </c>
      <c r="X9" s="17">
        <f t="shared" si="0"/>
        <v>20695.088452549924</v>
      </c>
      <c r="Y9" s="3"/>
      <c r="Z9" s="6">
        <f t="shared" ref="Z9:Z48" si="9">IF(N9&gt;0,((((1-$J$15/100)^N9)*$B$47+((1-$J$16/100)^N9)*$B$48)/((1+($F$11/100))^N9)),0)</f>
        <v>44890.843317972351</v>
      </c>
      <c r="AA9" s="2"/>
      <c r="AB9" s="2" t="s">
        <v>33</v>
      </c>
      <c r="AC9" s="5">
        <f>B48</f>
        <v>8505</v>
      </c>
      <c r="AD9" s="2" t="s">
        <v>3</v>
      </c>
      <c r="AE9" s="2"/>
      <c r="AF9" s="6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36</v>
      </c>
      <c r="J10" s="6">
        <v>81</v>
      </c>
      <c r="K10" s="2" t="s">
        <v>37</v>
      </c>
      <c r="L10" s="14"/>
      <c r="M10" s="2"/>
      <c r="N10" s="11">
        <f t="shared" ref="N10:N48" si="10">IF((N9+1)&gt;$B$5,,IF(N9=0,,N9+1))</f>
        <v>2</v>
      </c>
      <c r="O10" s="11"/>
      <c r="P10" s="20">
        <f t="shared" si="1"/>
        <v>13352.490231950846</v>
      </c>
      <c r="Q10" s="21">
        <f t="shared" si="2"/>
        <v>2037.0844105121791</v>
      </c>
      <c r="R10" s="21">
        <f t="shared" si="3"/>
        <v>315.41584375685756</v>
      </c>
      <c r="S10" s="21">
        <f t="shared" si="4"/>
        <v>4024.7867164069926</v>
      </c>
      <c r="T10" s="21">
        <f t="shared" si="5"/>
        <v>0</v>
      </c>
      <c r="U10" s="21">
        <f t="shared" si="6"/>
        <v>7714.2857142857138</v>
      </c>
      <c r="V10" s="21">
        <f t="shared" si="7"/>
        <v>0</v>
      </c>
      <c r="W10" s="20">
        <f t="shared" si="8"/>
        <v>0</v>
      </c>
      <c r="X10" s="17">
        <f t="shared" si="0"/>
        <v>27444.06291691259</v>
      </c>
      <c r="Y10" s="3"/>
      <c r="Z10" s="6">
        <f t="shared" si="9"/>
        <v>39457.122677199921</v>
      </c>
      <c r="AA10" s="2"/>
      <c r="AB10" s="2" t="s">
        <v>174</v>
      </c>
      <c r="AC10" s="23">
        <f>B52</f>
        <v>71775.331451612903</v>
      </c>
      <c r="AD10" s="2" t="s">
        <v>3</v>
      </c>
      <c r="AE10" s="2"/>
      <c r="AF10" s="6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24" t="s">
        <v>171</v>
      </c>
      <c r="B11" s="25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40</v>
      </c>
      <c r="J11" s="6">
        <v>900</v>
      </c>
      <c r="K11" s="2" t="s">
        <v>41</v>
      </c>
      <c r="L11" s="14"/>
      <c r="M11" s="2"/>
      <c r="N11" s="11">
        <f t="shared" si="10"/>
        <v>3</v>
      </c>
      <c r="O11" s="11"/>
      <c r="P11" s="20">
        <f t="shared" si="1"/>
        <v>12716.657363762708</v>
      </c>
      <c r="Q11" s="21">
        <f t="shared" si="2"/>
        <v>1959.4811948736199</v>
      </c>
      <c r="R11" s="21">
        <f t="shared" si="3"/>
        <v>300.39604167319766</v>
      </c>
      <c r="S11" s="21">
        <f t="shared" si="4"/>
        <v>3833.1302061018978</v>
      </c>
      <c r="T11" s="21">
        <f t="shared" si="5"/>
        <v>0</v>
      </c>
      <c r="U11" s="21">
        <f t="shared" si="6"/>
        <v>0</v>
      </c>
      <c r="V11" s="21">
        <f t="shared" si="7"/>
        <v>0</v>
      </c>
      <c r="W11" s="20">
        <f t="shared" si="8"/>
        <v>0</v>
      </c>
      <c r="X11" s="17">
        <f t="shared" si="0"/>
        <v>18809.664806411423</v>
      </c>
      <c r="Y11" s="3"/>
      <c r="Z11" s="6">
        <f t="shared" si="9"/>
        <v>34689.549858718245</v>
      </c>
      <c r="AA11" s="2"/>
      <c r="AB11" s="2" t="s">
        <v>42</v>
      </c>
      <c r="AC11" s="6">
        <f>F12</f>
        <v>73531.8</v>
      </c>
      <c r="AD11" s="2" t="s">
        <v>43</v>
      </c>
      <c r="AE11" s="2"/>
      <c r="AF11" s="6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73531.8</v>
      </c>
      <c r="G12" s="2" t="s">
        <v>43</v>
      </c>
      <c r="H12" s="14"/>
      <c r="I12" s="15" t="s">
        <v>46</v>
      </c>
      <c r="J12" s="6">
        <v>200</v>
      </c>
      <c r="K12" s="2" t="s">
        <v>47</v>
      </c>
      <c r="L12" s="14"/>
      <c r="M12" s="2"/>
      <c r="N12" s="11">
        <f t="shared" si="10"/>
        <v>4</v>
      </c>
      <c r="O12" s="11"/>
      <c r="P12" s="20">
        <f t="shared" si="1"/>
        <v>12111.102251202581</v>
      </c>
      <c r="Q12" s="21">
        <f t="shared" si="2"/>
        <v>1884.8342922117674</v>
      </c>
      <c r="R12" s="21">
        <f t="shared" si="3"/>
        <v>286.09146826018826</v>
      </c>
      <c r="S12" s="21">
        <f t="shared" si="4"/>
        <v>3650.6001962875221</v>
      </c>
      <c r="T12" s="21">
        <f t="shared" si="5"/>
        <v>0</v>
      </c>
      <c r="U12" s="21">
        <f t="shared" si="6"/>
        <v>6997.0845481049564</v>
      </c>
      <c r="V12" s="21">
        <f t="shared" si="7"/>
        <v>0</v>
      </c>
      <c r="W12" s="20">
        <f t="shared" si="8"/>
        <v>0</v>
      </c>
      <c r="X12" s="17">
        <f t="shared" si="0"/>
        <v>24929.71275606702</v>
      </c>
      <c r="Y12" s="3"/>
      <c r="Z12" s="6">
        <f t="shared" si="9"/>
        <v>30505.23681592476</v>
      </c>
      <c r="AA12" s="2"/>
      <c r="AB12" s="15" t="s">
        <v>48</v>
      </c>
      <c r="AC12" s="23">
        <f>J42</f>
        <v>4411.9080000000004</v>
      </c>
      <c r="AD12" s="2" t="s">
        <v>49</v>
      </c>
      <c r="AE12" s="2"/>
      <c r="AF12" s="6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24" t="s">
        <v>50</v>
      </c>
      <c r="B13" s="2">
        <v>11</v>
      </c>
      <c r="C13" s="2" t="s">
        <v>38</v>
      </c>
      <c r="D13" s="2"/>
      <c r="E13" s="15" t="s">
        <v>30</v>
      </c>
      <c r="F13" s="6">
        <v>2467</v>
      </c>
      <c r="G13" s="2" t="s">
        <v>51</v>
      </c>
      <c r="H13" s="14"/>
      <c r="I13" s="15" t="s">
        <v>52</v>
      </c>
      <c r="J13" s="2">
        <v>30</v>
      </c>
      <c r="K13" s="2" t="s">
        <v>53</v>
      </c>
      <c r="L13" s="14"/>
      <c r="M13" s="2"/>
      <c r="N13" s="11">
        <f t="shared" si="10"/>
        <v>5</v>
      </c>
      <c r="O13" s="11"/>
      <c r="P13" s="20">
        <f t="shared" si="1"/>
        <v>11534.38309638341</v>
      </c>
      <c r="Q13" s="21">
        <f t="shared" si="2"/>
        <v>1813.0310810798908</v>
      </c>
      <c r="R13" s="21">
        <f t="shared" si="3"/>
        <v>272.46806500970308</v>
      </c>
      <c r="S13" s="21">
        <f t="shared" si="4"/>
        <v>3476.7620917024014</v>
      </c>
      <c r="T13" s="21">
        <f t="shared" si="5"/>
        <v>0</v>
      </c>
      <c r="U13" s="21">
        <f t="shared" si="6"/>
        <v>0</v>
      </c>
      <c r="V13" s="21">
        <f t="shared" si="7"/>
        <v>0</v>
      </c>
      <c r="W13" s="20">
        <f t="shared" si="8"/>
        <v>0</v>
      </c>
      <c r="X13" s="17">
        <f t="shared" si="0"/>
        <v>17096.644334175406</v>
      </c>
      <c r="Y13" s="3"/>
      <c r="Z13" s="6">
        <f t="shared" si="9"/>
        <v>26831.783852830071</v>
      </c>
      <c r="AA13" s="2"/>
      <c r="AB13" s="2" t="s">
        <v>170</v>
      </c>
      <c r="AC13" s="6">
        <f>J26</f>
        <v>100</v>
      </c>
      <c r="AD13" s="2" t="s">
        <v>161</v>
      </c>
      <c r="AE13" s="2"/>
      <c r="AF13" s="6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24" t="s">
        <v>54</v>
      </c>
      <c r="B14" s="2">
        <v>7.5</v>
      </c>
      <c r="C14" s="2" t="s">
        <v>38</v>
      </c>
      <c r="D14" s="2"/>
      <c r="E14" s="15" t="s">
        <v>55</v>
      </c>
      <c r="F14" s="2">
        <v>1</v>
      </c>
      <c r="G14" s="2" t="s">
        <v>56</v>
      </c>
      <c r="H14" s="14"/>
      <c r="I14" s="15" t="s">
        <v>57</v>
      </c>
      <c r="J14" s="5">
        <v>20</v>
      </c>
      <c r="K14" s="2" t="s">
        <v>38</v>
      </c>
      <c r="L14" s="14"/>
      <c r="M14" s="2"/>
      <c r="N14" s="11">
        <f t="shared" si="10"/>
        <v>6</v>
      </c>
      <c r="O14" s="11"/>
      <c r="P14" s="20">
        <f t="shared" si="1"/>
        <v>0</v>
      </c>
      <c r="Q14" s="21">
        <f t="shared" si="2"/>
        <v>1743.9632303720853</v>
      </c>
      <c r="R14" s="21">
        <f t="shared" si="3"/>
        <v>259.49339524733631</v>
      </c>
      <c r="S14" s="21">
        <f t="shared" si="4"/>
        <v>3311.2019920975254</v>
      </c>
      <c r="T14" s="21">
        <f t="shared" si="5"/>
        <v>0</v>
      </c>
      <c r="U14" s="21">
        <f t="shared" si="6"/>
        <v>6346.5619483945184</v>
      </c>
      <c r="V14" s="21">
        <f t="shared" si="7"/>
        <v>0</v>
      </c>
      <c r="W14" s="20">
        <f t="shared" si="8"/>
        <v>0</v>
      </c>
      <c r="X14" s="17">
        <f t="shared" si="0"/>
        <v>11661.220566111464</v>
      </c>
      <c r="Y14" s="3"/>
      <c r="Z14" s="6">
        <f t="shared" si="9"/>
        <v>23605.927855232567</v>
      </c>
      <c r="AA14" s="2"/>
      <c r="AB14" s="2" t="s">
        <v>197</v>
      </c>
      <c r="AC14" s="26">
        <f>J17</f>
        <v>0.19</v>
      </c>
      <c r="AD14" s="2" t="s">
        <v>69</v>
      </c>
      <c r="AE14" s="2"/>
      <c r="AF14" s="6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2" t="s">
        <v>58</v>
      </c>
      <c r="B15" s="2">
        <v>22</v>
      </c>
      <c r="C15" s="2" t="s">
        <v>38</v>
      </c>
      <c r="D15" s="2"/>
      <c r="E15" s="15" t="s">
        <v>59</v>
      </c>
      <c r="F15" s="2">
        <v>0</v>
      </c>
      <c r="G15" s="2" t="s">
        <v>29</v>
      </c>
      <c r="H15" s="14"/>
      <c r="I15" s="15" t="s">
        <v>60</v>
      </c>
      <c r="J15" s="2">
        <v>7.08</v>
      </c>
      <c r="K15" s="2" t="s">
        <v>61</v>
      </c>
      <c r="L15" s="14"/>
      <c r="M15" s="2"/>
      <c r="N15" s="11">
        <f t="shared" si="10"/>
        <v>7</v>
      </c>
      <c r="O15" s="11"/>
      <c r="P15" s="20">
        <f t="shared" si="1"/>
        <v>0</v>
      </c>
      <c r="Q15" s="21">
        <f t="shared" si="2"/>
        <v>1677.5265358817203</v>
      </c>
      <c r="R15" s="21">
        <f t="shared" si="3"/>
        <v>247.13656690222501</v>
      </c>
      <c r="S15" s="21">
        <f t="shared" si="4"/>
        <v>3153.5257067595476</v>
      </c>
      <c r="T15" s="21">
        <f t="shared" si="5"/>
        <v>0</v>
      </c>
      <c r="U15" s="21">
        <f t="shared" si="6"/>
        <v>0</v>
      </c>
      <c r="V15" s="21">
        <f t="shared" si="7"/>
        <v>0</v>
      </c>
      <c r="W15" s="20">
        <f t="shared" si="8"/>
        <v>0</v>
      </c>
      <c r="X15" s="17">
        <f t="shared" si="0"/>
        <v>5078.1888095434933</v>
      </c>
      <c r="Y15" s="3"/>
      <c r="Z15" s="6">
        <f t="shared" si="9"/>
        <v>20772.368151534512</v>
      </c>
      <c r="AA15" s="2"/>
      <c r="AB15" s="2"/>
      <c r="AC15" s="2"/>
      <c r="AD15" s="2"/>
      <c r="AE15" s="2"/>
      <c r="AF15" s="6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24" t="s">
        <v>62</v>
      </c>
      <c r="B16" s="2">
        <v>0</v>
      </c>
      <c r="C16" s="2" t="s">
        <v>38</v>
      </c>
      <c r="D16" s="2"/>
      <c r="E16" s="15" t="s">
        <v>63</v>
      </c>
      <c r="F16" s="2">
        <v>0</v>
      </c>
      <c r="G16" s="2" t="s">
        <v>64</v>
      </c>
      <c r="H16" s="14"/>
      <c r="I16" s="15" t="s">
        <v>65</v>
      </c>
      <c r="J16" s="2">
        <v>11</v>
      </c>
      <c r="K16" s="2" t="s">
        <v>61</v>
      </c>
      <c r="L16" s="14"/>
      <c r="M16" s="2"/>
      <c r="N16" s="11">
        <f t="shared" si="10"/>
        <v>8</v>
      </c>
      <c r="O16" s="11"/>
      <c r="P16" s="20">
        <f t="shared" si="1"/>
        <v>0</v>
      </c>
      <c r="Q16" s="21">
        <f t="shared" si="2"/>
        <v>1613.6207630862261</v>
      </c>
      <c r="R16" s="21">
        <f t="shared" si="3"/>
        <v>235.36815895450005</v>
      </c>
      <c r="S16" s="21">
        <f t="shared" si="4"/>
        <v>3003.3578159614744</v>
      </c>
      <c r="T16" s="21">
        <f t="shared" si="5"/>
        <v>0</v>
      </c>
      <c r="U16" s="21">
        <f t="shared" si="6"/>
        <v>5756.5187740539841</v>
      </c>
      <c r="V16" s="21">
        <f t="shared" si="7"/>
        <v>0</v>
      </c>
      <c r="W16" s="20">
        <f t="shared" si="8"/>
        <v>0</v>
      </c>
      <c r="X16" s="17">
        <f t="shared" si="0"/>
        <v>10608.865512056185</v>
      </c>
      <c r="Y16" s="3"/>
      <c r="Z16" s="6">
        <f t="shared" si="9"/>
        <v>18282.746197906665</v>
      </c>
      <c r="AA16" s="2"/>
      <c r="AB16" s="2"/>
      <c r="AC16" s="2"/>
      <c r="AD16" s="2"/>
      <c r="AE16" s="2"/>
      <c r="AF16" s="6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24" t="s">
        <v>66</v>
      </c>
      <c r="B17" s="2">
        <v>1.4</v>
      </c>
      <c r="C17" s="2"/>
      <c r="D17" s="2"/>
      <c r="E17" s="15" t="s">
        <v>67</v>
      </c>
      <c r="F17" s="6">
        <f>2*87000</f>
        <v>174000</v>
      </c>
      <c r="G17" s="2" t="s">
        <v>64</v>
      </c>
      <c r="H17" s="14"/>
      <c r="I17" s="15" t="s">
        <v>68</v>
      </c>
      <c r="J17" s="26">
        <v>0.19</v>
      </c>
      <c r="K17" s="2" t="s">
        <v>69</v>
      </c>
      <c r="L17" s="14"/>
      <c r="M17" s="2"/>
      <c r="N17" s="11">
        <f t="shared" si="10"/>
        <v>9</v>
      </c>
      <c r="O17" s="11"/>
      <c r="P17" s="20">
        <f t="shared" si="1"/>
        <v>0</v>
      </c>
      <c r="Q17" s="21">
        <f t="shared" si="2"/>
        <v>1552.1494959210368</v>
      </c>
      <c r="R17" s="21">
        <f t="shared" si="3"/>
        <v>224.16015138523812</v>
      </c>
      <c r="S17" s="21">
        <f t="shared" si="4"/>
        <v>2860.3407771061657</v>
      </c>
      <c r="T17" s="21">
        <f t="shared" si="5"/>
        <v>0</v>
      </c>
      <c r="U17" s="21">
        <f t="shared" si="6"/>
        <v>0</v>
      </c>
      <c r="V17" s="21">
        <f t="shared" si="7"/>
        <v>0</v>
      </c>
      <c r="W17" s="20">
        <f t="shared" si="8"/>
        <v>0</v>
      </c>
      <c r="X17" s="17">
        <f t="shared" si="0"/>
        <v>4636.6504244124408</v>
      </c>
      <c r="Y17" s="3"/>
      <c r="Z17" s="6">
        <f t="shared" si="9"/>
        <v>16094.758534686773</v>
      </c>
      <c r="AA17" s="2"/>
      <c r="AB17" s="2"/>
      <c r="AC17" s="2"/>
      <c r="AD17" s="2"/>
      <c r="AE17" s="2"/>
      <c r="AF17" s="6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24" t="s">
        <v>179</v>
      </c>
      <c r="B18" s="2">
        <f>0%*12.5%</f>
        <v>0</v>
      </c>
      <c r="C18" s="2" t="s">
        <v>38</v>
      </c>
      <c r="D18" s="2"/>
      <c r="E18" s="15" t="s">
        <v>70</v>
      </c>
      <c r="F18" s="2">
        <v>0</v>
      </c>
      <c r="G18" s="2" t="s">
        <v>38</v>
      </c>
      <c r="H18" s="14"/>
      <c r="I18" s="2"/>
      <c r="J18" s="2"/>
      <c r="K18" s="2"/>
      <c r="L18" s="14"/>
      <c r="M18" s="2"/>
      <c r="N18" s="11">
        <f t="shared" si="10"/>
        <v>10</v>
      </c>
      <c r="O18" s="11"/>
      <c r="P18" s="20">
        <f t="shared" si="1"/>
        <v>0</v>
      </c>
      <c r="Q18" s="21">
        <f t="shared" si="2"/>
        <v>1493.0199913145211</v>
      </c>
      <c r="R18" s="21">
        <f t="shared" si="3"/>
        <v>213.48585846213155</v>
      </c>
      <c r="S18" s="21">
        <f t="shared" si="4"/>
        <v>2724.1340734344435</v>
      </c>
      <c r="T18" s="21">
        <f t="shared" si="5"/>
        <v>0</v>
      </c>
      <c r="U18" s="21">
        <f t="shared" si="6"/>
        <v>5221.3322213641577</v>
      </c>
      <c r="V18" s="21">
        <f t="shared" si="7"/>
        <v>0</v>
      </c>
      <c r="W18" s="20">
        <f t="shared" si="8"/>
        <v>-14171.38526068286</v>
      </c>
      <c r="X18" s="17">
        <f t="shared" si="0"/>
        <v>-4519.4131161076057</v>
      </c>
      <c r="Y18" s="3"/>
      <c r="Z18" s="6">
        <f t="shared" si="9"/>
        <v>14171.38526068286</v>
      </c>
      <c r="AA18" s="2"/>
      <c r="AB18" s="2"/>
      <c r="AC18" s="2"/>
      <c r="AD18" s="2"/>
      <c r="AE18" s="2"/>
      <c r="AF18" s="6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24" t="s">
        <v>180</v>
      </c>
      <c r="B19" s="2">
        <v>0</v>
      </c>
      <c r="C19" s="2" t="s">
        <v>38</v>
      </c>
      <c r="D19" s="2"/>
      <c r="E19" s="15" t="s">
        <v>71</v>
      </c>
      <c r="F19" s="2">
        <v>0.2</v>
      </c>
      <c r="G19" s="2" t="s">
        <v>38</v>
      </c>
      <c r="H19" s="14"/>
      <c r="I19" s="1" t="s">
        <v>79</v>
      </c>
      <c r="J19" s="2"/>
      <c r="K19" s="2"/>
      <c r="L19" s="14"/>
      <c r="M19" s="2"/>
      <c r="N19" s="11">
        <f t="shared" si="10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1">
        <f t="shared" si="5"/>
        <v>0</v>
      </c>
      <c r="U19" s="21">
        <f t="shared" si="6"/>
        <v>0</v>
      </c>
      <c r="V19" s="21">
        <f t="shared" si="7"/>
        <v>0</v>
      </c>
      <c r="W19" s="20">
        <f t="shared" ref="W19:W48" si="11">IF(N19=$B$5,((((1-$J$15/100)^N19)*$B$52+((1-$J$16/100)^N19)*$B$48)/((1+($F$11/100))^N19))*-1,0)</f>
        <v>0</v>
      </c>
      <c r="X19" s="17">
        <f t="shared" si="0"/>
        <v>0</v>
      </c>
      <c r="Y19" s="3"/>
      <c r="Z19" s="6">
        <f t="shared" si="9"/>
        <v>0</v>
      </c>
      <c r="AA19" s="2"/>
      <c r="AB19" s="2"/>
      <c r="AC19" s="2"/>
      <c r="AD19" s="2"/>
      <c r="AE19" s="2"/>
      <c r="AF19" s="6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24" t="s">
        <v>73</v>
      </c>
      <c r="B20" s="2">
        <v>0</v>
      </c>
      <c r="C20" s="2" t="s">
        <v>38</v>
      </c>
      <c r="D20" s="2"/>
      <c r="E20" s="15" t="s">
        <v>74</v>
      </c>
      <c r="F20" s="6">
        <v>160000</v>
      </c>
      <c r="G20" s="2" t="s">
        <v>64</v>
      </c>
      <c r="H20" s="14"/>
      <c r="I20" s="15" t="s">
        <v>85</v>
      </c>
      <c r="J20" s="2">
        <v>5</v>
      </c>
      <c r="K20" s="2" t="s">
        <v>53</v>
      </c>
      <c r="L20" s="14"/>
      <c r="M20" s="2"/>
      <c r="N20" s="11">
        <f t="shared" si="10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1">
        <f t="shared" si="5"/>
        <v>0</v>
      </c>
      <c r="U20" s="21">
        <f t="shared" si="6"/>
        <v>0</v>
      </c>
      <c r="V20" s="21">
        <f t="shared" si="7"/>
        <v>0</v>
      </c>
      <c r="W20" s="20">
        <f t="shared" si="11"/>
        <v>0</v>
      </c>
      <c r="X20" s="17">
        <f t="shared" si="0"/>
        <v>0</v>
      </c>
      <c r="Y20" s="3"/>
      <c r="Z20" s="6">
        <f t="shared" si="9"/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</row>
    <row r="21" spans="1:5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76</v>
      </c>
      <c r="F21" s="6">
        <v>25000</v>
      </c>
      <c r="G21" s="2" t="s">
        <v>77</v>
      </c>
      <c r="H21" s="14"/>
      <c r="I21" s="15" t="s">
        <v>89</v>
      </c>
      <c r="J21" s="2">
        <v>30</v>
      </c>
      <c r="K21" s="2" t="s">
        <v>90</v>
      </c>
      <c r="L21" s="14"/>
      <c r="M21" s="2"/>
      <c r="N21" s="11">
        <f t="shared" si="10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1">
        <f t="shared" si="5"/>
        <v>0</v>
      </c>
      <c r="U21" s="21">
        <f t="shared" si="6"/>
        <v>0</v>
      </c>
      <c r="V21" s="21">
        <f t="shared" si="7"/>
        <v>0</v>
      </c>
      <c r="W21" s="20">
        <f t="shared" si="11"/>
        <v>0</v>
      </c>
      <c r="X21" s="17">
        <f t="shared" si="0"/>
        <v>0</v>
      </c>
      <c r="Y21" s="3"/>
      <c r="Z21" s="6">
        <f t="shared" si="9"/>
        <v>0</v>
      </c>
      <c r="AA21" s="2"/>
      <c r="AB21" s="27" t="s">
        <v>30</v>
      </c>
      <c r="AC21" s="28"/>
      <c r="AD21" s="28"/>
      <c r="AE21" s="28"/>
      <c r="AF21" s="2"/>
      <c r="AG21" s="27" t="s">
        <v>28</v>
      </c>
      <c r="AH21" s="28"/>
      <c r="AI21" s="28"/>
      <c r="AJ21" s="28"/>
      <c r="AK21" s="2"/>
      <c r="AL21" s="76" t="s">
        <v>191</v>
      </c>
      <c r="AM21" s="76" t="s">
        <v>183</v>
      </c>
      <c r="AN21" s="76" t="s">
        <v>184</v>
      </c>
      <c r="AO21" s="76" t="s">
        <v>33</v>
      </c>
      <c r="AP21" s="76" t="s">
        <v>188</v>
      </c>
      <c r="AQ21" s="76" t="s">
        <v>189</v>
      </c>
      <c r="AR21" s="93" t="str">
        <f>AB66</f>
        <v>Energy Efficiency</v>
      </c>
      <c r="AS21" s="2"/>
      <c r="AT21" s="2"/>
      <c r="AU21" s="2"/>
      <c r="AV21" s="2"/>
      <c r="AW21" s="2"/>
      <c r="AX21" s="2"/>
      <c r="AY21" s="2"/>
    </row>
    <row r="22" spans="1:51" ht="15.75" customHeight="1" x14ac:dyDescent="0.25">
      <c r="A22" s="24" t="s">
        <v>78</v>
      </c>
      <c r="B22" s="2">
        <v>0</v>
      </c>
      <c r="C22" s="2" t="s">
        <v>38</v>
      </c>
      <c r="D22" s="2"/>
      <c r="E22" s="15" t="s">
        <v>48</v>
      </c>
      <c r="F22" s="5">
        <v>930</v>
      </c>
      <c r="G22" s="2" t="s">
        <v>152</v>
      </c>
      <c r="H22" s="14"/>
      <c r="I22" s="64"/>
      <c r="J22" s="64"/>
      <c r="K22" s="64"/>
      <c r="L22" s="65"/>
      <c r="M22" s="2"/>
      <c r="N22" s="11">
        <f t="shared" si="10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1">
        <f t="shared" si="5"/>
        <v>0</v>
      </c>
      <c r="U22" s="21">
        <f t="shared" si="6"/>
        <v>0</v>
      </c>
      <c r="V22" s="21">
        <f t="shared" si="7"/>
        <v>0</v>
      </c>
      <c r="W22" s="20">
        <f t="shared" si="11"/>
        <v>0</v>
      </c>
      <c r="X22" s="17">
        <f t="shared" si="0"/>
        <v>0</v>
      </c>
      <c r="Y22" s="3"/>
      <c r="Z22" s="6">
        <f t="shared" si="9"/>
        <v>0</v>
      </c>
      <c r="AA22" s="2"/>
      <c r="AB22" s="28" t="s">
        <v>80</v>
      </c>
      <c r="AC22" s="28" t="s">
        <v>81</v>
      </c>
      <c r="AD22" s="28" t="s">
        <v>23</v>
      </c>
      <c r="AE22" s="28" t="s">
        <v>82</v>
      </c>
      <c r="AF22" s="2"/>
      <c r="AG22" s="28" t="s">
        <v>80</v>
      </c>
      <c r="AH22" s="28" t="s">
        <v>83</v>
      </c>
      <c r="AI22" s="28" t="s">
        <v>23</v>
      </c>
      <c r="AJ22" s="28" t="s">
        <v>82</v>
      </c>
      <c r="AK22" s="2"/>
      <c r="AL22" s="77">
        <v>-50</v>
      </c>
      <c r="AM22" s="78">
        <f>AJ24</f>
        <v>-26.987900890202525</v>
      </c>
      <c r="AN22" s="78">
        <f>AE24</f>
        <v>-5.6631322276038034</v>
      </c>
      <c r="AO22" s="79">
        <f t="shared" ref="AO22:AO32" si="12">AE39</f>
        <v>-3.9777750169354844</v>
      </c>
      <c r="AP22" s="79">
        <f t="shared" ref="AP22:AP32" si="13">AJ39</f>
        <v>-29.501702815804347</v>
      </c>
      <c r="AQ22" s="79">
        <f>AE54</f>
        <v>-10.78270421800414</v>
      </c>
      <c r="AR22" s="53">
        <f>AE69</f>
        <v>6.5130234567873995</v>
      </c>
      <c r="AS22" s="2"/>
      <c r="AT22" s="2"/>
      <c r="AU22" s="2"/>
      <c r="AV22" s="2"/>
      <c r="AW22" s="2"/>
      <c r="AX22" s="2"/>
      <c r="AY22" s="2"/>
    </row>
    <row r="23" spans="1:51" ht="15.75" customHeight="1" x14ac:dyDescent="0.25">
      <c r="A23" s="2"/>
      <c r="B23" s="2"/>
      <c r="C23" s="2"/>
      <c r="D23" s="2"/>
      <c r="E23" s="15" t="s">
        <v>84</v>
      </c>
      <c r="F23" s="2">
        <v>9.3000000000000007</v>
      </c>
      <c r="G23" s="2" t="s">
        <v>61</v>
      </c>
      <c r="H23" s="14"/>
      <c r="I23" s="66" t="s">
        <v>153</v>
      </c>
      <c r="J23" s="64"/>
      <c r="K23" s="64"/>
      <c r="L23" s="65"/>
      <c r="M23" s="2"/>
      <c r="N23" s="11">
        <f t="shared" si="10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1">
        <f t="shared" si="5"/>
        <v>0</v>
      </c>
      <c r="U23" s="21">
        <f t="shared" si="6"/>
        <v>0</v>
      </c>
      <c r="V23" s="21">
        <f t="shared" si="7"/>
        <v>0</v>
      </c>
      <c r="W23" s="20">
        <f t="shared" si="11"/>
        <v>0</v>
      </c>
      <c r="X23" s="17">
        <f t="shared" si="0"/>
        <v>0</v>
      </c>
      <c r="Y23" s="3"/>
      <c r="Z23" s="6">
        <f t="shared" si="9"/>
        <v>0</v>
      </c>
      <c r="AA23" s="2"/>
      <c r="AB23" s="28" t="s">
        <v>86</v>
      </c>
      <c r="AC23" s="30">
        <v>0.15916129032258064</v>
      </c>
      <c r="AD23" s="31">
        <f>X49</f>
        <v>157973.28489761622</v>
      </c>
      <c r="AE23" s="28"/>
      <c r="AF23" s="2"/>
      <c r="AG23" s="28" t="s">
        <v>86</v>
      </c>
      <c r="AH23" s="32">
        <v>71775.331451612903</v>
      </c>
      <c r="AI23" s="31">
        <f>X49</f>
        <v>157973.28489761622</v>
      </c>
      <c r="AJ23" s="28"/>
      <c r="AK23" s="2"/>
      <c r="AL23" s="77">
        <v>-40</v>
      </c>
      <c r="AM23" s="78">
        <f>AJ25</f>
        <v>-21.590320712162004</v>
      </c>
      <c r="AN23" s="78">
        <f t="shared" ref="AN23:AN32" si="14">AE25</f>
        <v>-4.530505782083039</v>
      </c>
      <c r="AO23" s="79">
        <f t="shared" si="12"/>
        <v>-3.1822200135483909</v>
      </c>
      <c r="AP23" s="79">
        <f t="shared" si="13"/>
        <v>-26.042557280846033</v>
      </c>
      <c r="AQ23" s="79">
        <f t="shared" ref="AQ23:AQ32" si="15">AE55</f>
        <v>-8.6261633744033386</v>
      </c>
      <c r="AR23" s="53">
        <f t="shared" ref="AR23:AR32" si="16">AE70</f>
        <v>5.2104187654299228</v>
      </c>
      <c r="AS23" s="35"/>
      <c r="AT23" s="35"/>
      <c r="AU23" s="35"/>
      <c r="AV23" s="35"/>
      <c r="AW23" s="35"/>
      <c r="AX23" s="35"/>
      <c r="AY23" s="35"/>
    </row>
    <row r="24" spans="1:51" ht="15.75" customHeight="1" x14ac:dyDescent="0.25">
      <c r="A24" s="13"/>
      <c r="B24" s="2"/>
      <c r="C24" s="2"/>
      <c r="D24" s="2"/>
      <c r="E24" s="2" t="s">
        <v>88</v>
      </c>
      <c r="F24" s="5">
        <f>(100000+200000)/5</f>
        <v>60000</v>
      </c>
      <c r="G24" s="2" t="s">
        <v>64</v>
      </c>
      <c r="H24" s="14"/>
      <c r="I24" s="64" t="s">
        <v>154</v>
      </c>
      <c r="J24" s="69" t="s">
        <v>159</v>
      </c>
      <c r="K24" s="64"/>
      <c r="L24" s="65"/>
      <c r="M24" s="2"/>
      <c r="N24" s="11">
        <f t="shared" si="10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1">
        <f t="shared" si="5"/>
        <v>0</v>
      </c>
      <c r="U24" s="21">
        <f t="shared" si="6"/>
        <v>0</v>
      </c>
      <c r="V24" s="21">
        <f t="shared" si="7"/>
        <v>0</v>
      </c>
      <c r="W24" s="20">
        <f t="shared" si="11"/>
        <v>0</v>
      </c>
      <c r="X24" s="17">
        <f t="shared" si="0"/>
        <v>0</v>
      </c>
      <c r="Y24" s="3"/>
      <c r="Z24" s="6">
        <f t="shared" si="9"/>
        <v>0</v>
      </c>
      <c r="AA24" s="2"/>
      <c r="AB24" s="28">
        <f t="shared" ref="AB24:AB28" si="17">AB25-10</f>
        <v>-50</v>
      </c>
      <c r="AC24" s="30">
        <f t="shared" ref="AC24:AC34" si="18">$AC$23*(1+(AB24/100))</f>
        <v>7.958064516129032E-2</v>
      </c>
      <c r="AD24" s="31">
        <f t="dataTable" ref="AD24:AD34" dt2D="0" dtr="0" r1="F36" ca="1"/>
        <v>149027.04888957494</v>
      </c>
      <c r="AE24" s="36">
        <f t="shared" ref="AE24:AE34" si="19">100*((AD24-$AD$29)/$AD$29)</f>
        <v>-5.6631322276038034</v>
      </c>
      <c r="AF24" s="2"/>
      <c r="AG24" s="28">
        <f t="shared" ref="AG24:AG28" si="20">AG25-10</f>
        <v>-50</v>
      </c>
      <c r="AH24" s="32">
        <f t="shared" ref="AH24:AH34" si="21">$AH$23*(1+(AG24/100))</f>
        <v>35887.665725806452</v>
      </c>
      <c r="AI24" s="31">
        <f t="dataTable" ref="AI24:AI34" dt2D="0" dtr="0" r1="B52" ca="1"/>
        <v>115339.61133645028</v>
      </c>
      <c r="AJ24" s="36">
        <f t="shared" ref="AJ24:AJ34" si="22">100*((AI24-$AI$29)/$AI$29)</f>
        <v>-26.987900890202525</v>
      </c>
      <c r="AK24" s="2"/>
      <c r="AL24" s="77">
        <v>-30</v>
      </c>
      <c r="AM24" s="78">
        <f t="shared" ref="AM24:AM32" si="23">AJ26</f>
        <v>-16.192740534121491</v>
      </c>
      <c r="AN24" s="78">
        <f t="shared" si="14"/>
        <v>-3.3978793365622746</v>
      </c>
      <c r="AO24" s="79">
        <f t="shared" si="12"/>
        <v>-2.3866650101612978</v>
      </c>
      <c r="AP24" s="79">
        <f t="shared" si="13"/>
        <v>-18.517979898762142</v>
      </c>
      <c r="AQ24" s="79">
        <f t="shared" si="15"/>
        <v>-6.469622530802499</v>
      </c>
      <c r="AR24" s="53">
        <f t="shared" si="16"/>
        <v>3.9078140740724283</v>
      </c>
      <c r="AS24" s="35"/>
      <c r="AT24" s="35"/>
      <c r="AU24" s="35"/>
      <c r="AV24" s="35"/>
      <c r="AW24" s="35"/>
      <c r="AX24" s="35"/>
      <c r="AY24" s="35"/>
    </row>
    <row r="25" spans="1:51" ht="15.75" customHeight="1" x14ac:dyDescent="0.25">
      <c r="A25" s="13"/>
      <c r="B25" s="2"/>
      <c r="C25" s="2"/>
      <c r="D25" s="2"/>
      <c r="E25" s="2"/>
      <c r="F25" s="2"/>
      <c r="G25" s="2"/>
      <c r="H25" s="14"/>
      <c r="I25" s="67" t="s">
        <v>155</v>
      </c>
      <c r="J25" s="67">
        <v>1.3</v>
      </c>
      <c r="K25" s="67" t="s">
        <v>156</v>
      </c>
      <c r="L25" s="65"/>
      <c r="M25" s="2"/>
      <c r="N25" s="11">
        <f t="shared" si="10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1">
        <f t="shared" si="5"/>
        <v>0</v>
      </c>
      <c r="U25" s="21">
        <f t="shared" si="6"/>
        <v>0</v>
      </c>
      <c r="V25" s="21">
        <f t="shared" si="7"/>
        <v>0</v>
      </c>
      <c r="W25" s="20">
        <f t="shared" si="11"/>
        <v>0</v>
      </c>
      <c r="X25" s="17">
        <f t="shared" si="0"/>
        <v>0</v>
      </c>
      <c r="Y25" s="3"/>
      <c r="Z25" s="6">
        <f t="shared" si="9"/>
        <v>0</v>
      </c>
      <c r="AA25" s="2"/>
      <c r="AB25" s="28">
        <f t="shared" si="17"/>
        <v>-40</v>
      </c>
      <c r="AC25" s="30">
        <f t="shared" si="18"/>
        <v>9.5496774193548378E-2</v>
      </c>
      <c r="AD25" s="31">
        <v>150816.29609118321</v>
      </c>
      <c r="AE25" s="36">
        <f t="shared" si="19"/>
        <v>-4.530505782083039</v>
      </c>
      <c r="AF25" s="2"/>
      <c r="AG25" s="28">
        <f t="shared" si="20"/>
        <v>-40</v>
      </c>
      <c r="AH25" s="32">
        <f t="shared" si="21"/>
        <v>43065.198870967739</v>
      </c>
      <c r="AI25" s="31">
        <v>123866.3460486835</v>
      </c>
      <c r="AJ25" s="36">
        <f t="shared" si="22"/>
        <v>-21.590320712162004</v>
      </c>
      <c r="AK25" s="2"/>
      <c r="AL25" s="77">
        <v>-20</v>
      </c>
      <c r="AM25" s="78">
        <f t="shared" si="23"/>
        <v>-10.795160356080988</v>
      </c>
      <c r="AN25" s="78">
        <f t="shared" si="14"/>
        <v>-2.2652528910415288</v>
      </c>
      <c r="AO25" s="79">
        <f t="shared" si="12"/>
        <v>-1.591110006774205</v>
      </c>
      <c r="AP25" s="79">
        <f t="shared" si="13"/>
        <v>-15.058834363803808</v>
      </c>
      <c r="AQ25" s="79">
        <f t="shared" si="15"/>
        <v>-4.3130816872016409</v>
      </c>
      <c r="AR25" s="53">
        <f t="shared" si="16"/>
        <v>2.6052093827149521</v>
      </c>
      <c r="AS25" s="35"/>
      <c r="AT25" s="35"/>
      <c r="AU25" s="35"/>
      <c r="AV25" s="35"/>
      <c r="AW25" s="35"/>
      <c r="AX25" s="35"/>
      <c r="AY25" s="35"/>
    </row>
    <row r="26" spans="1:5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 t="s">
        <v>166</v>
      </c>
      <c r="J26" s="71">
        <f>J12/2</f>
        <v>100</v>
      </c>
      <c r="K26" s="39" t="s">
        <v>161</v>
      </c>
      <c r="L26" s="40"/>
      <c r="M26" s="2"/>
      <c r="N26" s="11">
        <f t="shared" si="10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1">
        <f t="shared" si="5"/>
        <v>0</v>
      </c>
      <c r="U26" s="21">
        <f t="shared" si="6"/>
        <v>0</v>
      </c>
      <c r="V26" s="21">
        <f t="shared" si="7"/>
        <v>0</v>
      </c>
      <c r="W26" s="20">
        <f t="shared" si="11"/>
        <v>0</v>
      </c>
      <c r="X26" s="17">
        <f t="shared" si="0"/>
        <v>0</v>
      </c>
      <c r="Y26" s="3"/>
      <c r="Z26" s="6">
        <f t="shared" si="9"/>
        <v>0</v>
      </c>
      <c r="AA26" s="2"/>
      <c r="AB26" s="28">
        <f t="shared" si="17"/>
        <v>-30</v>
      </c>
      <c r="AC26" s="30">
        <f t="shared" si="18"/>
        <v>0.11141290322580644</v>
      </c>
      <c r="AD26" s="31">
        <v>152605.54329279147</v>
      </c>
      <c r="AE26" s="36">
        <f t="shared" si="19"/>
        <v>-3.3978793365622746</v>
      </c>
      <c r="AF26" s="2"/>
      <c r="AG26" s="28">
        <f t="shared" si="20"/>
        <v>-30</v>
      </c>
      <c r="AH26" s="32">
        <f t="shared" si="21"/>
        <v>50242.732016129026</v>
      </c>
      <c r="AI26" s="31">
        <v>132393.08076091669</v>
      </c>
      <c r="AJ26" s="36">
        <f t="shared" si="22"/>
        <v>-16.192740534121491</v>
      </c>
      <c r="AK26" s="2"/>
      <c r="AL26" s="77">
        <v>-10</v>
      </c>
      <c r="AM26" s="78">
        <f t="shared" si="23"/>
        <v>-5.3975801780404851</v>
      </c>
      <c r="AN26" s="78">
        <f t="shared" si="14"/>
        <v>-1.1326264455207828</v>
      </c>
      <c r="AO26" s="79">
        <f t="shared" si="12"/>
        <v>-0.79555500338709306</v>
      </c>
      <c r="AP26" s="79">
        <f t="shared" si="13"/>
        <v>-3.4591455349583153</v>
      </c>
      <c r="AQ26" s="79">
        <f t="shared" si="15"/>
        <v>-2.1565408436008573</v>
      </c>
      <c r="AR26" s="53">
        <f t="shared" si="16"/>
        <v>1.3026046913574945</v>
      </c>
      <c r="AS26" s="35"/>
      <c r="AT26" s="35"/>
      <c r="AU26" s="35"/>
      <c r="AV26" s="35"/>
      <c r="AW26" s="35"/>
      <c r="AX26" s="35"/>
      <c r="AY26" s="35"/>
    </row>
    <row r="27" spans="1:5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10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1">
        <f t="shared" si="5"/>
        <v>0</v>
      </c>
      <c r="U27" s="21">
        <f t="shared" si="6"/>
        <v>0</v>
      </c>
      <c r="V27" s="21">
        <f t="shared" si="7"/>
        <v>0</v>
      </c>
      <c r="W27" s="20">
        <f t="shared" si="11"/>
        <v>0</v>
      </c>
      <c r="X27" s="17">
        <f t="shared" si="0"/>
        <v>0</v>
      </c>
      <c r="Y27" s="3"/>
      <c r="Z27" s="6">
        <f t="shared" si="9"/>
        <v>0</v>
      </c>
      <c r="AA27" s="2"/>
      <c r="AB27" s="28">
        <f t="shared" si="17"/>
        <v>-20</v>
      </c>
      <c r="AC27" s="30">
        <f t="shared" si="18"/>
        <v>0.12732903225806452</v>
      </c>
      <c r="AD27" s="31">
        <v>154394.7904943997</v>
      </c>
      <c r="AE27" s="36">
        <f t="shared" si="19"/>
        <v>-2.2652528910415288</v>
      </c>
      <c r="AF27" s="2"/>
      <c r="AG27" s="28">
        <f t="shared" si="20"/>
        <v>-20</v>
      </c>
      <c r="AH27" s="32">
        <f t="shared" si="21"/>
        <v>57420.265161290328</v>
      </c>
      <c r="AI27" s="31">
        <v>140919.81547314988</v>
      </c>
      <c r="AJ27" s="36">
        <f t="shared" si="22"/>
        <v>-10.795160356080988</v>
      </c>
      <c r="AK27" s="2"/>
      <c r="AL27" s="77">
        <v>0</v>
      </c>
      <c r="AM27" s="78">
        <f t="shared" si="23"/>
        <v>0</v>
      </c>
      <c r="AN27" s="78">
        <f t="shared" si="14"/>
        <v>0</v>
      </c>
      <c r="AO27" s="79">
        <f t="shared" si="12"/>
        <v>0</v>
      </c>
      <c r="AP27" s="79">
        <f t="shared" si="13"/>
        <v>0</v>
      </c>
      <c r="AQ27" s="79">
        <f t="shared" si="15"/>
        <v>0</v>
      </c>
      <c r="AR27" s="53">
        <f t="shared" si="16"/>
        <v>0</v>
      </c>
      <c r="AS27" s="35"/>
      <c r="AT27" s="35"/>
      <c r="AU27" s="35"/>
      <c r="AV27" s="35"/>
      <c r="AW27" s="35"/>
      <c r="AX27" s="35"/>
      <c r="AY27" s="35"/>
    </row>
    <row r="28" spans="1:5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10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1">
        <f t="shared" si="5"/>
        <v>0</v>
      </c>
      <c r="U28" s="21">
        <f t="shared" si="6"/>
        <v>0</v>
      </c>
      <c r="V28" s="21">
        <f t="shared" si="7"/>
        <v>0</v>
      </c>
      <c r="W28" s="20">
        <f t="shared" si="11"/>
        <v>0</v>
      </c>
      <c r="X28" s="17">
        <f t="shared" si="0"/>
        <v>0</v>
      </c>
      <c r="Y28" s="3"/>
      <c r="Z28" s="6">
        <f t="shared" si="9"/>
        <v>0</v>
      </c>
      <c r="AA28" s="2"/>
      <c r="AB28" s="28">
        <f t="shared" si="17"/>
        <v>-10</v>
      </c>
      <c r="AC28" s="30">
        <f t="shared" si="18"/>
        <v>0.14324516129032258</v>
      </c>
      <c r="AD28" s="31">
        <v>156184.03769600793</v>
      </c>
      <c r="AE28" s="36">
        <f t="shared" si="19"/>
        <v>-1.1326264455207828</v>
      </c>
      <c r="AF28" s="2"/>
      <c r="AG28" s="28">
        <f t="shared" si="20"/>
        <v>-10</v>
      </c>
      <c r="AH28" s="32">
        <f t="shared" si="21"/>
        <v>64597.798306451616</v>
      </c>
      <c r="AI28" s="31">
        <v>149446.55018538306</v>
      </c>
      <c r="AJ28" s="36">
        <f t="shared" si="22"/>
        <v>-5.3975801780404851</v>
      </c>
      <c r="AK28" s="2"/>
      <c r="AL28" s="77">
        <v>10</v>
      </c>
      <c r="AM28" s="78">
        <f t="shared" si="23"/>
        <v>5.3975801780405028</v>
      </c>
      <c r="AN28" s="78">
        <f t="shared" si="14"/>
        <v>1.1326264455207276</v>
      </c>
      <c r="AO28" s="79">
        <f t="shared" si="12"/>
        <v>0.7955550033871116</v>
      </c>
      <c r="AP28" s="79">
        <f t="shared" si="13"/>
        <v>3.459145534958278</v>
      </c>
      <c r="AQ28" s="79">
        <f t="shared" si="15"/>
        <v>2.1565408436008204</v>
      </c>
      <c r="AR28" s="53">
        <f t="shared" si="16"/>
        <v>-1.3026046913574945</v>
      </c>
      <c r="AS28" s="35"/>
      <c r="AT28" s="35"/>
      <c r="AU28" s="35"/>
      <c r="AV28" s="35"/>
      <c r="AW28" s="35"/>
      <c r="AX28" s="35"/>
      <c r="AY28" s="35"/>
    </row>
    <row r="29" spans="1:5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10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1">
        <f t="shared" si="5"/>
        <v>0</v>
      </c>
      <c r="U29" s="21">
        <f t="shared" si="6"/>
        <v>0</v>
      </c>
      <c r="V29" s="21">
        <f t="shared" si="7"/>
        <v>0</v>
      </c>
      <c r="W29" s="20">
        <f t="shared" si="11"/>
        <v>0</v>
      </c>
      <c r="X29" s="17">
        <f t="shared" si="0"/>
        <v>0</v>
      </c>
      <c r="Y29" s="3"/>
      <c r="Z29" s="6">
        <f t="shared" si="9"/>
        <v>0</v>
      </c>
      <c r="AA29" s="2"/>
      <c r="AB29" s="41">
        <v>0</v>
      </c>
      <c r="AC29" s="55">
        <f t="shared" si="18"/>
        <v>0.15916129032258064</v>
      </c>
      <c r="AD29" s="42">
        <v>157973.28489761622</v>
      </c>
      <c r="AE29" s="56">
        <f t="shared" si="19"/>
        <v>0</v>
      </c>
      <c r="AF29" s="2"/>
      <c r="AG29" s="41">
        <v>0</v>
      </c>
      <c r="AH29" s="47">
        <f t="shared" si="21"/>
        <v>71775.331451612903</v>
      </c>
      <c r="AI29" s="42">
        <v>157973.28489761622</v>
      </c>
      <c r="AJ29" s="56">
        <f t="shared" si="22"/>
        <v>0</v>
      </c>
      <c r="AK29" s="2"/>
      <c r="AL29" s="77">
        <v>20</v>
      </c>
      <c r="AM29" s="78">
        <f t="shared" si="23"/>
        <v>10.795160356081006</v>
      </c>
      <c r="AN29" s="78">
        <f t="shared" si="14"/>
        <v>2.265252891041492</v>
      </c>
      <c r="AO29" s="79">
        <f t="shared" si="12"/>
        <v>1.591110006774205</v>
      </c>
      <c r="AP29" s="79">
        <f t="shared" si="13"/>
        <v>6.9182910699165934</v>
      </c>
      <c r="AQ29" s="79">
        <f t="shared" si="15"/>
        <v>4.3130816872016222</v>
      </c>
      <c r="AR29" s="53">
        <f t="shared" si="16"/>
        <v>-2.6052093827149521</v>
      </c>
      <c r="AS29" s="35"/>
      <c r="AT29" s="35"/>
      <c r="AU29" s="35"/>
      <c r="AV29" s="35"/>
      <c r="AW29" s="35"/>
      <c r="AX29" s="35"/>
      <c r="AY29" s="35"/>
    </row>
    <row r="30" spans="1:5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 t="s">
        <v>94</v>
      </c>
      <c r="J30" s="43"/>
      <c r="K30" s="8"/>
      <c r="L30" s="9"/>
      <c r="M30" s="2"/>
      <c r="N30" s="11">
        <f t="shared" si="10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1">
        <f t="shared" si="5"/>
        <v>0</v>
      </c>
      <c r="U30" s="21">
        <f t="shared" si="6"/>
        <v>0</v>
      </c>
      <c r="V30" s="21">
        <f t="shared" si="7"/>
        <v>0</v>
      </c>
      <c r="W30" s="20">
        <f t="shared" si="11"/>
        <v>0</v>
      </c>
      <c r="X30" s="17">
        <f t="shared" si="0"/>
        <v>0</v>
      </c>
      <c r="Y30" s="3"/>
      <c r="Z30" s="6">
        <f t="shared" si="9"/>
        <v>0</v>
      </c>
      <c r="AA30" s="2"/>
      <c r="AB30" s="28">
        <f t="shared" ref="AB30:AB34" si="24">AB29+10</f>
        <v>10</v>
      </c>
      <c r="AC30" s="30">
        <f t="shared" si="18"/>
        <v>0.17507741935483873</v>
      </c>
      <c r="AD30" s="31">
        <v>159762.53209922442</v>
      </c>
      <c r="AE30" s="36">
        <f t="shared" si="19"/>
        <v>1.1326264455207276</v>
      </c>
      <c r="AF30" s="2"/>
      <c r="AG30" s="28">
        <f t="shared" ref="AG30:AG34" si="25">AG29+10</f>
        <v>10</v>
      </c>
      <c r="AH30" s="32">
        <f t="shared" si="21"/>
        <v>78952.864596774205</v>
      </c>
      <c r="AI30" s="31">
        <v>166500.01960984941</v>
      </c>
      <c r="AJ30" s="36">
        <f t="shared" si="22"/>
        <v>5.3975801780405028</v>
      </c>
      <c r="AK30" s="2"/>
      <c r="AL30" s="77">
        <v>30</v>
      </c>
      <c r="AM30" s="78">
        <f t="shared" si="23"/>
        <v>16.192740534121508</v>
      </c>
      <c r="AN30" s="78">
        <f t="shared" si="14"/>
        <v>3.3978793365622746</v>
      </c>
      <c r="AO30" s="79">
        <f t="shared" si="12"/>
        <v>2.386665010161316</v>
      </c>
      <c r="AP30" s="79">
        <f t="shared" si="13"/>
        <v>31.670639685582032</v>
      </c>
      <c r="AQ30" s="79">
        <f t="shared" si="15"/>
        <v>6.4696225308024617</v>
      </c>
      <c r="AR30" s="53">
        <f t="shared" si="16"/>
        <v>-3.9078140740724465</v>
      </c>
      <c r="AS30" s="35"/>
      <c r="AT30" s="35"/>
      <c r="AU30" s="35"/>
      <c r="AV30" s="35"/>
      <c r="AW30" s="35"/>
      <c r="AX30" s="35"/>
      <c r="AY30" s="35"/>
    </row>
    <row r="31" spans="1:51" ht="15.75" customHeight="1" x14ac:dyDescent="0.25">
      <c r="A31" s="24" t="s">
        <v>171</v>
      </c>
      <c r="B31" s="6">
        <f t="shared" ref="B31:B32" si="26">IF(B11=0,0,-(B11/100)*$B$50)</f>
        <v>0</v>
      </c>
      <c r="C31" s="2" t="s">
        <v>3</v>
      </c>
      <c r="D31" s="2"/>
      <c r="E31" s="15" t="s">
        <v>95</v>
      </c>
      <c r="F31" s="23">
        <f>(J21/100)*B52</f>
        <v>21532.599435483869</v>
      </c>
      <c r="G31" s="2" t="s">
        <v>3</v>
      </c>
      <c r="H31" s="2"/>
      <c r="I31" s="15" t="s">
        <v>96</v>
      </c>
      <c r="J31" s="35">
        <f>ROUNDDOWN(J11/(F12/J12),0)</f>
        <v>2</v>
      </c>
      <c r="K31" s="2" t="s">
        <v>53</v>
      </c>
      <c r="L31" s="14"/>
      <c r="M31" s="2"/>
      <c r="N31" s="11">
        <f t="shared" si="10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1">
        <f t="shared" si="5"/>
        <v>0</v>
      </c>
      <c r="U31" s="21">
        <f t="shared" si="6"/>
        <v>0</v>
      </c>
      <c r="V31" s="21">
        <f t="shared" si="7"/>
        <v>0</v>
      </c>
      <c r="W31" s="20">
        <f t="shared" si="11"/>
        <v>0</v>
      </c>
      <c r="X31" s="17">
        <f t="shared" si="0"/>
        <v>0</v>
      </c>
      <c r="Y31" s="3"/>
      <c r="Z31" s="6">
        <f t="shared" si="9"/>
        <v>0</v>
      </c>
      <c r="AA31" s="2"/>
      <c r="AB31" s="28">
        <f t="shared" si="24"/>
        <v>20</v>
      </c>
      <c r="AC31" s="30">
        <f t="shared" si="18"/>
        <v>0.19099354838709676</v>
      </c>
      <c r="AD31" s="31">
        <v>161551.77930083268</v>
      </c>
      <c r="AE31" s="36">
        <f t="shared" si="19"/>
        <v>2.265252891041492</v>
      </c>
      <c r="AF31" s="2"/>
      <c r="AG31" s="28">
        <f t="shared" si="25"/>
        <v>20</v>
      </c>
      <c r="AH31" s="32">
        <f t="shared" si="21"/>
        <v>86130.397741935478</v>
      </c>
      <c r="AI31" s="31">
        <v>175026.75432208259</v>
      </c>
      <c r="AJ31" s="36">
        <f t="shared" si="22"/>
        <v>10.795160356081006</v>
      </c>
      <c r="AK31" s="2"/>
      <c r="AL31" s="77">
        <v>40</v>
      </c>
      <c r="AM31" s="78">
        <f t="shared" si="23"/>
        <v>21.590320712162033</v>
      </c>
      <c r="AN31" s="78">
        <f t="shared" si="14"/>
        <v>4.5305057820830203</v>
      </c>
      <c r="AO31" s="79">
        <f t="shared" si="12"/>
        <v>3.18222001354841</v>
      </c>
      <c r="AP31" s="79">
        <f t="shared" si="13"/>
        <v>35.129785220540349</v>
      </c>
      <c r="AQ31" s="79">
        <f t="shared" si="15"/>
        <v>8.626163374403319</v>
      </c>
      <c r="AR31" s="53">
        <f t="shared" si="16"/>
        <v>-5.2104187654299228</v>
      </c>
      <c r="AS31" s="35"/>
      <c r="AT31" s="35"/>
      <c r="AU31" s="35"/>
      <c r="AV31" s="35"/>
      <c r="AW31" s="35"/>
      <c r="AX31" s="35"/>
      <c r="AY31" s="35"/>
    </row>
    <row r="32" spans="1:51" ht="15.75" customHeight="1" x14ac:dyDescent="0.25">
      <c r="A32" s="24" t="s">
        <v>44</v>
      </c>
      <c r="B32" s="6">
        <f t="shared" si="26"/>
        <v>0</v>
      </c>
      <c r="C32" s="2" t="s">
        <v>3</v>
      </c>
      <c r="D32" s="2"/>
      <c r="E32" s="15" t="s">
        <v>97</v>
      </c>
      <c r="F32" s="6">
        <f>B52-F31</f>
        <v>50242.732016129034</v>
      </c>
      <c r="G32" s="2" t="s">
        <v>3</v>
      </c>
      <c r="H32" s="2"/>
      <c r="I32" s="15" t="s">
        <v>59</v>
      </c>
      <c r="J32" s="26">
        <f>IF(J24="Yes",SUM(F50:F51),0)</f>
        <v>0</v>
      </c>
      <c r="K32" s="2" t="s">
        <v>49</v>
      </c>
      <c r="L32" s="14"/>
      <c r="M32" s="2"/>
      <c r="N32" s="11">
        <f t="shared" si="10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1">
        <f t="shared" si="5"/>
        <v>0</v>
      </c>
      <c r="U32" s="21">
        <f t="shared" si="6"/>
        <v>0</v>
      </c>
      <c r="V32" s="21">
        <f t="shared" si="7"/>
        <v>0</v>
      </c>
      <c r="W32" s="20">
        <f t="shared" si="11"/>
        <v>0</v>
      </c>
      <c r="X32" s="17">
        <f t="shared" si="0"/>
        <v>0</v>
      </c>
      <c r="Y32" s="3"/>
      <c r="Z32" s="6">
        <f t="shared" si="9"/>
        <v>0</v>
      </c>
      <c r="AA32" s="2"/>
      <c r="AB32" s="28">
        <f t="shared" si="24"/>
        <v>30</v>
      </c>
      <c r="AC32" s="30">
        <f t="shared" si="18"/>
        <v>0.20690967741935484</v>
      </c>
      <c r="AD32" s="31">
        <v>163341.02650244097</v>
      </c>
      <c r="AE32" s="36">
        <f t="shared" si="19"/>
        <v>3.3978793365622746</v>
      </c>
      <c r="AF32" s="2"/>
      <c r="AG32" s="28">
        <f t="shared" si="25"/>
        <v>30</v>
      </c>
      <c r="AH32" s="32">
        <f t="shared" si="21"/>
        <v>93307.93088709678</v>
      </c>
      <c r="AI32" s="31">
        <v>183553.48903431577</v>
      </c>
      <c r="AJ32" s="36">
        <f t="shared" si="22"/>
        <v>16.192740534121508</v>
      </c>
      <c r="AK32" s="2"/>
      <c r="AL32" s="77">
        <v>50</v>
      </c>
      <c r="AM32" s="78">
        <f t="shared" si="23"/>
        <v>26.987900890202514</v>
      </c>
      <c r="AN32" s="78">
        <f t="shared" si="14"/>
        <v>5.663132227603767</v>
      </c>
      <c r="AO32" s="79">
        <f t="shared" si="12"/>
        <v>3.9777750169355399</v>
      </c>
      <c r="AP32" s="79">
        <f t="shared" si="13"/>
        <v>38.58893075549868</v>
      </c>
      <c r="AQ32" s="79">
        <f t="shared" si="15"/>
        <v>10.782704218004122</v>
      </c>
      <c r="AR32" s="53">
        <f t="shared" si="16"/>
        <v>-6.5130234567873995</v>
      </c>
      <c r="AS32" s="35"/>
      <c r="AT32" s="35"/>
      <c r="AU32" s="35"/>
      <c r="AV32" s="35"/>
      <c r="AW32" s="35"/>
      <c r="AX32" s="35"/>
      <c r="AY32" s="35"/>
    </row>
    <row r="33" spans="1:51" ht="15.75" customHeight="1" x14ac:dyDescent="0.25">
      <c r="A33" s="24" t="s">
        <v>50</v>
      </c>
      <c r="B33" s="6">
        <f>IF(B13=0,0,(B13/100)*B49)</f>
        <v>5619.4209677419358</v>
      </c>
      <c r="C33" s="2" t="s">
        <v>3</v>
      </c>
      <c r="D33" s="2"/>
      <c r="E33" s="15" t="s">
        <v>98</v>
      </c>
      <c r="F33" s="23">
        <f>F32*(F23/100)*J20</f>
        <v>23362.870387500003</v>
      </c>
      <c r="G33" s="2" t="s">
        <v>3</v>
      </c>
      <c r="H33" s="2"/>
      <c r="I33" s="2"/>
      <c r="J33" s="2"/>
      <c r="K33" s="2"/>
      <c r="L33" s="14"/>
      <c r="M33" s="2"/>
      <c r="N33" s="11">
        <f t="shared" si="10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1">
        <f t="shared" si="5"/>
        <v>0</v>
      </c>
      <c r="U33" s="21">
        <f t="shared" si="6"/>
        <v>0</v>
      </c>
      <c r="V33" s="21">
        <f t="shared" si="7"/>
        <v>0</v>
      </c>
      <c r="W33" s="20">
        <f t="shared" si="11"/>
        <v>0</v>
      </c>
      <c r="X33" s="17">
        <f t="shared" si="0"/>
        <v>0</v>
      </c>
      <c r="Y33" s="3"/>
      <c r="Z33" s="6">
        <f t="shared" si="9"/>
        <v>0</v>
      </c>
      <c r="AA33" s="2"/>
      <c r="AB33" s="28">
        <f t="shared" si="24"/>
        <v>40</v>
      </c>
      <c r="AC33" s="30">
        <f t="shared" si="18"/>
        <v>0.22282580645161287</v>
      </c>
      <c r="AD33" s="31">
        <v>165130.27370404921</v>
      </c>
      <c r="AE33" s="36">
        <f t="shared" si="19"/>
        <v>4.5305057820830203</v>
      </c>
      <c r="AF33" s="2"/>
      <c r="AG33" s="28">
        <f t="shared" si="25"/>
        <v>40</v>
      </c>
      <c r="AH33" s="32">
        <f t="shared" si="21"/>
        <v>100485.46403225805</v>
      </c>
      <c r="AI33" s="31">
        <v>192080.22374654899</v>
      </c>
      <c r="AJ33" s="36">
        <f t="shared" si="22"/>
        <v>21.590320712162033</v>
      </c>
      <c r="AK33" s="2"/>
      <c r="AL33" s="29"/>
      <c r="AM33" s="33"/>
      <c r="AN33" s="34"/>
      <c r="AO33" s="37"/>
      <c r="AP33" s="2"/>
      <c r="AQ33" s="35"/>
      <c r="AR33" s="35"/>
      <c r="AS33" s="35"/>
      <c r="AT33" s="35"/>
      <c r="AU33" s="35"/>
      <c r="AV33" s="35"/>
      <c r="AW33" s="35"/>
      <c r="AX33" s="35"/>
      <c r="AY33" s="35"/>
    </row>
    <row r="34" spans="1:51" ht="15.75" customHeight="1" x14ac:dyDescent="0.25">
      <c r="A34" s="24" t="s">
        <v>99</v>
      </c>
      <c r="B34" s="6">
        <f t="shared" ref="B34:B35" si="27">IF(B14=0,0,(B14/100)*$B$49)</f>
        <v>3831.4233870967741</v>
      </c>
      <c r="C34" s="2" t="s">
        <v>3</v>
      </c>
      <c r="D34" s="2"/>
      <c r="E34" s="2"/>
      <c r="F34" s="35"/>
      <c r="G34" s="2"/>
      <c r="H34" s="2"/>
      <c r="I34" s="15" t="s">
        <v>100</v>
      </c>
      <c r="J34" s="6">
        <f>F12*B5</f>
        <v>735318</v>
      </c>
      <c r="K34" s="2" t="s">
        <v>101</v>
      </c>
      <c r="L34" s="14"/>
      <c r="M34" s="2"/>
      <c r="N34" s="11">
        <f t="shared" si="10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1">
        <f t="shared" si="5"/>
        <v>0</v>
      </c>
      <c r="U34" s="21">
        <f t="shared" si="6"/>
        <v>0</v>
      </c>
      <c r="V34" s="21">
        <f t="shared" si="7"/>
        <v>0</v>
      </c>
      <c r="W34" s="20">
        <f t="shared" si="11"/>
        <v>0</v>
      </c>
      <c r="X34" s="17">
        <f t="shared" si="0"/>
        <v>0</v>
      </c>
      <c r="Y34" s="3"/>
      <c r="Z34" s="6">
        <f t="shared" si="9"/>
        <v>0</v>
      </c>
      <c r="AA34" s="2"/>
      <c r="AB34" s="28">
        <f t="shared" si="24"/>
        <v>50</v>
      </c>
      <c r="AC34" s="30">
        <f t="shared" si="18"/>
        <v>0.23874193548387096</v>
      </c>
      <c r="AD34" s="31">
        <v>166919.52090565744</v>
      </c>
      <c r="AE34" s="36">
        <f t="shared" si="19"/>
        <v>5.663132227603767</v>
      </c>
      <c r="AF34" s="2"/>
      <c r="AG34" s="28">
        <f t="shared" si="25"/>
        <v>50</v>
      </c>
      <c r="AH34" s="32">
        <f t="shared" si="21"/>
        <v>107662.99717741935</v>
      </c>
      <c r="AI34" s="31">
        <v>200606.95845878214</v>
      </c>
      <c r="AJ34" s="36">
        <f t="shared" si="22"/>
        <v>26.987900890202514</v>
      </c>
      <c r="AK34" s="2"/>
      <c r="AL34" s="29"/>
      <c r="AM34" s="33"/>
      <c r="AN34" s="34"/>
      <c r="AO34" s="37"/>
      <c r="AP34" s="2"/>
      <c r="AQ34" s="35"/>
      <c r="AR34" s="35"/>
      <c r="AS34" s="35"/>
      <c r="AT34" s="35"/>
      <c r="AU34" s="35"/>
      <c r="AV34" s="35"/>
      <c r="AW34" s="35"/>
      <c r="AX34" s="35"/>
      <c r="AY34" s="35"/>
    </row>
    <row r="35" spans="1:51" ht="15.75" customHeight="1" x14ac:dyDescent="0.25">
      <c r="A35" s="2" t="s">
        <v>102</v>
      </c>
      <c r="B35" s="5">
        <f t="shared" si="27"/>
        <v>11238.841935483872</v>
      </c>
      <c r="C35" s="2" t="s">
        <v>3</v>
      </c>
      <c r="D35" s="2"/>
      <c r="E35" s="1" t="s">
        <v>103</v>
      </c>
      <c r="F35" s="2"/>
      <c r="G35" s="2"/>
      <c r="H35" s="2"/>
      <c r="I35" s="2"/>
      <c r="J35" s="2"/>
      <c r="K35" s="2"/>
      <c r="L35" s="14"/>
      <c r="M35" s="2"/>
      <c r="N35" s="11">
        <f t="shared" si="10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1">
        <f t="shared" si="5"/>
        <v>0</v>
      </c>
      <c r="U35" s="21">
        <f t="shared" si="6"/>
        <v>0</v>
      </c>
      <c r="V35" s="21">
        <f t="shared" si="7"/>
        <v>0</v>
      </c>
      <c r="W35" s="20">
        <f t="shared" si="11"/>
        <v>0</v>
      </c>
      <c r="X35" s="17">
        <f t="shared" si="0"/>
        <v>0</v>
      </c>
      <c r="Y35" s="3"/>
      <c r="Z35" s="6">
        <f t="shared" si="9"/>
        <v>0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</row>
    <row r="36" spans="1:51" ht="15.75" customHeight="1" x14ac:dyDescent="0.25">
      <c r="A36" s="24" t="s">
        <v>179</v>
      </c>
      <c r="B36" s="6">
        <f t="shared" ref="B36:B40" si="28">IF(B18=0,0,(B18/100)*$B$49)</f>
        <v>0</v>
      </c>
      <c r="C36" s="2" t="s">
        <v>3</v>
      </c>
      <c r="D36" s="2"/>
      <c r="E36" s="15" t="s">
        <v>30</v>
      </c>
      <c r="F36" s="26">
        <f>F13/$B$8</f>
        <v>0.15916129032258064</v>
      </c>
      <c r="G36" s="2" t="s">
        <v>31</v>
      </c>
      <c r="H36" s="2"/>
      <c r="I36" s="2"/>
      <c r="J36" s="2"/>
      <c r="K36" s="2"/>
      <c r="L36" s="14"/>
      <c r="M36" s="2"/>
      <c r="N36" s="11">
        <f t="shared" si="10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1">
        <f t="shared" si="5"/>
        <v>0</v>
      </c>
      <c r="U36" s="21">
        <f t="shared" si="6"/>
        <v>0</v>
      </c>
      <c r="V36" s="21">
        <f t="shared" si="7"/>
        <v>0</v>
      </c>
      <c r="W36" s="20">
        <f t="shared" si="11"/>
        <v>0</v>
      </c>
      <c r="X36" s="17">
        <f t="shared" si="0"/>
        <v>0</v>
      </c>
      <c r="Y36" s="3"/>
      <c r="Z36" s="6">
        <f t="shared" si="9"/>
        <v>0</v>
      </c>
      <c r="AA36" s="2"/>
      <c r="AB36" s="27" t="s">
        <v>33</v>
      </c>
      <c r="AC36" s="28"/>
      <c r="AD36" s="28"/>
      <c r="AE36" s="28"/>
      <c r="AF36" s="2"/>
      <c r="AG36" s="27" t="s">
        <v>104</v>
      </c>
      <c r="AH36" s="28"/>
      <c r="AI36" s="28"/>
      <c r="AJ36" s="2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</row>
    <row r="37" spans="1:51" ht="15.75" customHeight="1" x14ac:dyDescent="0.25">
      <c r="A37" s="24" t="s">
        <v>180</v>
      </c>
      <c r="B37" s="6">
        <f t="shared" si="28"/>
        <v>0</v>
      </c>
      <c r="C37" s="2" t="s">
        <v>3</v>
      </c>
      <c r="D37" s="2"/>
      <c r="E37" s="15" t="s">
        <v>105</v>
      </c>
      <c r="F37" s="26">
        <f>(F21/((1-J14%)*J10))/B8</f>
        <v>2.4890481879729191E-2</v>
      </c>
      <c r="G37" s="2" t="s">
        <v>31</v>
      </c>
      <c r="H37" s="2"/>
      <c r="I37" s="1" t="s">
        <v>106</v>
      </c>
      <c r="J37" s="45">
        <f>SUM(J38:J42)</f>
        <v>4437.3273548387097</v>
      </c>
      <c r="K37" s="1" t="s">
        <v>49</v>
      </c>
      <c r="L37" s="14"/>
      <c r="M37" s="2"/>
      <c r="N37" s="11">
        <f t="shared" si="10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1">
        <f t="shared" si="5"/>
        <v>0</v>
      </c>
      <c r="U37" s="21">
        <f t="shared" si="6"/>
        <v>0</v>
      </c>
      <c r="V37" s="21">
        <f t="shared" si="7"/>
        <v>0</v>
      </c>
      <c r="W37" s="20">
        <f t="shared" si="11"/>
        <v>0</v>
      </c>
      <c r="X37" s="17">
        <f t="shared" si="0"/>
        <v>0</v>
      </c>
      <c r="Y37" s="3"/>
      <c r="Z37" s="6">
        <f t="shared" si="9"/>
        <v>0</v>
      </c>
      <c r="AA37" s="2"/>
      <c r="AB37" s="28" t="s">
        <v>80</v>
      </c>
      <c r="AC37" s="28" t="s">
        <v>107</v>
      </c>
      <c r="AD37" s="28" t="s">
        <v>23</v>
      </c>
      <c r="AE37" s="28" t="s">
        <v>82</v>
      </c>
      <c r="AF37" s="2"/>
      <c r="AG37" s="28" t="s">
        <v>80</v>
      </c>
      <c r="AH37" s="28" t="s">
        <v>108</v>
      </c>
      <c r="AI37" s="28" t="s">
        <v>23</v>
      </c>
      <c r="AJ37" s="28" t="s">
        <v>82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</row>
    <row r="38" spans="1:51" ht="15.75" customHeight="1" x14ac:dyDescent="0.25">
      <c r="A38" s="24" t="s">
        <v>73</v>
      </c>
      <c r="B38" s="6">
        <f t="shared" si="28"/>
        <v>0</v>
      </c>
      <c r="C38" s="2" t="s">
        <v>3</v>
      </c>
      <c r="D38" s="2"/>
      <c r="E38" s="15" t="s">
        <v>109</v>
      </c>
      <c r="F38" s="26">
        <f>F36*J17</f>
        <v>3.0240645161290321E-2</v>
      </c>
      <c r="G38" s="2" t="s">
        <v>4</v>
      </c>
      <c r="H38" s="2"/>
      <c r="I38" s="15" t="s">
        <v>110</v>
      </c>
      <c r="J38" s="26">
        <f>F17/$B$8</f>
        <v>11.225806451612904</v>
      </c>
      <c r="K38" s="2" t="s">
        <v>49</v>
      </c>
      <c r="L38" s="14"/>
      <c r="M38" s="2"/>
      <c r="N38" s="11">
        <f t="shared" si="10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1">
        <f t="shared" si="5"/>
        <v>0</v>
      </c>
      <c r="U38" s="21">
        <f t="shared" si="6"/>
        <v>0</v>
      </c>
      <c r="V38" s="21">
        <f t="shared" si="7"/>
        <v>0</v>
      </c>
      <c r="W38" s="20">
        <f t="shared" si="11"/>
        <v>0</v>
      </c>
      <c r="X38" s="17">
        <f t="shared" si="0"/>
        <v>0</v>
      </c>
      <c r="Y38" s="3"/>
      <c r="Z38" s="6">
        <f t="shared" si="9"/>
        <v>0</v>
      </c>
      <c r="AA38" s="2"/>
      <c r="AB38" s="28" t="s">
        <v>86</v>
      </c>
      <c r="AC38" s="32">
        <v>8505</v>
      </c>
      <c r="AD38" s="31">
        <f>X49</f>
        <v>157973.28489761622</v>
      </c>
      <c r="AE38" s="28"/>
      <c r="AF38" s="2"/>
      <c r="AG38" s="28" t="s">
        <v>86</v>
      </c>
      <c r="AH38" s="32">
        <v>73531.8</v>
      </c>
      <c r="AI38" s="31">
        <f>X49</f>
        <v>157973.28489761622</v>
      </c>
      <c r="AJ38" s="28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</row>
    <row r="39" spans="1:51" ht="15.75" customHeight="1" x14ac:dyDescent="0.25">
      <c r="A39" s="24" t="s">
        <v>75</v>
      </c>
      <c r="B39" s="6">
        <f t="shared" si="28"/>
        <v>0</v>
      </c>
      <c r="C39" s="2" t="s">
        <v>3</v>
      </c>
      <c r="D39" s="2"/>
      <c r="E39" s="2"/>
      <c r="F39" s="2"/>
      <c r="G39" s="2"/>
      <c r="H39" s="2"/>
      <c r="I39" s="15" t="s">
        <v>74</v>
      </c>
      <c r="J39" s="26">
        <f>F20/$B$8</f>
        <v>10.32258064516129</v>
      </c>
      <c r="K39" s="2" t="s">
        <v>49</v>
      </c>
      <c r="L39" s="14"/>
      <c r="M39" s="2"/>
      <c r="N39" s="11">
        <f t="shared" si="10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1">
        <f t="shared" si="5"/>
        <v>0</v>
      </c>
      <c r="U39" s="21">
        <f t="shared" si="6"/>
        <v>0</v>
      </c>
      <c r="V39" s="21">
        <f t="shared" si="7"/>
        <v>0</v>
      </c>
      <c r="W39" s="20">
        <f t="shared" si="11"/>
        <v>0</v>
      </c>
      <c r="X39" s="17">
        <f t="shared" si="0"/>
        <v>0</v>
      </c>
      <c r="Y39" s="3"/>
      <c r="Z39" s="6">
        <f t="shared" si="9"/>
        <v>0</v>
      </c>
      <c r="AA39" s="2"/>
      <c r="AB39" s="28">
        <f t="shared" ref="AB39:AB43" si="29">AB40-10</f>
        <v>-50</v>
      </c>
      <c r="AC39" s="32">
        <f t="shared" ref="AC39:AC49" si="30">$AC$38*(1+(AB39/100))</f>
        <v>4252.5</v>
      </c>
      <c r="AD39" s="31">
        <f t="dataTable" ref="AD39:AD49" dt2D="0" dtr="0" r1="B48" ca="1"/>
        <v>151689.46303752653</v>
      </c>
      <c r="AE39" s="36">
        <f>100*((AD39-$AD$44)/$AD$44)</f>
        <v>-3.9777750169354844</v>
      </c>
      <c r="AF39" s="2"/>
      <c r="AG39" s="28">
        <f t="shared" ref="AG39:AG43" si="31">AG40-10</f>
        <v>-50</v>
      </c>
      <c r="AH39" s="32">
        <f t="shared" ref="AH39:AH49" si="32">$AH$38*(1+(AG39/100))</f>
        <v>36765.9</v>
      </c>
      <c r="AI39" s="31">
        <f t="dataTable" ref="AI39:AI49" dt2D="0" dtr="0" r1="F12" ca="1"/>
        <v>111368.47585875755</v>
      </c>
      <c r="AJ39" s="36">
        <f t="shared" ref="AJ39:AJ49" si="33">100*((AI39-$AI$44)/$AI$44)</f>
        <v>-29.501702815804347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</row>
    <row r="40" spans="1:51" ht="15.75" customHeight="1" x14ac:dyDescent="0.25">
      <c r="A40" s="24" t="s">
        <v>78</v>
      </c>
      <c r="B40" s="6">
        <f t="shared" si="28"/>
        <v>0</v>
      </c>
      <c r="C40" s="2" t="s">
        <v>3</v>
      </c>
      <c r="D40" s="2"/>
      <c r="E40" s="15" t="s">
        <v>111</v>
      </c>
      <c r="F40" s="26">
        <f>F37*F12*J17</f>
        <v>347.74596774193549</v>
      </c>
      <c r="G40" s="2" t="s">
        <v>49</v>
      </c>
      <c r="H40" s="2"/>
      <c r="I40" s="15" t="s">
        <v>63</v>
      </c>
      <c r="J40" s="26">
        <f>F16/$B$8</f>
        <v>0</v>
      </c>
      <c r="K40" s="2" t="s">
        <v>49</v>
      </c>
      <c r="L40" s="14"/>
      <c r="M40" s="2"/>
      <c r="N40" s="11">
        <f t="shared" si="10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1">
        <f t="shared" si="5"/>
        <v>0</v>
      </c>
      <c r="U40" s="21">
        <f t="shared" si="6"/>
        <v>0</v>
      </c>
      <c r="V40" s="21">
        <f t="shared" si="7"/>
        <v>0</v>
      </c>
      <c r="W40" s="20">
        <f t="shared" si="11"/>
        <v>0</v>
      </c>
      <c r="X40" s="17">
        <f t="shared" si="0"/>
        <v>0</v>
      </c>
      <c r="Y40" s="3"/>
      <c r="Z40" s="6">
        <f t="shared" si="9"/>
        <v>0</v>
      </c>
      <c r="AA40" s="2"/>
      <c r="AB40" s="28">
        <f t="shared" si="29"/>
        <v>-40</v>
      </c>
      <c r="AC40" s="32">
        <f t="shared" si="30"/>
        <v>5103</v>
      </c>
      <c r="AD40" s="31">
        <v>152946.22740954446</v>
      </c>
      <c r="AE40" s="36">
        <f t="shared" ref="AE40:AE49" si="34">100*((AD40-$AD$29)/$AD$29)</f>
        <v>-3.1822200135483909</v>
      </c>
      <c r="AF40" s="2"/>
      <c r="AG40" s="28">
        <f t="shared" si="31"/>
        <v>-40</v>
      </c>
      <c r="AH40" s="32">
        <f t="shared" si="32"/>
        <v>44119.08</v>
      </c>
      <c r="AI40" s="31">
        <v>116833.00168972042</v>
      </c>
      <c r="AJ40" s="36">
        <f t="shared" si="33"/>
        <v>-26.042557280846033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</row>
    <row r="41" spans="1:51" ht="15.75" customHeight="1" x14ac:dyDescent="0.25">
      <c r="A41" s="2"/>
      <c r="B41" s="2"/>
      <c r="C41" s="2"/>
      <c r="D41" s="2"/>
      <c r="E41" s="15" t="s">
        <v>112</v>
      </c>
      <c r="F41" s="35">
        <f>F38*F12</f>
        <v>2223.6490718709679</v>
      </c>
      <c r="G41" s="25" t="s">
        <v>49</v>
      </c>
      <c r="H41" s="2"/>
      <c r="I41" s="2" t="s">
        <v>88</v>
      </c>
      <c r="J41" s="35">
        <f>F24/B8</f>
        <v>3.870967741935484</v>
      </c>
      <c r="K41" s="2" t="s">
        <v>49</v>
      </c>
      <c r="L41" s="14"/>
      <c r="M41" s="2"/>
      <c r="N41" s="11">
        <f t="shared" si="10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1">
        <f t="shared" si="5"/>
        <v>0</v>
      </c>
      <c r="U41" s="21">
        <f t="shared" si="6"/>
        <v>0</v>
      </c>
      <c r="V41" s="21">
        <f t="shared" si="7"/>
        <v>0</v>
      </c>
      <c r="W41" s="20">
        <f t="shared" si="11"/>
        <v>0</v>
      </c>
      <c r="X41" s="17">
        <f t="shared" si="0"/>
        <v>0</v>
      </c>
      <c r="Y41" s="3"/>
      <c r="Z41" s="6">
        <f t="shared" si="9"/>
        <v>0</v>
      </c>
      <c r="AA41" s="2"/>
      <c r="AB41" s="28">
        <f t="shared" si="29"/>
        <v>-30</v>
      </c>
      <c r="AC41" s="32">
        <f t="shared" si="30"/>
        <v>5953.5</v>
      </c>
      <c r="AD41" s="31">
        <v>154202.99178156239</v>
      </c>
      <c r="AE41" s="36">
        <f t="shared" si="34"/>
        <v>-2.3866650101612978</v>
      </c>
      <c r="AF41" s="2"/>
      <c r="AG41" s="28">
        <f t="shared" si="31"/>
        <v>-30</v>
      </c>
      <c r="AH41" s="32">
        <f t="shared" si="32"/>
        <v>51472.26</v>
      </c>
      <c r="AI41" s="31">
        <v>128719.8237548614</v>
      </c>
      <c r="AJ41" s="36">
        <f t="shared" si="33"/>
        <v>-18.517979898762142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</row>
    <row r="42" spans="1:51" ht="15.75" customHeight="1" x14ac:dyDescent="0.25">
      <c r="A42" s="2"/>
      <c r="B42" s="2"/>
      <c r="C42" s="2"/>
      <c r="D42" s="2"/>
      <c r="E42" s="2"/>
      <c r="F42" s="2"/>
      <c r="G42" s="2"/>
      <c r="H42" s="2"/>
      <c r="I42" s="15" t="s">
        <v>48</v>
      </c>
      <c r="J42" s="46">
        <f>F22*F12/$B$8</f>
        <v>4411.9080000000004</v>
      </c>
      <c r="K42" s="2" t="s">
        <v>49</v>
      </c>
      <c r="L42" s="14"/>
      <c r="M42" s="2"/>
      <c r="N42" s="11">
        <f t="shared" si="10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1">
        <f t="shared" si="5"/>
        <v>0</v>
      </c>
      <c r="U42" s="21">
        <f t="shared" si="6"/>
        <v>0</v>
      </c>
      <c r="V42" s="21">
        <f t="shared" si="7"/>
        <v>0</v>
      </c>
      <c r="W42" s="20">
        <f t="shared" si="11"/>
        <v>0</v>
      </c>
      <c r="X42" s="17">
        <f t="shared" si="0"/>
        <v>0</v>
      </c>
      <c r="Y42" s="3"/>
      <c r="Z42" s="6">
        <f t="shared" si="9"/>
        <v>0</v>
      </c>
      <c r="AA42" s="2"/>
      <c r="AB42" s="28">
        <f t="shared" si="29"/>
        <v>-20</v>
      </c>
      <c r="AC42" s="32">
        <f t="shared" si="30"/>
        <v>6804</v>
      </c>
      <c r="AD42" s="31">
        <v>155459.75615358033</v>
      </c>
      <c r="AE42" s="36">
        <f t="shared" si="34"/>
        <v>-1.591110006774205</v>
      </c>
      <c r="AF42" s="2"/>
      <c r="AG42" s="28">
        <f t="shared" si="31"/>
        <v>-20</v>
      </c>
      <c r="AH42" s="32">
        <f t="shared" si="32"/>
        <v>58825.440000000002</v>
      </c>
      <c r="AI42" s="31">
        <v>134184.3495858243</v>
      </c>
      <c r="AJ42" s="36">
        <f t="shared" si="33"/>
        <v>-15.058834363803808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</row>
    <row r="43" spans="1:51" ht="15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4"/>
      <c r="M43" s="2"/>
      <c r="N43" s="11">
        <f t="shared" si="10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1">
        <f t="shared" si="5"/>
        <v>0</v>
      </c>
      <c r="U43" s="21">
        <f t="shared" si="6"/>
        <v>0</v>
      </c>
      <c r="V43" s="21">
        <f t="shared" si="7"/>
        <v>0</v>
      </c>
      <c r="W43" s="20">
        <f t="shared" si="11"/>
        <v>0</v>
      </c>
      <c r="X43" s="17">
        <f t="shared" si="0"/>
        <v>0</v>
      </c>
      <c r="Y43" s="3"/>
      <c r="Z43" s="6">
        <f t="shared" si="9"/>
        <v>0</v>
      </c>
      <c r="AA43" s="2"/>
      <c r="AB43" s="28">
        <f t="shared" si="29"/>
        <v>-10</v>
      </c>
      <c r="AC43" s="32">
        <f t="shared" si="30"/>
        <v>7654.5</v>
      </c>
      <c r="AD43" s="31">
        <v>156716.52052559829</v>
      </c>
      <c r="AE43" s="36">
        <f t="shared" si="34"/>
        <v>-0.79555500338709306</v>
      </c>
      <c r="AF43" s="2"/>
      <c r="AG43" s="28">
        <f t="shared" si="31"/>
        <v>-10</v>
      </c>
      <c r="AH43" s="32">
        <f t="shared" si="32"/>
        <v>66178.62000000001</v>
      </c>
      <c r="AI43" s="31">
        <v>152508.75906665335</v>
      </c>
      <c r="AJ43" s="36">
        <f t="shared" si="33"/>
        <v>-3.4591455349583153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1:51" ht="15.75" customHeight="1" x14ac:dyDescent="0.25">
      <c r="A44" s="22" t="s">
        <v>113</v>
      </c>
      <c r="B44" s="3"/>
      <c r="C44" s="1"/>
      <c r="D44" s="2"/>
      <c r="E44" s="1" t="s">
        <v>160</v>
      </c>
      <c r="F44" s="2"/>
      <c r="G44" s="2"/>
      <c r="H44" s="2"/>
      <c r="I44" s="2"/>
      <c r="J44" s="2"/>
      <c r="K44" s="2"/>
      <c r="L44" s="14"/>
      <c r="M44" s="2"/>
      <c r="N44" s="11">
        <f t="shared" si="10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1">
        <f t="shared" si="5"/>
        <v>0</v>
      </c>
      <c r="U44" s="21">
        <f t="shared" si="6"/>
        <v>0</v>
      </c>
      <c r="V44" s="21">
        <f t="shared" si="7"/>
        <v>0</v>
      </c>
      <c r="W44" s="20">
        <f t="shared" si="11"/>
        <v>0</v>
      </c>
      <c r="X44" s="17">
        <f t="shared" si="0"/>
        <v>0</v>
      </c>
      <c r="Y44" s="3"/>
      <c r="Z44" s="6">
        <f t="shared" si="9"/>
        <v>0</v>
      </c>
      <c r="AA44" s="2"/>
      <c r="AB44" s="41">
        <v>0</v>
      </c>
      <c r="AC44" s="47">
        <f t="shared" si="30"/>
        <v>8505</v>
      </c>
      <c r="AD44" s="42">
        <v>157973.28489761622</v>
      </c>
      <c r="AE44" s="56">
        <f t="shared" si="34"/>
        <v>0</v>
      </c>
      <c r="AF44" s="2"/>
      <c r="AG44" s="41">
        <v>0</v>
      </c>
      <c r="AH44" s="47">
        <f t="shared" si="32"/>
        <v>73531.8</v>
      </c>
      <c r="AI44" s="42">
        <v>157973.28489761622</v>
      </c>
      <c r="AJ44" s="56">
        <f t="shared" si="33"/>
        <v>0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1:51" ht="15.75" customHeight="1" x14ac:dyDescent="0.25">
      <c r="A45" s="15" t="s">
        <v>173</v>
      </c>
      <c r="B45" s="6">
        <f>J8/B8</f>
        <v>42580.645161290326</v>
      </c>
      <c r="C45" s="2" t="s">
        <v>3</v>
      </c>
      <c r="D45" s="2"/>
      <c r="E45" s="15" t="s">
        <v>167</v>
      </c>
      <c r="F45" s="70">
        <f>((1+(B16/100))*J9*J10)*(1+(B13%+B14%+B15%))</f>
        <v>11949.525</v>
      </c>
      <c r="G45" s="2" t="s">
        <v>3</v>
      </c>
      <c r="H45" s="2"/>
      <c r="I45" s="1"/>
      <c r="J45" s="2"/>
      <c r="K45" s="2"/>
      <c r="L45" s="14"/>
      <c r="M45" s="2"/>
      <c r="N45" s="11">
        <f t="shared" si="10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1">
        <f t="shared" si="5"/>
        <v>0</v>
      </c>
      <c r="U45" s="21">
        <f t="shared" si="6"/>
        <v>0</v>
      </c>
      <c r="V45" s="21">
        <f t="shared" si="7"/>
        <v>0</v>
      </c>
      <c r="W45" s="20">
        <f t="shared" si="11"/>
        <v>0</v>
      </c>
      <c r="X45" s="17">
        <f t="shared" si="0"/>
        <v>0</v>
      </c>
      <c r="Y45" s="3"/>
      <c r="Z45" s="6">
        <f t="shared" si="9"/>
        <v>0</v>
      </c>
      <c r="AA45" s="2"/>
      <c r="AB45" s="28">
        <f t="shared" ref="AB45:AB49" si="35">AB44+10</f>
        <v>10</v>
      </c>
      <c r="AC45" s="32">
        <f t="shared" si="30"/>
        <v>9355.5</v>
      </c>
      <c r="AD45" s="31">
        <v>159230.04926963418</v>
      </c>
      <c r="AE45" s="36">
        <f t="shared" si="34"/>
        <v>0.7955550033871116</v>
      </c>
      <c r="AF45" s="2"/>
      <c r="AG45" s="28">
        <f t="shared" ref="AG45:AG49" si="36">AG44+10</f>
        <v>10</v>
      </c>
      <c r="AH45" s="32">
        <f t="shared" si="32"/>
        <v>80884.98000000001</v>
      </c>
      <c r="AI45" s="31">
        <v>163437.81072857903</v>
      </c>
      <c r="AJ45" s="36">
        <f t="shared" si="33"/>
        <v>3.459145534958278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1:51" ht="15.75" customHeight="1" x14ac:dyDescent="0.25">
      <c r="A46" s="15" t="s">
        <v>114</v>
      </c>
      <c r="B46" s="6">
        <f>IF(J24="No",J9*J10,0)</f>
        <v>8505</v>
      </c>
      <c r="C46" s="2" t="s">
        <v>3</v>
      </c>
      <c r="D46" s="2"/>
      <c r="E46" s="2" t="s">
        <v>168</v>
      </c>
      <c r="F46" s="70">
        <f>((J21%)*F45)+(((1-J21%)*F45)*(1+(F23%*J20)))</f>
        <v>15839.0953875</v>
      </c>
      <c r="G46" s="2" t="s">
        <v>3</v>
      </c>
      <c r="H46" s="2"/>
      <c r="I46" s="15"/>
      <c r="J46" s="19"/>
      <c r="K46" s="2"/>
      <c r="L46" s="14"/>
      <c r="M46" s="2"/>
      <c r="N46" s="11">
        <f t="shared" si="10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1">
        <f t="shared" si="5"/>
        <v>0</v>
      </c>
      <c r="U46" s="21">
        <f t="shared" si="6"/>
        <v>0</v>
      </c>
      <c r="V46" s="21">
        <f t="shared" si="7"/>
        <v>0</v>
      </c>
      <c r="W46" s="20">
        <f t="shared" si="11"/>
        <v>0</v>
      </c>
      <c r="X46" s="17">
        <f t="shared" si="0"/>
        <v>0</v>
      </c>
      <c r="Y46" s="3"/>
      <c r="Z46" s="6">
        <f t="shared" si="9"/>
        <v>0</v>
      </c>
      <c r="AA46" s="2"/>
      <c r="AB46" s="28">
        <f t="shared" si="35"/>
        <v>20</v>
      </c>
      <c r="AC46" s="32">
        <f t="shared" si="30"/>
        <v>10206</v>
      </c>
      <c r="AD46" s="31">
        <v>160486.81364165212</v>
      </c>
      <c r="AE46" s="36">
        <f t="shared" si="34"/>
        <v>1.591110006774205</v>
      </c>
      <c r="AF46" s="2"/>
      <c r="AG46" s="28">
        <f t="shared" si="36"/>
        <v>20</v>
      </c>
      <c r="AH46" s="32">
        <f t="shared" si="32"/>
        <v>88238.16</v>
      </c>
      <c r="AI46" s="31">
        <v>168902.3365595419</v>
      </c>
      <c r="AJ46" s="36">
        <f t="shared" si="33"/>
        <v>6.9182910699165934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1:51" ht="15.75" customHeight="1" x14ac:dyDescent="0.25">
      <c r="A47" s="24" t="s">
        <v>115</v>
      </c>
      <c r="B47" s="23">
        <f>(1+(B16/100))*B45</f>
        <v>42580.645161290326</v>
      </c>
      <c r="C47" s="2" t="s">
        <v>3</v>
      </c>
      <c r="D47" s="2"/>
      <c r="E47" s="2" t="s">
        <v>96</v>
      </c>
      <c r="F47" s="70">
        <f>J11*J12</f>
        <v>180000</v>
      </c>
      <c r="G47" s="2" t="s">
        <v>101</v>
      </c>
      <c r="H47" s="2"/>
      <c r="I47" s="2"/>
      <c r="J47" s="2"/>
      <c r="K47" s="2"/>
      <c r="L47" s="14"/>
      <c r="M47" s="2"/>
      <c r="N47" s="11">
        <f t="shared" si="10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1">
        <f t="shared" si="5"/>
        <v>0</v>
      </c>
      <c r="U47" s="21">
        <f t="shared" si="6"/>
        <v>0</v>
      </c>
      <c r="V47" s="21">
        <f t="shared" si="7"/>
        <v>0</v>
      </c>
      <c r="W47" s="20">
        <f t="shared" si="11"/>
        <v>0</v>
      </c>
      <c r="X47" s="17">
        <f t="shared" si="0"/>
        <v>0</v>
      </c>
      <c r="Y47" s="3"/>
      <c r="Z47" s="6">
        <f t="shared" si="9"/>
        <v>0</v>
      </c>
      <c r="AA47" s="2"/>
      <c r="AB47" s="28">
        <f t="shared" si="35"/>
        <v>30</v>
      </c>
      <c r="AC47" s="32">
        <f t="shared" si="30"/>
        <v>11056.5</v>
      </c>
      <c r="AD47" s="31">
        <v>161743.57801367008</v>
      </c>
      <c r="AE47" s="36">
        <f t="shared" si="34"/>
        <v>2.386665010161316</v>
      </c>
      <c r="AF47" s="2"/>
      <c r="AG47" s="28">
        <f t="shared" si="36"/>
        <v>30</v>
      </c>
      <c r="AH47" s="32">
        <f t="shared" si="32"/>
        <v>95591.340000000011</v>
      </c>
      <c r="AI47" s="31">
        <v>208004.43475701823</v>
      </c>
      <c r="AJ47" s="36">
        <f t="shared" si="33"/>
        <v>31.670639685582032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1:51" ht="15.75" customHeight="1" x14ac:dyDescent="0.25">
      <c r="A48" s="24" t="s">
        <v>116</v>
      </c>
      <c r="B48" s="5">
        <f>(1+(B16/100))*B46</f>
        <v>8505</v>
      </c>
      <c r="C48" s="2" t="s">
        <v>3</v>
      </c>
      <c r="D48" s="2"/>
      <c r="E48" s="2" t="s">
        <v>162</v>
      </c>
      <c r="F48" s="52">
        <f>(F46/F47)*J25</f>
        <v>0.1143934666875</v>
      </c>
      <c r="G48" s="2" t="s">
        <v>4</v>
      </c>
      <c r="H48" s="2"/>
      <c r="I48" s="2"/>
      <c r="J48" s="2"/>
      <c r="K48" s="2"/>
      <c r="L48" s="14"/>
      <c r="M48" s="2"/>
      <c r="N48" s="11">
        <f t="shared" si="10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1">
        <f t="shared" si="5"/>
        <v>0</v>
      </c>
      <c r="U48" s="21">
        <f t="shared" si="6"/>
        <v>0</v>
      </c>
      <c r="V48" s="21">
        <f t="shared" si="7"/>
        <v>0</v>
      </c>
      <c r="W48" s="20">
        <f t="shared" si="11"/>
        <v>0</v>
      </c>
      <c r="X48" s="17">
        <f t="shared" si="0"/>
        <v>0</v>
      </c>
      <c r="Y48" s="3"/>
      <c r="Z48" s="6">
        <f t="shared" si="9"/>
        <v>0</v>
      </c>
      <c r="AA48" s="2"/>
      <c r="AB48" s="28">
        <f t="shared" si="35"/>
        <v>40</v>
      </c>
      <c r="AC48" s="32">
        <f t="shared" si="30"/>
        <v>11907</v>
      </c>
      <c r="AD48" s="31">
        <v>163000.34238568801</v>
      </c>
      <c r="AE48" s="36">
        <f t="shared" si="34"/>
        <v>3.18222001354841</v>
      </c>
      <c r="AF48" s="2"/>
      <c r="AG48" s="28">
        <f t="shared" si="36"/>
        <v>40</v>
      </c>
      <c r="AH48" s="32">
        <f t="shared" si="32"/>
        <v>102944.52</v>
      </c>
      <c r="AI48" s="31">
        <v>213468.9605879811</v>
      </c>
      <c r="AJ48" s="36">
        <f t="shared" si="33"/>
        <v>35.129785220540349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</row>
    <row r="49" spans="1:51" ht="15.75" customHeight="1" x14ac:dyDescent="0.25">
      <c r="A49" s="2" t="s">
        <v>117</v>
      </c>
      <c r="B49" s="23">
        <f>B47+B48</f>
        <v>51085.645161290326</v>
      </c>
      <c r="C49" s="2" t="s">
        <v>3</v>
      </c>
      <c r="D49" s="2"/>
      <c r="E49" s="2" t="s">
        <v>165</v>
      </c>
      <c r="F49" s="6">
        <f>J26*365</f>
        <v>36500</v>
      </c>
      <c r="G49" s="2" t="s">
        <v>43</v>
      </c>
      <c r="H49" s="2"/>
      <c r="I49" s="2"/>
      <c r="J49" s="2"/>
      <c r="K49" s="2"/>
      <c r="L49" s="14"/>
      <c r="M49" s="2"/>
      <c r="N49" s="12" t="s">
        <v>119</v>
      </c>
      <c r="O49" s="17">
        <f t="shared" ref="O49:X49" si="37">SUM(O8:O48)</f>
        <v>21532.599435483869</v>
      </c>
      <c r="P49" s="17">
        <f t="shared" si="37"/>
        <v>63734.747686847935</v>
      </c>
      <c r="Q49" s="17">
        <f t="shared" si="37"/>
        <v>17892.472016082538</v>
      </c>
      <c r="R49" s="17">
        <f t="shared" si="37"/>
        <v>2685.2021855960784</v>
      </c>
      <c r="S49" s="17">
        <f t="shared" si="37"/>
        <v>34263.86562808531</v>
      </c>
      <c r="T49" s="17">
        <f t="shared" si="37"/>
        <v>0</v>
      </c>
      <c r="U49" s="17">
        <f t="shared" si="37"/>
        <v>32035.78320620333</v>
      </c>
      <c r="V49" s="17">
        <f t="shared" si="37"/>
        <v>0</v>
      </c>
      <c r="W49" s="17">
        <f t="shared" si="37"/>
        <v>-14171.38526068286</v>
      </c>
      <c r="X49" s="17">
        <f t="shared" si="37"/>
        <v>157973.28489761622</v>
      </c>
      <c r="Y49" s="3"/>
      <c r="Z49" s="3"/>
      <c r="AA49" s="2"/>
      <c r="AB49" s="28">
        <f t="shared" si="35"/>
        <v>50</v>
      </c>
      <c r="AC49" s="32">
        <f t="shared" si="30"/>
        <v>12757.5</v>
      </c>
      <c r="AD49" s="31">
        <v>164257.106757706</v>
      </c>
      <c r="AE49" s="36">
        <f t="shared" si="34"/>
        <v>3.9777750169355399</v>
      </c>
      <c r="AF49" s="2"/>
      <c r="AG49" s="28">
        <f t="shared" si="36"/>
        <v>50</v>
      </c>
      <c r="AH49" s="32">
        <f t="shared" si="32"/>
        <v>110297.70000000001</v>
      </c>
      <c r="AI49" s="31">
        <v>218933.486418944</v>
      </c>
      <c r="AJ49" s="36">
        <f t="shared" si="33"/>
        <v>38.58893075549868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</row>
    <row r="50" spans="1:51" ht="15.75" customHeight="1" x14ac:dyDescent="0.25">
      <c r="A50" s="24" t="s">
        <v>118</v>
      </c>
      <c r="B50" s="6">
        <f>SUM(B33:B40)+SUM(B49)</f>
        <v>71775.331451612903</v>
      </c>
      <c r="C50" s="2" t="s">
        <v>3</v>
      </c>
      <c r="D50" s="2"/>
      <c r="E50" s="2" t="s">
        <v>163</v>
      </c>
      <c r="F50" s="5">
        <f>F48*F49</f>
        <v>4175.3615340937504</v>
      </c>
      <c r="G50" s="72" t="s">
        <v>49</v>
      </c>
      <c r="H50" s="2"/>
      <c r="I50" s="2"/>
      <c r="J50" s="2"/>
      <c r="K50" s="2"/>
      <c r="L50" s="14"/>
      <c r="M50" s="2"/>
      <c r="N50" s="2"/>
      <c r="O50" s="2"/>
      <c r="P50" s="6"/>
      <c r="Q50" s="2"/>
      <c r="R50" s="23">
        <f>SUM(R49:S49)</f>
        <v>36949.067813681388</v>
      </c>
      <c r="S50" s="2"/>
      <c r="T50" s="2"/>
      <c r="U50" s="2"/>
      <c r="V50" s="2"/>
      <c r="W50" s="2"/>
      <c r="X50" s="23"/>
      <c r="Y50" s="23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</row>
    <row r="51" spans="1:51" ht="15.75" customHeight="1" x14ac:dyDescent="0.25">
      <c r="A51" s="24" t="s">
        <v>172</v>
      </c>
      <c r="B51" s="6">
        <f>SUM(B31:B32)</f>
        <v>0</v>
      </c>
      <c r="C51" s="2" t="s">
        <v>3</v>
      </c>
      <c r="D51" s="2"/>
      <c r="E51" s="2" t="s">
        <v>164</v>
      </c>
      <c r="F51" s="6">
        <f>IF(F12&gt;F49,(F12-F49)*F48,0)</f>
        <v>4236.195979678163</v>
      </c>
      <c r="G51" s="72" t="s">
        <v>49</v>
      </c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7" t="s">
        <v>48</v>
      </c>
      <c r="AC51" s="28"/>
      <c r="AD51" s="28"/>
      <c r="AE51" s="28"/>
      <c r="AF51" s="2"/>
      <c r="AG51" s="27" t="s">
        <v>166</v>
      </c>
      <c r="AH51" s="28"/>
      <c r="AI51" s="28"/>
      <c r="AJ51" s="2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</row>
    <row r="52" spans="1:51" ht="15.75" customHeight="1" x14ac:dyDescent="0.25">
      <c r="A52" s="24" t="s">
        <v>174</v>
      </c>
      <c r="B52" s="6">
        <f>B50-B51</f>
        <v>71775.331451612903</v>
      </c>
      <c r="C52" s="2" t="s">
        <v>3</v>
      </c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8" t="s">
        <v>80</v>
      </c>
      <c r="AC52" s="28" t="s">
        <v>139</v>
      </c>
      <c r="AD52" s="28" t="s">
        <v>23</v>
      </c>
      <c r="AE52" s="28" t="s">
        <v>82</v>
      </c>
      <c r="AF52" s="2"/>
      <c r="AG52" s="28" t="s">
        <v>80</v>
      </c>
      <c r="AH52" s="28" t="s">
        <v>169</v>
      </c>
      <c r="AI52" s="28" t="s">
        <v>23</v>
      </c>
      <c r="AJ52" s="28" t="s">
        <v>82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</row>
    <row r="53" spans="1:51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8" t="s">
        <v>86</v>
      </c>
      <c r="AC53" s="32">
        <v>4411.9080000000004</v>
      </c>
      <c r="AD53" s="31">
        <f>X49</f>
        <v>157973.28489761622</v>
      </c>
      <c r="AE53" s="28"/>
      <c r="AF53" s="2"/>
      <c r="AG53" s="28" t="s">
        <v>86</v>
      </c>
      <c r="AH53" s="32">
        <v>100</v>
      </c>
      <c r="AI53" s="31">
        <f>X49</f>
        <v>157973.28489761622</v>
      </c>
      <c r="AJ53" s="28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</row>
    <row r="54" spans="1:51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48"/>
      <c r="V54" s="51"/>
      <c r="W54" s="2"/>
      <c r="X54" s="35"/>
      <c r="Y54" s="35"/>
      <c r="Z54" s="51"/>
      <c r="AA54" s="35"/>
      <c r="AB54" s="28">
        <f t="shared" ref="AB54:AB58" si="38">AB55-10</f>
        <v>-50</v>
      </c>
      <c r="AC54" s="32">
        <f t="shared" ref="AC54:AC64" si="39">$AC$53*(1+(AB54/100))</f>
        <v>2205.9540000000002</v>
      </c>
      <c r="AD54" s="31">
        <f t="dataTable" ref="AD54:AD64" dt2D="0" dtr="0" r1="J42" ca="1"/>
        <v>140939.49284364126</v>
      </c>
      <c r="AE54" s="36">
        <f t="shared" ref="AE54:AE64" si="40">100*((AD54-$AD$59)/$AD$59)</f>
        <v>-10.78270421800414</v>
      </c>
      <c r="AF54" s="2"/>
      <c r="AG54" s="28">
        <f t="shared" ref="AG54:AG56" si="41">AG55-20</f>
        <v>-100</v>
      </c>
      <c r="AH54" s="32">
        <f>$AH$53*(1+(AG54/100))</f>
        <v>0</v>
      </c>
      <c r="AI54" s="31">
        <f t="dataTable" ref="AI54:AI64" dt2D="0" dtr="0" r1="J26" ca="1"/>
        <v>157973.28489761622</v>
      </c>
      <c r="AJ54" s="36">
        <f>100*((AI54-$AI$59)/$AI$59)</f>
        <v>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</row>
    <row r="55" spans="1:51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85267.347122331805</v>
      </c>
      <c r="Q55" s="2" t="s">
        <v>3</v>
      </c>
      <c r="R55" s="52">
        <f t="shared" ref="R55:R59" si="42">P55/$J$34</f>
        <v>0.11595982571123216</v>
      </c>
      <c r="S55" s="2" t="s">
        <v>4</v>
      </c>
      <c r="T55" s="2"/>
      <c r="U55" s="2"/>
      <c r="V55" s="51"/>
      <c r="W55" s="2"/>
      <c r="X55" s="35"/>
      <c r="Y55" s="35"/>
      <c r="Z55" s="51"/>
      <c r="AA55" s="35"/>
      <c r="AB55" s="28">
        <f t="shared" si="38"/>
        <v>-40</v>
      </c>
      <c r="AC55" s="32">
        <f t="shared" si="39"/>
        <v>2647.1448</v>
      </c>
      <c r="AD55" s="31">
        <v>144346.25125443621</v>
      </c>
      <c r="AE55" s="36">
        <f t="shared" si="40"/>
        <v>-8.6261633744033386</v>
      </c>
      <c r="AF55" s="2"/>
      <c r="AG55" s="28">
        <f t="shared" si="41"/>
        <v>-80</v>
      </c>
      <c r="AH55" s="32">
        <f t="shared" ref="AH55:AH64" si="43">$AH$53*(1+(AG55/100))</f>
        <v>19.999999999999996</v>
      </c>
      <c r="AI55" s="31">
        <v>157973.28489761622</v>
      </c>
      <c r="AJ55" s="36">
        <f t="shared" ref="AJ55:AJ64" si="44">100*((AI55-$AI$59)/$AI$59)</f>
        <v>0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</row>
    <row r="56" spans="1:51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SUM(Q49:R49)</f>
        <v>20577.674201678616</v>
      </c>
      <c r="Q56" s="2" t="s">
        <v>3</v>
      </c>
      <c r="R56" s="52">
        <f t="shared" si="42"/>
        <v>2.7984727970318441E-2</v>
      </c>
      <c r="S56" s="2" t="s">
        <v>4</v>
      </c>
      <c r="T56" s="2"/>
      <c r="U56" s="2"/>
      <c r="V56" s="51"/>
      <c r="W56" s="2"/>
      <c r="X56" s="35"/>
      <c r="Y56" s="35"/>
      <c r="Z56" s="51"/>
      <c r="AA56" s="35"/>
      <c r="AB56" s="28">
        <f t="shared" si="38"/>
        <v>-30</v>
      </c>
      <c r="AC56" s="32">
        <f t="shared" si="39"/>
        <v>3088.3355999999999</v>
      </c>
      <c r="AD56" s="31">
        <v>147753.00966523122</v>
      </c>
      <c r="AE56" s="36">
        <f t="shared" si="40"/>
        <v>-6.469622530802499</v>
      </c>
      <c r="AF56" s="2"/>
      <c r="AG56" s="28">
        <f t="shared" si="41"/>
        <v>-60</v>
      </c>
      <c r="AH56" s="32">
        <f t="shared" si="43"/>
        <v>40</v>
      </c>
      <c r="AI56" s="31">
        <v>157973.28489761622</v>
      </c>
      <c r="AJ56" s="36">
        <f t="shared" si="44"/>
        <v>0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</row>
    <row r="57" spans="1:51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SUM(S49:T49)</f>
        <v>34263.86562808531</v>
      </c>
      <c r="Q57" s="2" t="s">
        <v>3</v>
      </c>
      <c r="R57" s="52">
        <f t="shared" si="42"/>
        <v>4.6597343772470289E-2</v>
      </c>
      <c r="S57" s="2" t="s">
        <v>4</v>
      </c>
      <c r="T57" s="2"/>
      <c r="U57" s="2"/>
      <c r="V57" s="51"/>
      <c r="W57" s="2"/>
      <c r="X57" s="35"/>
      <c r="Y57" s="35"/>
      <c r="Z57" s="51"/>
      <c r="AA57" s="35"/>
      <c r="AB57" s="28">
        <f t="shared" si="38"/>
        <v>-20</v>
      </c>
      <c r="AC57" s="32">
        <f t="shared" si="39"/>
        <v>3529.5264000000006</v>
      </c>
      <c r="AD57" s="31">
        <v>151159.76807602626</v>
      </c>
      <c r="AE57" s="36">
        <f t="shared" si="40"/>
        <v>-4.3130816872016409</v>
      </c>
      <c r="AF57" s="2"/>
      <c r="AG57" s="28">
        <f>AG58-20</f>
        <v>-40</v>
      </c>
      <c r="AH57" s="32">
        <f t="shared" si="43"/>
        <v>60</v>
      </c>
      <c r="AI57" s="31">
        <v>157973.28489761622</v>
      </c>
      <c r="AJ57" s="36">
        <f t="shared" si="44"/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</row>
    <row r="58" spans="1:51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125</v>
      </c>
      <c r="P58" s="23">
        <f>SUM(U49:V49)</f>
        <v>32035.78320620333</v>
      </c>
      <c r="Q58" s="2" t="s">
        <v>3</v>
      </c>
      <c r="R58" s="52">
        <f t="shared" si="42"/>
        <v>4.3567250096153406E-2</v>
      </c>
      <c r="S58" s="2" t="s">
        <v>4</v>
      </c>
      <c r="T58" s="2"/>
      <c r="U58" s="2"/>
      <c r="V58" s="51"/>
      <c r="W58" s="2"/>
      <c r="X58" s="35"/>
      <c r="Y58" s="35"/>
      <c r="Z58" s="51"/>
      <c r="AA58" s="35"/>
      <c r="AB58" s="28">
        <f t="shared" si="38"/>
        <v>-10</v>
      </c>
      <c r="AC58" s="32">
        <f t="shared" si="39"/>
        <v>3970.7172000000005</v>
      </c>
      <c r="AD58" s="31">
        <v>154566.52648682118</v>
      </c>
      <c r="AE58" s="36">
        <f t="shared" si="40"/>
        <v>-2.1565408436008573</v>
      </c>
      <c r="AF58" s="2"/>
      <c r="AG58" s="28">
        <f>AG59-20</f>
        <v>-20</v>
      </c>
      <c r="AH58" s="32">
        <f t="shared" si="43"/>
        <v>80</v>
      </c>
      <c r="AI58" s="31">
        <v>157973.28489761622</v>
      </c>
      <c r="AJ58" s="36">
        <f t="shared" si="44"/>
        <v>0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</row>
    <row r="59" spans="1:51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s">
        <v>126</v>
      </c>
      <c r="P59" s="23">
        <f>W49</f>
        <v>-14171.38526068286</v>
      </c>
      <c r="Q59" s="2" t="s">
        <v>3</v>
      </c>
      <c r="R59" s="52">
        <f t="shared" si="42"/>
        <v>-1.9272457985093333E-2</v>
      </c>
      <c r="S59" s="2" t="s">
        <v>4</v>
      </c>
      <c r="T59" s="2"/>
      <c r="U59" s="2"/>
      <c r="V59" s="51"/>
      <c r="W59" s="2"/>
      <c r="X59" s="35"/>
      <c r="Y59" s="35"/>
      <c r="Z59" s="51"/>
      <c r="AA59" s="35"/>
      <c r="AB59" s="41">
        <v>0</v>
      </c>
      <c r="AC59" s="47">
        <f t="shared" si="39"/>
        <v>4411.9080000000004</v>
      </c>
      <c r="AD59" s="42">
        <v>157973.28489761622</v>
      </c>
      <c r="AE59" s="62">
        <f t="shared" si="40"/>
        <v>0</v>
      </c>
      <c r="AF59" s="2"/>
      <c r="AG59" s="41">
        <v>0</v>
      </c>
      <c r="AH59" s="63">
        <f t="shared" si="43"/>
        <v>100</v>
      </c>
      <c r="AI59" s="42">
        <v>157973.28489761622</v>
      </c>
      <c r="AJ59" s="62">
        <f t="shared" si="44"/>
        <v>0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</row>
    <row r="60" spans="1:51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SUM(P55:P59)</f>
        <v>157973.28489761619</v>
      </c>
      <c r="Q60" s="1" t="s">
        <v>3</v>
      </c>
      <c r="R60" s="46">
        <f>SUM(R55:R59)</f>
        <v>0.21483668956508098</v>
      </c>
      <c r="S60" s="1" t="s">
        <v>4</v>
      </c>
      <c r="T60" s="1"/>
      <c r="U60" s="2"/>
      <c r="V60" s="51"/>
      <c r="W60" s="2"/>
      <c r="X60" s="35"/>
      <c r="Y60" s="35"/>
      <c r="Z60" s="51"/>
      <c r="AA60" s="35"/>
      <c r="AB60" s="28">
        <f t="shared" ref="AB60:AB64" si="45">AB59+10</f>
        <v>10</v>
      </c>
      <c r="AC60" s="32">
        <f t="shared" si="39"/>
        <v>4853.0988000000007</v>
      </c>
      <c r="AD60" s="31">
        <v>161380.0433084112</v>
      </c>
      <c r="AE60" s="36">
        <f t="shared" si="40"/>
        <v>2.1565408436008204</v>
      </c>
      <c r="AF60" s="2"/>
      <c r="AG60" s="28">
        <f>AG59+20</f>
        <v>20</v>
      </c>
      <c r="AH60" s="32">
        <f t="shared" si="43"/>
        <v>120</v>
      </c>
      <c r="AI60" s="31">
        <v>157973.28489761622</v>
      </c>
      <c r="AJ60" s="36">
        <f t="shared" si="44"/>
        <v>0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</row>
    <row r="61" spans="1:51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1"/>
      <c r="W61" s="2"/>
      <c r="X61" s="35"/>
      <c r="Y61" s="35"/>
      <c r="Z61" s="51"/>
      <c r="AA61" s="35"/>
      <c r="AB61" s="28">
        <f t="shared" si="45"/>
        <v>20</v>
      </c>
      <c r="AC61" s="32">
        <f t="shared" si="39"/>
        <v>5294.2896000000001</v>
      </c>
      <c r="AD61" s="31">
        <v>164786.80171920615</v>
      </c>
      <c r="AE61" s="36">
        <f t="shared" si="40"/>
        <v>4.3130816872016222</v>
      </c>
      <c r="AF61" s="2"/>
      <c r="AG61" s="28">
        <f t="shared" ref="AG61:AG64" si="46">AG60+20</f>
        <v>40</v>
      </c>
      <c r="AH61" s="32">
        <f t="shared" si="43"/>
        <v>140</v>
      </c>
      <c r="AI61" s="31">
        <v>157973.28489761622</v>
      </c>
      <c r="AJ61" s="36">
        <f t="shared" si="44"/>
        <v>0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</row>
    <row r="62" spans="1:51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1"/>
      <c r="W62" s="2"/>
      <c r="X62" s="35"/>
      <c r="Y62" s="35"/>
      <c r="Z62" s="51"/>
      <c r="AA62" s="35"/>
      <c r="AB62" s="28">
        <f t="shared" si="45"/>
        <v>30</v>
      </c>
      <c r="AC62" s="32">
        <f t="shared" si="39"/>
        <v>5735.4804000000004</v>
      </c>
      <c r="AD62" s="31">
        <v>168193.56013000116</v>
      </c>
      <c r="AE62" s="36">
        <f t="shared" si="40"/>
        <v>6.4696225308024617</v>
      </c>
      <c r="AF62" s="2"/>
      <c r="AG62" s="28">
        <f t="shared" si="46"/>
        <v>60</v>
      </c>
      <c r="AH62" s="32">
        <f t="shared" si="43"/>
        <v>160</v>
      </c>
      <c r="AI62" s="31">
        <v>157973.28489761622</v>
      </c>
      <c r="AJ62" s="36">
        <f t="shared" si="44"/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</row>
    <row r="63" spans="1:51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1"/>
      <c r="W63" s="2"/>
      <c r="X63" s="35"/>
      <c r="Y63" s="35"/>
      <c r="Z63" s="51"/>
      <c r="AA63" s="35"/>
      <c r="AB63" s="28">
        <f t="shared" si="45"/>
        <v>40</v>
      </c>
      <c r="AC63" s="32">
        <f t="shared" si="39"/>
        <v>6176.6711999999998</v>
      </c>
      <c r="AD63" s="31">
        <v>171600.3185407962</v>
      </c>
      <c r="AE63" s="36">
        <f t="shared" si="40"/>
        <v>8.626163374403319</v>
      </c>
      <c r="AF63" s="2"/>
      <c r="AG63" s="28">
        <f t="shared" si="46"/>
        <v>80</v>
      </c>
      <c r="AH63" s="32">
        <f t="shared" si="43"/>
        <v>180</v>
      </c>
      <c r="AI63" s="31">
        <v>157973.28489761622</v>
      </c>
      <c r="AJ63" s="36">
        <f t="shared" si="44"/>
        <v>0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</row>
    <row r="64" spans="1:51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1"/>
      <c r="W64" s="2"/>
      <c r="X64" s="35"/>
      <c r="Y64" s="35"/>
      <c r="Z64" s="51"/>
      <c r="AA64" s="35"/>
      <c r="AB64" s="28">
        <f t="shared" si="45"/>
        <v>50</v>
      </c>
      <c r="AC64" s="32">
        <f t="shared" si="39"/>
        <v>6617.862000000001</v>
      </c>
      <c r="AD64" s="31">
        <v>175007.07695159115</v>
      </c>
      <c r="AE64" s="36">
        <f t="shared" si="40"/>
        <v>10.782704218004122</v>
      </c>
      <c r="AF64" s="2"/>
      <c r="AG64" s="28">
        <f t="shared" si="46"/>
        <v>100</v>
      </c>
      <c r="AH64" s="32">
        <f t="shared" si="43"/>
        <v>200</v>
      </c>
      <c r="AI64" s="31">
        <v>157973.28489761622</v>
      </c>
      <c r="AJ64" s="36">
        <f t="shared" si="44"/>
        <v>0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</row>
    <row r="65" spans="1:51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1"/>
      <c r="W65" s="2"/>
      <c r="X65" s="35"/>
      <c r="Y65" s="35"/>
      <c r="Z65" s="51"/>
      <c r="AA65" s="35"/>
      <c r="AB65" s="2"/>
      <c r="AC65" s="2"/>
      <c r="AD65" s="2"/>
      <c r="AE65" s="2"/>
      <c r="AF65" s="2"/>
      <c r="AG65" s="2"/>
      <c r="AH65" s="19"/>
      <c r="AI65" s="6"/>
      <c r="AJ65" s="53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</row>
    <row r="66" spans="1:51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1"/>
      <c r="W66" s="2"/>
      <c r="X66" s="35"/>
      <c r="Y66" s="35"/>
      <c r="Z66" s="51"/>
      <c r="AA66" s="35"/>
      <c r="AB66" s="27" t="s">
        <v>197</v>
      </c>
      <c r="AC66" s="28"/>
      <c r="AD66" s="28"/>
      <c r="AE66" s="28"/>
      <c r="AF66" s="2"/>
      <c r="AG66" s="2"/>
      <c r="AH66" s="19"/>
      <c r="AI66" s="6"/>
      <c r="AJ66" s="53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</row>
    <row r="67" spans="1:51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1"/>
      <c r="W67" s="2"/>
      <c r="X67" s="35"/>
      <c r="Y67" s="35"/>
      <c r="Z67" s="51"/>
      <c r="AA67" s="35"/>
      <c r="AB67" s="28" t="s">
        <v>80</v>
      </c>
      <c r="AC67" s="28" t="s">
        <v>197</v>
      </c>
      <c r="AD67" s="28" t="s">
        <v>23</v>
      </c>
      <c r="AE67" s="28" t="s">
        <v>82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</row>
    <row r="68" spans="1:51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1"/>
      <c r="W68" s="2"/>
      <c r="X68" s="35"/>
      <c r="Y68" s="35"/>
      <c r="Z68" s="51"/>
      <c r="AA68" s="35"/>
      <c r="AB68" s="28" t="s">
        <v>86</v>
      </c>
      <c r="AC68" s="30">
        <v>0.19</v>
      </c>
      <c r="AD68" s="31">
        <f>X49</f>
        <v>157973.28489761622</v>
      </c>
      <c r="AE68" s="28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</row>
    <row r="69" spans="1:51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54"/>
      <c r="Y69" s="54"/>
      <c r="Z69" s="2"/>
      <c r="AA69" s="54"/>
      <c r="AB69" s="28">
        <f t="shared" ref="AB69:AB73" si="47">AB70-10</f>
        <v>-50</v>
      </c>
      <c r="AC69" s="30">
        <f>$AC$68*(1-(AB69/100))</f>
        <v>0.28500000000000003</v>
      </c>
      <c r="AD69" s="31">
        <f t="dataTable" ref="AD69:AD79" dt2D="0" dtr="0" r1="J17"/>
        <v>168262.12199845555</v>
      </c>
      <c r="AE69" s="36">
        <f>100*((AD69-$AD$74)/$AD$74)</f>
        <v>6.5130234567873995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</row>
    <row r="70" spans="1:51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8">
        <f t="shared" si="47"/>
        <v>-40</v>
      </c>
      <c r="AC70" s="30">
        <f t="shared" ref="AC70:AC73" si="48">$AC$68*(1-(AB70/100))</f>
        <v>0.26599999999999996</v>
      </c>
      <c r="AD70" s="31">
        <v>166204.35457828769</v>
      </c>
      <c r="AE70" s="36">
        <f t="shared" ref="AE70:AE79" si="49">100*((AD70-$AD$74)/$AD$74)</f>
        <v>5.2104187654299228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</row>
    <row r="71" spans="1:51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8">
        <f t="shared" si="47"/>
        <v>-30</v>
      </c>
      <c r="AC71" s="30">
        <f t="shared" si="48"/>
        <v>0.24700000000000003</v>
      </c>
      <c r="AD71" s="31">
        <v>164146.5871581198</v>
      </c>
      <c r="AE71" s="36">
        <f t="shared" si="49"/>
        <v>3.9078140740724283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</row>
    <row r="72" spans="1:51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8">
        <f t="shared" si="47"/>
        <v>-20</v>
      </c>
      <c r="AC72" s="30">
        <f t="shared" si="48"/>
        <v>0.22799999999999998</v>
      </c>
      <c r="AD72" s="31">
        <v>162088.81973795194</v>
      </c>
      <c r="AE72" s="36">
        <f t="shared" si="49"/>
        <v>2.6052093827149521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</row>
    <row r="73" spans="1:51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8">
        <f t="shared" si="47"/>
        <v>-10</v>
      </c>
      <c r="AC73" s="30">
        <f t="shared" si="48"/>
        <v>0.20900000000000002</v>
      </c>
      <c r="AD73" s="31">
        <v>160031.05231778411</v>
      </c>
      <c r="AE73" s="36">
        <f t="shared" si="49"/>
        <v>1.3026046913574945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</row>
    <row r="74" spans="1:51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41">
        <v>0</v>
      </c>
      <c r="AC74" s="60">
        <f t="shared" ref="AC74" si="50">$AC$68*(1+(AB74/100))</f>
        <v>0.19</v>
      </c>
      <c r="AD74" s="42">
        <v>157973.28489761622</v>
      </c>
      <c r="AE74" s="62">
        <f t="shared" si="49"/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</row>
    <row r="75" spans="1:51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8">
        <f t="shared" ref="AB75:AB79" si="51">AB74+10</f>
        <v>10</v>
      </c>
      <c r="AC75" s="30">
        <f t="shared" ref="AC75:AC79" si="52">$AC$68*(1-(AB75/100))</f>
        <v>0.17100000000000001</v>
      </c>
      <c r="AD75" s="31">
        <v>155915.51747744833</v>
      </c>
      <c r="AE75" s="36">
        <f t="shared" si="49"/>
        <v>-1.3026046913574945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</row>
    <row r="76" spans="1:51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8">
        <f t="shared" si="51"/>
        <v>20</v>
      </c>
      <c r="AC76" s="30">
        <f t="shared" si="52"/>
        <v>0.15200000000000002</v>
      </c>
      <c r="AD76" s="31">
        <v>153857.7500572805</v>
      </c>
      <c r="AE76" s="36">
        <f t="shared" si="49"/>
        <v>-2.6052093827149521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</row>
    <row r="77" spans="1:51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8">
        <f t="shared" si="51"/>
        <v>30</v>
      </c>
      <c r="AC77" s="30">
        <f t="shared" si="52"/>
        <v>0.13299999999999998</v>
      </c>
      <c r="AD77" s="31">
        <v>151799.98263711261</v>
      </c>
      <c r="AE77" s="36">
        <f t="shared" si="49"/>
        <v>-3.9078140740724465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</row>
    <row r="78" spans="1:51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8">
        <f t="shared" si="51"/>
        <v>40</v>
      </c>
      <c r="AC78" s="30">
        <f t="shared" si="52"/>
        <v>0.11399999999999999</v>
      </c>
      <c r="AD78" s="31">
        <v>149742.21521694475</v>
      </c>
      <c r="AE78" s="36">
        <f t="shared" si="49"/>
        <v>-5.2104187654299228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</row>
    <row r="79" spans="1:51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8">
        <f t="shared" si="51"/>
        <v>50</v>
      </c>
      <c r="AC79" s="30">
        <f t="shared" si="52"/>
        <v>9.5000000000000001E-2</v>
      </c>
      <c r="AD79" s="31">
        <v>147684.44779677689</v>
      </c>
      <c r="AE79" s="36">
        <f t="shared" si="49"/>
        <v>-6.5130234567873995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</row>
    <row r="80" spans="1:51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</row>
    <row r="81" spans="1:51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</row>
    <row r="82" spans="1:51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</row>
    <row r="83" spans="1:51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</row>
    <row r="84" spans="1:51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</row>
    <row r="85" spans="1:51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</row>
    <row r="86" spans="1:51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</row>
    <row r="87" spans="1:51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1:51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</row>
    <row r="89" spans="1:51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</row>
    <row r="90" spans="1:51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</row>
    <row r="91" spans="1:51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</row>
    <row r="92" spans="1:51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</row>
    <row r="93" spans="1:51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</row>
    <row r="94" spans="1:51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</row>
    <row r="95" spans="1:51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</row>
    <row r="96" spans="1:51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</row>
    <row r="97" spans="1:51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</row>
    <row r="98" spans="1:51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</row>
    <row r="99" spans="1:51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</row>
    <row r="100" spans="1:51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1:51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1:51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1:51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1:51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1:51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1:51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1:51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1:51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1:51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1:51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1:51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1:51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1:51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</row>
    <row r="176" spans="1:51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</row>
    <row r="177" spans="1:51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</row>
    <row r="178" spans="1:51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</row>
    <row r="179" spans="1:51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</row>
    <row r="180" spans="1:51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</row>
    <row r="181" spans="1:51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</row>
    <row r="182" spans="1:51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</row>
    <row r="183" spans="1:51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</row>
    <row r="184" spans="1:51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</row>
    <row r="185" spans="1:51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</row>
    <row r="186" spans="1:51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</row>
    <row r="187" spans="1:51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</row>
    <row r="188" spans="1:51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</row>
    <row r="189" spans="1:51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</row>
    <row r="190" spans="1:51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</row>
    <row r="191" spans="1:51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</row>
    <row r="192" spans="1:51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</row>
    <row r="193" spans="1:51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</row>
    <row r="194" spans="1:51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5" spans="1:51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</row>
    <row r="196" spans="1:51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</row>
    <row r="197" spans="1:51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</row>
    <row r="198" spans="1:51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</row>
    <row r="199" spans="1:51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</row>
    <row r="200" spans="1:51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</row>
    <row r="201" spans="1:51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</row>
    <row r="202" spans="1:51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</row>
    <row r="203" spans="1:51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</row>
    <row r="204" spans="1:51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</row>
    <row r="205" spans="1:51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</row>
    <row r="206" spans="1:51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</row>
    <row r="207" spans="1:51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</row>
    <row r="208" spans="1:51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</row>
    <row r="209" spans="1:51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</row>
    <row r="210" spans="1:51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</row>
    <row r="211" spans="1:51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</row>
    <row r="212" spans="1:51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</row>
    <row r="213" spans="1:51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</row>
    <row r="214" spans="1:51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</row>
    <row r="215" spans="1:51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</row>
    <row r="216" spans="1:51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</row>
    <row r="217" spans="1:51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</row>
    <row r="218" spans="1:51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</row>
    <row r="219" spans="1:51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</row>
    <row r="220" spans="1:51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</row>
    <row r="221" spans="1:51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</row>
    <row r="222" spans="1:51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spans="1:51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spans="1:51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spans="1:51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</row>
    <row r="226" spans="1:51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</row>
    <row r="227" spans="1:51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</row>
    <row r="228" spans="1:51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</row>
    <row r="229" spans="1:51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</row>
    <row r="230" spans="1:51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</row>
    <row r="231" spans="1:51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</row>
    <row r="232" spans="1:51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</row>
    <row r="233" spans="1:51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</row>
    <row r="234" spans="1:51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</row>
    <row r="235" spans="1:51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spans="1:51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spans="1:51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</row>
    <row r="238" spans="1:51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</row>
    <row r="239" spans="1:51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</row>
    <row r="240" spans="1:51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</row>
    <row r="241" spans="1:51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spans="1:51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spans="1:51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</row>
    <row r="244" spans="1:51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</row>
    <row r="245" spans="1:51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</row>
    <row r="246" spans="1:51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</row>
    <row r="247" spans="1:51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</row>
    <row r="248" spans="1:51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</row>
    <row r="249" spans="1:51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</row>
    <row r="250" spans="1:51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</row>
    <row r="251" spans="1:51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</row>
    <row r="252" spans="1:51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</row>
    <row r="253" spans="1:51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</row>
    <row r="254" spans="1:51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</row>
    <row r="255" spans="1:51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</row>
    <row r="256" spans="1:51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</row>
    <row r="257" spans="1:51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</row>
    <row r="258" spans="1:51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</row>
    <row r="259" spans="1:51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</row>
    <row r="260" spans="1:51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</row>
    <row r="261" spans="1:51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</row>
    <row r="262" spans="1:51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</row>
    <row r="263" spans="1:51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</row>
    <row r="264" spans="1:51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</row>
    <row r="265" spans="1:51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</row>
    <row r="266" spans="1:51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</row>
    <row r="267" spans="1:51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</row>
    <row r="268" spans="1:51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</row>
    <row r="269" spans="1:51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</row>
    <row r="270" spans="1:51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</row>
    <row r="271" spans="1:51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</row>
    <row r="272" spans="1:51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</row>
    <row r="273" spans="1:51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</row>
    <row r="274" spans="1:51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</row>
    <row r="275" spans="1:51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</row>
    <row r="276" spans="1:51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</row>
    <row r="277" spans="1:51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</row>
    <row r="278" spans="1:51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</row>
    <row r="279" spans="1:51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</row>
    <row r="280" spans="1:51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</row>
    <row r="281" spans="1:51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</row>
    <row r="282" spans="1:51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</row>
    <row r="283" spans="1:51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</row>
    <row r="284" spans="1:51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</row>
    <row r="285" spans="1:51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</row>
    <row r="286" spans="1:51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</row>
    <row r="287" spans="1:51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</row>
    <row r="288" spans="1:51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</row>
    <row r="289" spans="1:51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</row>
    <row r="290" spans="1:51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</row>
    <row r="291" spans="1:51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</row>
    <row r="292" spans="1:51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</row>
    <row r="293" spans="1:51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</row>
    <row r="294" spans="1:51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</row>
    <row r="295" spans="1:51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</row>
    <row r="296" spans="1:51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</row>
    <row r="297" spans="1:51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</row>
    <row r="298" spans="1:51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</row>
    <row r="299" spans="1:51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</row>
    <row r="300" spans="1:51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</row>
    <row r="301" spans="1:51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</row>
    <row r="302" spans="1:51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</row>
    <row r="303" spans="1:51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</row>
    <row r="304" spans="1:51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</row>
    <row r="305" spans="1:51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</row>
    <row r="306" spans="1:51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</row>
    <row r="307" spans="1:51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</row>
    <row r="308" spans="1:51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</row>
    <row r="309" spans="1:51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</row>
    <row r="310" spans="1:51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</row>
    <row r="311" spans="1:51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</row>
    <row r="312" spans="1:51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</row>
    <row r="313" spans="1:51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</row>
    <row r="314" spans="1:51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</row>
    <row r="315" spans="1:51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</row>
    <row r="316" spans="1:51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</row>
    <row r="317" spans="1:51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</row>
    <row r="318" spans="1:51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</row>
    <row r="319" spans="1:51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</row>
    <row r="320" spans="1:51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</row>
    <row r="321" spans="1:51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</row>
    <row r="322" spans="1:51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</row>
    <row r="323" spans="1:51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</row>
    <row r="324" spans="1:51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</row>
    <row r="325" spans="1:51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</row>
    <row r="326" spans="1:51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</row>
    <row r="327" spans="1:51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</row>
    <row r="328" spans="1:51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</row>
    <row r="329" spans="1:51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</row>
    <row r="330" spans="1:51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</row>
    <row r="331" spans="1:51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</row>
    <row r="332" spans="1:51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</row>
    <row r="333" spans="1:51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</row>
    <row r="334" spans="1:51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</row>
    <row r="335" spans="1:51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</row>
    <row r="336" spans="1:51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</row>
    <row r="337" spans="1:51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</row>
    <row r="338" spans="1:51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</row>
    <row r="339" spans="1:51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</row>
    <row r="340" spans="1:51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</row>
    <row r="341" spans="1:51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</row>
    <row r="342" spans="1:51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</row>
    <row r="343" spans="1:51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</row>
    <row r="344" spans="1:51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</row>
    <row r="345" spans="1:51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</row>
    <row r="346" spans="1:51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</row>
    <row r="347" spans="1:51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</row>
    <row r="348" spans="1:51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</row>
    <row r="349" spans="1:51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</row>
    <row r="350" spans="1:51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</row>
    <row r="351" spans="1:51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</row>
    <row r="352" spans="1:51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</row>
    <row r="353" spans="1:51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</row>
    <row r="354" spans="1:51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</row>
    <row r="355" spans="1:51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</row>
    <row r="356" spans="1:51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</row>
    <row r="357" spans="1:51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</row>
    <row r="358" spans="1:51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</row>
    <row r="359" spans="1:51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</row>
    <row r="360" spans="1:51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</row>
    <row r="361" spans="1:51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</row>
    <row r="362" spans="1:51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</row>
    <row r="363" spans="1:51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</row>
    <row r="364" spans="1:51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</row>
    <row r="365" spans="1:51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</row>
    <row r="366" spans="1:51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</row>
    <row r="367" spans="1:51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</row>
    <row r="368" spans="1:51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</row>
    <row r="369" spans="1:51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</row>
    <row r="370" spans="1:51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</row>
    <row r="371" spans="1:51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</row>
    <row r="372" spans="1:51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</row>
    <row r="373" spans="1:51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</row>
    <row r="374" spans="1:51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</row>
    <row r="375" spans="1:51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</row>
    <row r="376" spans="1:51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</row>
    <row r="377" spans="1:51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</row>
    <row r="378" spans="1:51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</row>
    <row r="379" spans="1:51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</row>
    <row r="380" spans="1:51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</row>
    <row r="381" spans="1:51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</row>
    <row r="382" spans="1:51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</row>
    <row r="383" spans="1:51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</row>
    <row r="384" spans="1:51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</row>
    <row r="385" spans="1:51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</row>
    <row r="386" spans="1:51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</row>
    <row r="387" spans="1:51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</row>
    <row r="388" spans="1:51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</row>
    <row r="389" spans="1:51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</row>
    <row r="390" spans="1:51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</row>
    <row r="391" spans="1:51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</row>
    <row r="392" spans="1:51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</row>
    <row r="393" spans="1:51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</row>
    <row r="394" spans="1:51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</row>
    <row r="395" spans="1:51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</row>
    <row r="396" spans="1:51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</row>
    <row r="397" spans="1:51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</row>
    <row r="398" spans="1:51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</row>
    <row r="399" spans="1:51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</row>
    <row r="400" spans="1:51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</row>
    <row r="401" spans="1:51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</row>
    <row r="402" spans="1:51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</row>
    <row r="403" spans="1:51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</row>
    <row r="404" spans="1:51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</row>
    <row r="405" spans="1:51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</row>
    <row r="406" spans="1:51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</row>
    <row r="407" spans="1:51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</row>
    <row r="408" spans="1:51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</row>
    <row r="409" spans="1:51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</row>
    <row r="410" spans="1:51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</row>
    <row r="411" spans="1:51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</row>
    <row r="412" spans="1:51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</row>
    <row r="413" spans="1:51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</row>
    <row r="414" spans="1:51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</row>
    <row r="415" spans="1:51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</row>
    <row r="416" spans="1:51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</row>
    <row r="417" spans="1:51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</row>
    <row r="418" spans="1:51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</row>
    <row r="419" spans="1:51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</row>
    <row r="420" spans="1:51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</row>
    <row r="421" spans="1:51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</row>
    <row r="422" spans="1:51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</row>
    <row r="423" spans="1:51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</row>
    <row r="424" spans="1:51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</row>
    <row r="425" spans="1:51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</row>
    <row r="426" spans="1:51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</row>
    <row r="427" spans="1:51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</row>
    <row r="428" spans="1:51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</row>
    <row r="429" spans="1:51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</row>
    <row r="430" spans="1:51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</row>
    <row r="431" spans="1:51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</row>
    <row r="432" spans="1:51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</row>
    <row r="433" spans="1:51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</row>
    <row r="434" spans="1:51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</row>
    <row r="435" spans="1:51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</row>
    <row r="436" spans="1:51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</row>
    <row r="437" spans="1:51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</row>
    <row r="438" spans="1:51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</row>
    <row r="439" spans="1:51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</row>
    <row r="440" spans="1:51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</row>
    <row r="441" spans="1:51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</row>
    <row r="442" spans="1:51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</row>
    <row r="443" spans="1:51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</row>
    <row r="444" spans="1:51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</row>
    <row r="445" spans="1:51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</row>
    <row r="446" spans="1:51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</row>
    <row r="447" spans="1:51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</row>
    <row r="448" spans="1:51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</row>
    <row r="449" spans="1:51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</row>
    <row r="450" spans="1:51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</row>
    <row r="451" spans="1:51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</row>
    <row r="452" spans="1:51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</row>
    <row r="453" spans="1:51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</row>
    <row r="454" spans="1:51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</row>
    <row r="455" spans="1:51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</row>
    <row r="456" spans="1:51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</row>
    <row r="457" spans="1:51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</row>
    <row r="458" spans="1:51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</row>
    <row r="459" spans="1:51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</row>
    <row r="460" spans="1:51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</row>
    <row r="461" spans="1:51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</row>
    <row r="462" spans="1:51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</row>
    <row r="463" spans="1:51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</row>
    <row r="464" spans="1:51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</row>
    <row r="465" spans="1:51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</row>
    <row r="466" spans="1:51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</row>
    <row r="467" spans="1:51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</row>
    <row r="468" spans="1:51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</row>
    <row r="469" spans="1:51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</row>
    <row r="470" spans="1:51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</row>
    <row r="471" spans="1:51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</row>
    <row r="472" spans="1:51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</row>
    <row r="473" spans="1:51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</row>
    <row r="474" spans="1:51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</row>
    <row r="475" spans="1:51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</row>
    <row r="476" spans="1:51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</row>
    <row r="477" spans="1:51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</row>
    <row r="478" spans="1:51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</row>
    <row r="479" spans="1:51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</row>
    <row r="480" spans="1:51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</row>
    <row r="481" spans="1:51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</row>
    <row r="482" spans="1:51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</row>
    <row r="483" spans="1:51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</row>
    <row r="484" spans="1:51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</row>
    <row r="485" spans="1:51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</row>
    <row r="486" spans="1:51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</row>
    <row r="487" spans="1:51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</row>
    <row r="488" spans="1:51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</row>
    <row r="489" spans="1:51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</row>
    <row r="490" spans="1:51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</row>
    <row r="491" spans="1:51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</row>
    <row r="492" spans="1:51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</row>
    <row r="493" spans="1:51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</row>
    <row r="494" spans="1:51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</row>
    <row r="495" spans="1:51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</row>
    <row r="496" spans="1:51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</row>
    <row r="497" spans="1:51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</row>
    <row r="498" spans="1:51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</row>
    <row r="499" spans="1:51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</row>
    <row r="500" spans="1:51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</row>
    <row r="501" spans="1:51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</row>
    <row r="502" spans="1:51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</row>
    <row r="503" spans="1:51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</row>
    <row r="504" spans="1:51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</row>
    <row r="505" spans="1:51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</row>
    <row r="506" spans="1:51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</row>
    <row r="507" spans="1:51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</row>
    <row r="508" spans="1:51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</row>
    <row r="509" spans="1:51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</row>
    <row r="510" spans="1:51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</row>
    <row r="511" spans="1:51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</row>
    <row r="512" spans="1:51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</row>
    <row r="513" spans="1:51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</row>
    <row r="514" spans="1:51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</row>
    <row r="515" spans="1:51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</row>
    <row r="516" spans="1:51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</row>
    <row r="517" spans="1:51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</row>
    <row r="518" spans="1:51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</row>
    <row r="519" spans="1:51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</row>
    <row r="520" spans="1:51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</row>
    <row r="521" spans="1:51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</row>
    <row r="522" spans="1:51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</row>
    <row r="523" spans="1:51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</row>
    <row r="524" spans="1:51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</row>
    <row r="525" spans="1:51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</row>
    <row r="526" spans="1:51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</row>
    <row r="527" spans="1:51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</row>
    <row r="528" spans="1:51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</row>
    <row r="529" spans="1:51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</row>
    <row r="530" spans="1:51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</row>
    <row r="531" spans="1:51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</row>
    <row r="532" spans="1:51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</row>
    <row r="533" spans="1:51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</row>
    <row r="534" spans="1:51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</row>
    <row r="535" spans="1:51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</row>
    <row r="536" spans="1:51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</row>
    <row r="537" spans="1:51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</row>
    <row r="538" spans="1:51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</row>
    <row r="539" spans="1:51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</row>
    <row r="540" spans="1:51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</row>
    <row r="541" spans="1:51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</row>
    <row r="542" spans="1:51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</row>
    <row r="543" spans="1:51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</row>
    <row r="544" spans="1:51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</row>
    <row r="545" spans="1:51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</row>
    <row r="546" spans="1:51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</row>
    <row r="547" spans="1:51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</row>
    <row r="548" spans="1:51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</row>
    <row r="549" spans="1:51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</row>
    <row r="550" spans="1:51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</row>
    <row r="551" spans="1:51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</row>
    <row r="552" spans="1:51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</row>
    <row r="553" spans="1:51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</row>
    <row r="554" spans="1:51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</row>
    <row r="555" spans="1:51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</row>
    <row r="556" spans="1:51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</row>
    <row r="557" spans="1:51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</row>
    <row r="558" spans="1:51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</row>
    <row r="559" spans="1:51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</row>
    <row r="560" spans="1:51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</row>
    <row r="561" spans="1:51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</row>
    <row r="562" spans="1:51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</row>
    <row r="563" spans="1:51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</row>
    <row r="564" spans="1:51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</row>
    <row r="565" spans="1:51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</row>
    <row r="566" spans="1:51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</row>
    <row r="567" spans="1:51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</row>
    <row r="568" spans="1:51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</row>
    <row r="569" spans="1:51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</row>
    <row r="570" spans="1:51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</row>
    <row r="571" spans="1:51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</row>
    <row r="572" spans="1:51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</row>
    <row r="573" spans="1:51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</row>
    <row r="574" spans="1:51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</row>
    <row r="575" spans="1:51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</row>
    <row r="576" spans="1:51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</row>
    <row r="577" spans="1:51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</row>
    <row r="578" spans="1:51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</row>
    <row r="579" spans="1:51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</row>
    <row r="580" spans="1:51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</row>
    <row r="581" spans="1:51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</row>
    <row r="582" spans="1:51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</row>
    <row r="583" spans="1:51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</row>
    <row r="584" spans="1:51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</row>
    <row r="585" spans="1:51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</row>
    <row r="586" spans="1:51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</row>
    <row r="587" spans="1:51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</row>
    <row r="588" spans="1:51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</row>
    <row r="589" spans="1:51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</row>
    <row r="590" spans="1:51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</row>
    <row r="591" spans="1:51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</row>
    <row r="592" spans="1:51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</row>
    <row r="593" spans="1:51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</row>
    <row r="594" spans="1:51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</row>
    <row r="595" spans="1:51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</row>
    <row r="596" spans="1:51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</row>
    <row r="597" spans="1:51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</row>
    <row r="598" spans="1:51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</row>
    <row r="599" spans="1:51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</row>
    <row r="600" spans="1:51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</row>
    <row r="601" spans="1:51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</row>
    <row r="602" spans="1:51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</row>
    <row r="603" spans="1:51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</row>
    <row r="604" spans="1:51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</row>
    <row r="605" spans="1:51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</row>
    <row r="606" spans="1:51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</row>
    <row r="607" spans="1:51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</row>
    <row r="608" spans="1:51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</row>
    <row r="609" spans="1:51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</row>
    <row r="610" spans="1:51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</row>
    <row r="611" spans="1:51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</row>
    <row r="612" spans="1:51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</row>
    <row r="613" spans="1:51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</row>
    <row r="614" spans="1:51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</row>
    <row r="615" spans="1:51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</row>
    <row r="616" spans="1:51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</row>
    <row r="617" spans="1:51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</row>
    <row r="618" spans="1:51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</row>
    <row r="619" spans="1:51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</row>
    <row r="620" spans="1:51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</row>
    <row r="621" spans="1:51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</row>
    <row r="622" spans="1:51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</row>
    <row r="623" spans="1:51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</row>
    <row r="624" spans="1:51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</row>
    <row r="625" spans="1:51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</row>
    <row r="626" spans="1:51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</row>
    <row r="627" spans="1:51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</row>
    <row r="628" spans="1:51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</row>
    <row r="629" spans="1:51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</row>
    <row r="630" spans="1:51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</row>
    <row r="631" spans="1:51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</row>
    <row r="632" spans="1:51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</row>
    <row r="633" spans="1:51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</row>
    <row r="634" spans="1:51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</row>
    <row r="635" spans="1:51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</row>
    <row r="636" spans="1:51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</row>
    <row r="637" spans="1:51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</row>
    <row r="638" spans="1:51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</row>
    <row r="639" spans="1:51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</row>
    <row r="640" spans="1:51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</row>
    <row r="641" spans="1:51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</row>
    <row r="642" spans="1:51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</row>
    <row r="643" spans="1:51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</row>
    <row r="644" spans="1:51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</row>
    <row r="645" spans="1:51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</row>
    <row r="646" spans="1:51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</row>
    <row r="647" spans="1:51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</row>
    <row r="648" spans="1:51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</row>
    <row r="649" spans="1:51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</row>
    <row r="650" spans="1:51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</row>
    <row r="651" spans="1:51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</row>
    <row r="652" spans="1:51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</row>
    <row r="653" spans="1:51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</row>
    <row r="654" spans="1:51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</row>
    <row r="655" spans="1:51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</row>
    <row r="656" spans="1:51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</row>
    <row r="657" spans="1:51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</row>
    <row r="658" spans="1:51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</row>
    <row r="659" spans="1:51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</row>
    <row r="660" spans="1:51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</row>
    <row r="661" spans="1:51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</row>
    <row r="662" spans="1:51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</row>
    <row r="663" spans="1:51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</row>
    <row r="664" spans="1:51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</row>
    <row r="665" spans="1:51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</row>
    <row r="666" spans="1:51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</row>
    <row r="667" spans="1:51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</row>
    <row r="668" spans="1:51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</row>
    <row r="669" spans="1:51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</row>
    <row r="670" spans="1:51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</row>
    <row r="671" spans="1:51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</row>
    <row r="672" spans="1:51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</row>
    <row r="673" spans="1:51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</row>
    <row r="674" spans="1:51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</row>
    <row r="675" spans="1:51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</row>
    <row r="676" spans="1:51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</row>
    <row r="677" spans="1:51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</row>
    <row r="678" spans="1:51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</row>
    <row r="679" spans="1:51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</row>
    <row r="680" spans="1:51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</row>
    <row r="681" spans="1:51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</row>
    <row r="682" spans="1:51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</row>
    <row r="683" spans="1:51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</row>
    <row r="684" spans="1:51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</row>
    <row r="685" spans="1:51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</row>
    <row r="686" spans="1:51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</row>
    <row r="687" spans="1:51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</row>
    <row r="688" spans="1:51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</row>
    <row r="689" spans="1:51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</row>
    <row r="690" spans="1:51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</row>
    <row r="691" spans="1:51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</row>
    <row r="692" spans="1:51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</row>
    <row r="693" spans="1:51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</row>
    <row r="694" spans="1:51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</row>
    <row r="695" spans="1:51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</row>
    <row r="696" spans="1:51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</row>
    <row r="697" spans="1:51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</row>
    <row r="698" spans="1:51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</row>
    <row r="699" spans="1:51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</row>
    <row r="700" spans="1:51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</row>
    <row r="701" spans="1:51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</row>
    <row r="702" spans="1:51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</row>
    <row r="703" spans="1:51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</row>
    <row r="704" spans="1:51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</row>
    <row r="705" spans="1:51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</row>
    <row r="706" spans="1:51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</row>
    <row r="707" spans="1:51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</row>
    <row r="708" spans="1:51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</row>
    <row r="709" spans="1:51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</row>
    <row r="710" spans="1:51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</row>
    <row r="711" spans="1:51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</row>
    <row r="712" spans="1:51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</row>
    <row r="713" spans="1:51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</row>
    <row r="714" spans="1:51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</row>
    <row r="715" spans="1:51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</row>
    <row r="716" spans="1:51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</row>
    <row r="717" spans="1:51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</row>
    <row r="718" spans="1:51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</row>
    <row r="719" spans="1:51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</row>
    <row r="720" spans="1:51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</row>
    <row r="721" spans="1:51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</row>
    <row r="722" spans="1:51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</row>
    <row r="723" spans="1:51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</row>
    <row r="724" spans="1:51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</row>
    <row r="725" spans="1:51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</row>
    <row r="726" spans="1:51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</row>
    <row r="727" spans="1:51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</row>
    <row r="728" spans="1:51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</row>
    <row r="729" spans="1:51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</row>
    <row r="730" spans="1:51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</row>
    <row r="731" spans="1:51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</row>
    <row r="732" spans="1:51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</row>
    <row r="733" spans="1:51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</row>
    <row r="734" spans="1:51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</row>
    <row r="735" spans="1:51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</row>
    <row r="736" spans="1:51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</row>
    <row r="737" spans="1:51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</row>
    <row r="738" spans="1:51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</row>
    <row r="739" spans="1:51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</row>
    <row r="740" spans="1:51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</row>
    <row r="741" spans="1:51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</row>
    <row r="742" spans="1:51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</row>
    <row r="743" spans="1:51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</row>
    <row r="744" spans="1:51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</row>
    <row r="745" spans="1:51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</row>
    <row r="746" spans="1:51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</row>
    <row r="747" spans="1:51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</row>
    <row r="748" spans="1:51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</row>
    <row r="749" spans="1:51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</row>
    <row r="750" spans="1:51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</row>
    <row r="751" spans="1:51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</row>
    <row r="752" spans="1:51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</row>
    <row r="753" spans="1:51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</row>
    <row r="754" spans="1:51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</row>
    <row r="755" spans="1:51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</row>
    <row r="756" spans="1:51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</row>
    <row r="757" spans="1:51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</row>
    <row r="758" spans="1:51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</row>
    <row r="759" spans="1:51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</row>
    <row r="760" spans="1:51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</row>
    <row r="761" spans="1:51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</row>
    <row r="762" spans="1:51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</row>
    <row r="763" spans="1:51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</row>
    <row r="764" spans="1:51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</row>
    <row r="765" spans="1:51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</row>
    <row r="766" spans="1:51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</row>
    <row r="767" spans="1:51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</row>
    <row r="768" spans="1:51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</row>
    <row r="769" spans="1:51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</row>
    <row r="770" spans="1:51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</row>
    <row r="771" spans="1:51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</row>
    <row r="772" spans="1:51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</row>
    <row r="773" spans="1:51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</row>
    <row r="774" spans="1:51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</row>
    <row r="775" spans="1:51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</row>
    <row r="776" spans="1:51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</row>
    <row r="777" spans="1:51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</row>
    <row r="778" spans="1:51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</row>
    <row r="779" spans="1:51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</row>
    <row r="780" spans="1:51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</row>
    <row r="781" spans="1:51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</row>
    <row r="782" spans="1:51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</row>
    <row r="783" spans="1:51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</row>
    <row r="784" spans="1:51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</row>
    <row r="785" spans="1:51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</row>
    <row r="786" spans="1:51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</row>
    <row r="787" spans="1:51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</row>
    <row r="788" spans="1:51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</row>
    <row r="789" spans="1:51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</row>
    <row r="790" spans="1:51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</row>
    <row r="791" spans="1:51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</row>
    <row r="792" spans="1:51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</row>
    <row r="793" spans="1:51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</row>
    <row r="794" spans="1:51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</row>
    <row r="795" spans="1:51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</row>
    <row r="796" spans="1:51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</row>
    <row r="797" spans="1:51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</row>
    <row r="798" spans="1:51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</row>
    <row r="799" spans="1:51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</row>
    <row r="800" spans="1:51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</row>
    <row r="801" spans="1:51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</row>
    <row r="802" spans="1:51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</row>
    <row r="803" spans="1:51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</row>
    <row r="804" spans="1:51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</row>
    <row r="805" spans="1:51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</row>
    <row r="806" spans="1:51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</row>
    <row r="807" spans="1:51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</row>
    <row r="808" spans="1:51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</row>
    <row r="809" spans="1:51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</row>
    <row r="810" spans="1:51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</row>
    <row r="811" spans="1:51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</row>
    <row r="812" spans="1:51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</row>
    <row r="813" spans="1:51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</row>
    <row r="814" spans="1:51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</row>
    <row r="815" spans="1:51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</row>
    <row r="816" spans="1:51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</row>
    <row r="817" spans="1:51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</row>
    <row r="818" spans="1:51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</row>
    <row r="819" spans="1:51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</row>
    <row r="820" spans="1:51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</row>
    <row r="821" spans="1:51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</row>
    <row r="822" spans="1:51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</row>
    <row r="823" spans="1:51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</row>
    <row r="824" spans="1:51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</row>
    <row r="825" spans="1:51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</row>
    <row r="826" spans="1:51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</row>
    <row r="827" spans="1:51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</row>
    <row r="828" spans="1:51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</row>
    <row r="829" spans="1:51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</row>
    <row r="830" spans="1:51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</row>
    <row r="831" spans="1:51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</row>
    <row r="832" spans="1:51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</row>
    <row r="833" spans="1:51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</row>
    <row r="834" spans="1:51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</row>
    <row r="835" spans="1:51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</row>
    <row r="836" spans="1:51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</row>
    <row r="837" spans="1:51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</row>
    <row r="838" spans="1:51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</row>
    <row r="839" spans="1:51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</row>
    <row r="840" spans="1:51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</row>
    <row r="841" spans="1:51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</row>
    <row r="842" spans="1:51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</row>
    <row r="843" spans="1:51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</row>
    <row r="844" spans="1:51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</row>
    <row r="845" spans="1:51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</row>
    <row r="846" spans="1:51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</row>
    <row r="847" spans="1:51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</row>
    <row r="848" spans="1:51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</row>
    <row r="849" spans="1:51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</row>
    <row r="850" spans="1:51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</row>
    <row r="851" spans="1:51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</row>
    <row r="852" spans="1:51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</row>
    <row r="853" spans="1:51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</row>
    <row r="854" spans="1:51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</row>
    <row r="855" spans="1:51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</row>
    <row r="856" spans="1:51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</row>
    <row r="857" spans="1:51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</row>
    <row r="858" spans="1:51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</row>
    <row r="859" spans="1:51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</row>
    <row r="860" spans="1:51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</row>
    <row r="861" spans="1:51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</row>
    <row r="862" spans="1:51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</row>
    <row r="863" spans="1:51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</row>
    <row r="864" spans="1:51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</row>
    <row r="865" spans="1:51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</row>
    <row r="866" spans="1:51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</row>
    <row r="867" spans="1:51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</row>
    <row r="868" spans="1:51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</row>
    <row r="869" spans="1:51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</row>
    <row r="870" spans="1:51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</row>
    <row r="871" spans="1:51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</row>
    <row r="872" spans="1:51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</row>
    <row r="873" spans="1:51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</row>
    <row r="874" spans="1:51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</row>
    <row r="875" spans="1:51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</row>
    <row r="876" spans="1:51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</row>
    <row r="877" spans="1:51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</row>
    <row r="878" spans="1:51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</row>
    <row r="879" spans="1:51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</row>
    <row r="880" spans="1:51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</row>
    <row r="881" spans="1:51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</row>
    <row r="882" spans="1:51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</row>
    <row r="883" spans="1:51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</row>
    <row r="884" spans="1:51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</row>
    <row r="885" spans="1:51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</row>
    <row r="886" spans="1:51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</row>
    <row r="887" spans="1:51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</row>
    <row r="888" spans="1:51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</row>
    <row r="889" spans="1:51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</row>
    <row r="890" spans="1:51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</row>
    <row r="891" spans="1:51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</row>
    <row r="892" spans="1:51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</row>
    <row r="893" spans="1:51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</row>
    <row r="894" spans="1:51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</row>
    <row r="895" spans="1:51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</row>
    <row r="896" spans="1:51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</row>
    <row r="897" spans="1:51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</row>
    <row r="898" spans="1:51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</row>
    <row r="899" spans="1:51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</row>
    <row r="900" spans="1:51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</row>
    <row r="901" spans="1:51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</row>
    <row r="902" spans="1:51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</row>
    <row r="903" spans="1:51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</row>
    <row r="904" spans="1:51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</row>
    <row r="905" spans="1:51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</row>
    <row r="906" spans="1:51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</row>
    <row r="907" spans="1:51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</row>
    <row r="908" spans="1:51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</row>
    <row r="909" spans="1:51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</row>
    <row r="910" spans="1:51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</row>
    <row r="911" spans="1:51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</row>
    <row r="912" spans="1:51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</row>
    <row r="913" spans="1:51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</row>
    <row r="914" spans="1:51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</row>
    <row r="915" spans="1:51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</row>
    <row r="916" spans="1:51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</row>
    <row r="917" spans="1:51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</row>
    <row r="918" spans="1:51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</row>
    <row r="919" spans="1:51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</row>
    <row r="920" spans="1:51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</row>
    <row r="921" spans="1:51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</row>
    <row r="922" spans="1:51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</row>
    <row r="923" spans="1:51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</row>
    <row r="924" spans="1:51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</row>
    <row r="925" spans="1:51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</row>
    <row r="926" spans="1:51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</row>
    <row r="927" spans="1:51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</row>
    <row r="928" spans="1:51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</row>
    <row r="929" spans="1:51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</row>
    <row r="930" spans="1:51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</row>
    <row r="931" spans="1:51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</row>
    <row r="932" spans="1:51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</row>
    <row r="933" spans="1:51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</row>
    <row r="934" spans="1:51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</row>
    <row r="935" spans="1:51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</row>
    <row r="936" spans="1:51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</row>
    <row r="937" spans="1:51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</row>
    <row r="938" spans="1:51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</row>
    <row r="939" spans="1:51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</row>
    <row r="940" spans="1:51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</row>
    <row r="941" spans="1:51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</row>
    <row r="942" spans="1:51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</row>
    <row r="943" spans="1:51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</row>
    <row r="944" spans="1:51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</row>
    <row r="945" spans="1:51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</row>
    <row r="946" spans="1:51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</row>
    <row r="947" spans="1:51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</row>
    <row r="948" spans="1:51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</row>
    <row r="949" spans="1:51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</row>
    <row r="950" spans="1:51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</row>
    <row r="951" spans="1:51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</row>
    <row r="952" spans="1:51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</row>
    <row r="953" spans="1:51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</row>
    <row r="954" spans="1:51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</row>
    <row r="955" spans="1:51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</row>
    <row r="956" spans="1:51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</row>
    <row r="957" spans="1:51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</row>
    <row r="958" spans="1:51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</row>
    <row r="959" spans="1:51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</row>
    <row r="960" spans="1:51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</row>
    <row r="961" spans="1:51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</row>
    <row r="962" spans="1:51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</row>
    <row r="963" spans="1:51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</row>
    <row r="964" spans="1:51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</row>
    <row r="965" spans="1:51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</row>
    <row r="966" spans="1:51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</row>
    <row r="967" spans="1:51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</row>
    <row r="968" spans="1:51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</row>
    <row r="969" spans="1:51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</row>
    <row r="970" spans="1:51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</row>
    <row r="971" spans="1:51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</row>
    <row r="972" spans="1:51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</row>
    <row r="973" spans="1:51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</row>
    <row r="974" spans="1:51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</row>
    <row r="975" spans="1:51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</row>
    <row r="976" spans="1:51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</row>
    <row r="977" spans="1:51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</row>
    <row r="978" spans="1:51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</row>
    <row r="979" spans="1:51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</row>
    <row r="980" spans="1:51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</row>
    <row r="981" spans="1:51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</row>
    <row r="982" spans="1:51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</row>
    <row r="983" spans="1:51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</row>
    <row r="984" spans="1:51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</row>
    <row r="985" spans="1:51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</row>
    <row r="986" spans="1:51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</row>
    <row r="987" spans="1:51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</row>
    <row r="988" spans="1:51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</row>
    <row r="989" spans="1:51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</row>
    <row r="990" spans="1:51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</row>
    <row r="991" spans="1:51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</row>
    <row r="992" spans="1:51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</row>
    <row r="993" spans="1:51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</row>
    <row r="994" spans="1:51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</row>
    <row r="995" spans="1:51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</row>
    <row r="996" spans="1:51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</row>
    <row r="997" spans="1:51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</row>
    <row r="998" spans="1:51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</row>
    <row r="999" spans="1:51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</row>
    <row r="1000" spans="1:51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</row>
  </sheetData>
  <pageMargins left="0.7" right="0.7" top="0.75" bottom="0.75" header="0" footer="0"/>
  <pageSetup orientation="landscape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EE36FE1-A8B3-43AB-AE6D-3FB7E405297B}">
          <x14:formula1>
            <xm:f>Description!$A$18:$A$19</xm:f>
          </x14:formula1>
          <xm:sqref>J24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AO1000"/>
  <sheetViews>
    <sheetView topLeftCell="T46" zoomScale="85" zoomScaleNormal="85" workbookViewId="0">
      <selection activeCell="AA60" sqref="AA60:AA64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4.28515625" customWidth="1"/>
    <col min="7" max="7" width="8.85546875" customWidth="1"/>
    <col min="8" max="8" width="19.28515625" customWidth="1"/>
    <col min="9" max="9" width="47" bestFit="1" customWidth="1"/>
    <col min="10" max="10" width="17.4257812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16.42578125" customWidth="1"/>
    <col min="19" max="19" width="16" customWidth="1"/>
    <col min="20" max="20" width="22" customWidth="1"/>
    <col min="21" max="21" width="23.85546875" customWidth="1"/>
    <col min="22" max="22" width="12.7109375" customWidth="1"/>
    <col min="23" max="23" width="19.42578125" customWidth="1"/>
    <col min="24" max="24" width="13.42578125" customWidth="1"/>
    <col min="25" max="25" width="8.85546875" customWidth="1"/>
    <col min="26" max="26" width="20.140625" customWidth="1"/>
    <col min="27" max="27" width="25" customWidth="1"/>
    <col min="28" max="28" width="12.85546875" customWidth="1"/>
    <col min="29" max="29" width="19" customWidth="1"/>
    <col min="30" max="30" width="4.7109375" customWidth="1"/>
    <col min="31" max="31" width="20.140625" customWidth="1"/>
    <col min="32" max="32" width="19.28515625" customWidth="1"/>
    <col min="33" max="33" width="11.28515625" customWidth="1"/>
    <col min="34" max="34" width="17.85546875" customWidth="1"/>
  </cols>
  <sheetData>
    <row r="1" spans="1:34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x14ac:dyDescent="0.25">
      <c r="A2" s="1" t="s">
        <v>2</v>
      </c>
      <c r="B2" s="3">
        <f>U49</f>
        <v>118436.73492241729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25">
      <c r="A3" s="2"/>
      <c r="B3" s="4">
        <f>B2/F41</f>
        <v>0.16106872798220265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1" t="s">
        <v>7</v>
      </c>
      <c r="AA4" s="2"/>
      <c r="AB4" s="2"/>
      <c r="AC4" s="2"/>
      <c r="AD4" s="2"/>
      <c r="AE4" s="2"/>
      <c r="AF4" s="2"/>
      <c r="AG4" s="2"/>
      <c r="AH4" s="2"/>
    </row>
    <row r="5" spans="1:34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127</v>
      </c>
      <c r="R7" s="11" t="s">
        <v>128</v>
      </c>
      <c r="S7" s="11" t="s">
        <v>19</v>
      </c>
      <c r="T7" s="11" t="s">
        <v>22</v>
      </c>
      <c r="U7" s="12" t="s">
        <v>23</v>
      </c>
      <c r="V7" s="1"/>
      <c r="W7" s="2" t="s">
        <v>24</v>
      </c>
      <c r="X7" s="2"/>
      <c r="Y7" s="2"/>
      <c r="Z7" s="2" t="s">
        <v>25</v>
      </c>
      <c r="AA7" s="2"/>
      <c r="AB7" s="2"/>
      <c r="AC7" s="2"/>
      <c r="AD7" s="2"/>
      <c r="AE7" s="2"/>
      <c r="AF7" s="2"/>
      <c r="AG7" s="2"/>
      <c r="AH7" s="2"/>
    </row>
    <row r="8" spans="1:34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150000000</v>
      </c>
      <c r="K8" s="2" t="s">
        <v>29</v>
      </c>
      <c r="L8" s="14"/>
      <c r="M8" s="2"/>
      <c r="N8" s="11">
        <v>0</v>
      </c>
      <c r="O8" s="16">
        <f>F31</f>
        <v>6015.4838709677406</v>
      </c>
      <c r="P8" s="11"/>
      <c r="Q8" s="11"/>
      <c r="R8" s="11"/>
      <c r="S8" s="11"/>
      <c r="T8" s="11"/>
      <c r="U8" s="17">
        <f t="shared" ref="U8:U48" si="0">SUM(O8:T8)</f>
        <v>6015.4838709677406</v>
      </c>
      <c r="V8" s="3"/>
      <c r="W8" s="6"/>
      <c r="X8" s="2"/>
      <c r="Y8" s="2"/>
      <c r="Z8" s="2" t="s">
        <v>181</v>
      </c>
      <c r="AA8" s="18">
        <f>F36</f>
        <v>0.43870967741935485</v>
      </c>
      <c r="AB8" s="2" t="s">
        <v>130</v>
      </c>
      <c r="AC8" s="2">
        <v>0.43870967741935485</v>
      </c>
      <c r="AD8" s="2"/>
      <c r="AE8" s="2"/>
      <c r="AF8" s="2"/>
      <c r="AG8" s="2"/>
      <c r="AH8" s="2"/>
    </row>
    <row r="9" spans="1:34" x14ac:dyDescent="0.25">
      <c r="A9" s="13"/>
      <c r="B9" s="2"/>
      <c r="C9" s="2"/>
      <c r="D9" s="2"/>
      <c r="E9" s="2"/>
      <c r="F9" s="19"/>
      <c r="G9" s="2"/>
      <c r="H9" s="14"/>
      <c r="I9" s="2"/>
      <c r="J9" s="2"/>
      <c r="K9" s="2"/>
      <c r="L9" s="14"/>
      <c r="M9" s="2"/>
      <c r="N9" s="11">
        <v>1</v>
      </c>
      <c r="O9" s="11"/>
      <c r="P9" s="20">
        <f t="shared" ref="P9:P48" si="1">IF(N9&gt;0,IF(N9&lt;=$J$15,(($F$32+$F$33)/$J$15)/((1+($F$11/100))^N9),0),0)</f>
        <v>3916.7483870967735</v>
      </c>
      <c r="Q9" s="21">
        <f t="shared" ref="Q9:Q48" si="2">IF(N9&gt;0,($F$38*((1+($F$14/100))^(N9-1)))/((1+($F$11/100))^N9),0)</f>
        <v>4915.6742488479267</v>
      </c>
      <c r="R9" s="21">
        <f t="shared" ref="R9:R48" si="3">IF(N9&gt;0,$J$31/((1+($F$11/100))^N9),0)</f>
        <v>7027.2374807987708</v>
      </c>
      <c r="S9" s="21">
        <f t="shared" ref="S9:S48" si="4">IF(N9&gt;0,(($F$17/100)*($F$18/100)*$B$17*W9)/((1+($F$11/100))^N9),0)</f>
        <v>19.183483870967738</v>
      </c>
      <c r="T9" s="20">
        <f t="shared" ref="T9:T48" si="5">IF(N9=$B$5,((((1-$J$12/100)^N9)*$B$44)/((1+($F$11/100))^N9))*-1,0)</f>
        <v>0</v>
      </c>
      <c r="U9" s="17">
        <f t="shared" si="0"/>
        <v>15878.843600614438</v>
      </c>
      <c r="V9" s="3"/>
      <c r="W9" s="6">
        <f t="shared" ref="W9:W48" si="6">IF(N9&gt;0,((((1-$J$12/100)^N9)*$B$44/((1+($F$11/100))^N9))),0)</f>
        <v>11989.677419354839</v>
      </c>
      <c r="X9" s="2"/>
      <c r="Y9" s="2"/>
      <c r="Z9" s="2" t="s">
        <v>174</v>
      </c>
      <c r="AA9" s="23">
        <f>B47</f>
        <v>20051.612903225803</v>
      </c>
      <c r="AB9" s="2" t="s">
        <v>3</v>
      </c>
      <c r="AC9" s="2">
        <v>101935.48387096774</v>
      </c>
      <c r="AD9" s="6"/>
      <c r="AE9" s="2"/>
      <c r="AF9" s="2"/>
      <c r="AG9" s="2"/>
      <c r="AH9" s="2"/>
    </row>
    <row r="10" spans="1:34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131</v>
      </c>
      <c r="J10" s="26">
        <v>0.16</v>
      </c>
      <c r="K10" s="2" t="s">
        <v>132</v>
      </c>
      <c r="L10" s="14"/>
      <c r="M10" s="2"/>
      <c r="N10" s="11">
        <f t="shared" ref="N10:N48" si="7">IF((N9+1)&gt;$B$5,,IF(N9=0,,N9+1))</f>
        <v>2</v>
      </c>
      <c r="O10" s="11"/>
      <c r="P10" s="20">
        <f t="shared" si="1"/>
        <v>3730.2365591397843</v>
      </c>
      <c r="Q10" s="21">
        <f t="shared" si="2"/>
        <v>4728.4104679394341</v>
      </c>
      <c r="R10" s="21">
        <f t="shared" si="3"/>
        <v>6692.6071245702578</v>
      </c>
      <c r="S10" s="21">
        <f t="shared" si="4"/>
        <v>16.168066406261424</v>
      </c>
      <c r="T10" s="20">
        <f t="shared" si="5"/>
        <v>0</v>
      </c>
      <c r="U10" s="17">
        <f t="shared" si="0"/>
        <v>15167.422218055735</v>
      </c>
      <c r="V10" s="3"/>
      <c r="W10" s="6">
        <f t="shared" si="6"/>
        <v>10610.293579109062</v>
      </c>
      <c r="X10" s="2"/>
      <c r="Y10" s="2"/>
      <c r="Z10" s="2" t="s">
        <v>42</v>
      </c>
      <c r="AA10" s="6">
        <f>F12</f>
        <v>73531.8</v>
      </c>
      <c r="AB10" s="2" t="s">
        <v>43</v>
      </c>
      <c r="AC10" s="2">
        <v>70353</v>
      </c>
      <c r="AD10" s="6"/>
      <c r="AE10" s="2"/>
      <c r="AF10" s="2"/>
      <c r="AG10" s="2"/>
      <c r="AH10" s="2"/>
    </row>
    <row r="11" spans="1:34" x14ac:dyDescent="0.25">
      <c r="A11" s="24" t="s">
        <v>171</v>
      </c>
      <c r="B11" s="2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52</v>
      </c>
      <c r="J11" s="2">
        <v>30</v>
      </c>
      <c r="K11" s="2" t="s">
        <v>53</v>
      </c>
      <c r="L11" s="14"/>
      <c r="M11" s="2"/>
      <c r="N11" s="11">
        <f t="shared" si="7"/>
        <v>3</v>
      </c>
      <c r="O11" s="11"/>
      <c r="P11" s="20">
        <f t="shared" si="1"/>
        <v>3552.6062467997945</v>
      </c>
      <c r="Q11" s="21">
        <f t="shared" si="2"/>
        <v>4548.2805453512656</v>
      </c>
      <c r="R11" s="21">
        <f t="shared" si="3"/>
        <v>6373.9115472097692</v>
      </c>
      <c r="S11" s="21">
        <f t="shared" si="4"/>
        <v>13.62663701106405</v>
      </c>
      <c r="T11" s="20">
        <f t="shared" si="5"/>
        <v>0</v>
      </c>
      <c r="U11" s="17">
        <f t="shared" si="0"/>
        <v>14488.424976371894</v>
      </c>
      <c r="V11" s="3"/>
      <c r="W11" s="6">
        <f t="shared" si="6"/>
        <v>9389.6045654363243</v>
      </c>
      <c r="X11" s="2"/>
      <c r="Y11" s="2"/>
      <c r="Z11" s="15" t="s">
        <v>48</v>
      </c>
      <c r="AA11" s="6">
        <f>J36</f>
        <v>7353.18</v>
      </c>
      <c r="AB11" s="2" t="s">
        <v>49</v>
      </c>
      <c r="AC11" s="2">
        <v>19063.393548387096</v>
      </c>
      <c r="AD11" s="6"/>
      <c r="AE11" s="2"/>
      <c r="AF11" s="2"/>
      <c r="AG11" s="2"/>
      <c r="AH11" s="2"/>
    </row>
    <row r="12" spans="1:34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73531.8</v>
      </c>
      <c r="G12" s="2" t="s">
        <v>43</v>
      </c>
      <c r="H12" s="14"/>
      <c r="I12" s="15" t="s">
        <v>60</v>
      </c>
      <c r="J12" s="2">
        <v>7.08</v>
      </c>
      <c r="K12" s="2" t="s">
        <v>61</v>
      </c>
      <c r="L12" s="14"/>
      <c r="M12" s="2"/>
      <c r="N12" s="11">
        <f t="shared" si="7"/>
        <v>4</v>
      </c>
      <c r="O12" s="11"/>
      <c r="P12" s="20">
        <f t="shared" si="1"/>
        <v>3383.4345207617093</v>
      </c>
      <c r="Q12" s="21">
        <f t="shared" si="2"/>
        <v>4375.0127150521694</v>
      </c>
      <c r="R12" s="21">
        <f t="shared" si="3"/>
        <v>6070.3919497235902</v>
      </c>
      <c r="S12" s="21">
        <f t="shared" si="4"/>
        <v>11.484690349823779</v>
      </c>
      <c r="T12" s="20">
        <f t="shared" si="5"/>
        <v>0</v>
      </c>
      <c r="U12" s="17">
        <f t="shared" si="0"/>
        <v>13840.323875887292</v>
      </c>
      <c r="V12" s="3"/>
      <c r="W12" s="6">
        <f t="shared" si="6"/>
        <v>8309.3529163842213</v>
      </c>
      <c r="X12" s="2"/>
      <c r="Y12" s="2"/>
      <c r="Z12" s="91" t="s">
        <v>197</v>
      </c>
      <c r="AA12" s="92">
        <f>J10</f>
        <v>0.16</v>
      </c>
      <c r="AB12" s="91" t="s">
        <v>132</v>
      </c>
      <c r="AC12" s="2"/>
      <c r="AD12" s="6"/>
      <c r="AE12" s="2"/>
      <c r="AF12" s="2"/>
      <c r="AG12" s="2"/>
      <c r="AH12" s="2"/>
    </row>
    <row r="13" spans="1:34" x14ac:dyDescent="0.25">
      <c r="A13" s="24" t="s">
        <v>50</v>
      </c>
      <c r="B13" s="2">
        <v>11</v>
      </c>
      <c r="C13" s="2" t="s">
        <v>38</v>
      </c>
      <c r="D13" s="2"/>
      <c r="E13" s="15" t="s">
        <v>129</v>
      </c>
      <c r="F13" s="6">
        <v>6800</v>
      </c>
      <c r="G13" s="2" t="s">
        <v>133</v>
      </c>
      <c r="H13" s="14"/>
      <c r="I13" s="15"/>
      <c r="J13" s="6"/>
      <c r="K13" s="2"/>
      <c r="L13" s="14"/>
      <c r="M13" s="2"/>
      <c r="N13" s="11">
        <f t="shared" si="7"/>
        <v>5</v>
      </c>
      <c r="O13" s="11"/>
      <c r="P13" s="20">
        <f t="shared" si="1"/>
        <v>3222.3185912016274</v>
      </c>
      <c r="Q13" s="21">
        <f t="shared" si="2"/>
        <v>4208.3455640025632</v>
      </c>
      <c r="R13" s="21">
        <f t="shared" si="3"/>
        <v>5781.3256664034188</v>
      </c>
      <c r="S13" s="21">
        <f t="shared" si="4"/>
        <v>9.6794324472165592</v>
      </c>
      <c r="T13" s="20">
        <f t="shared" si="5"/>
        <v>0</v>
      </c>
      <c r="U13" s="17">
        <f t="shared" si="0"/>
        <v>13221.669254054827</v>
      </c>
      <c r="V13" s="3"/>
      <c r="W13" s="6">
        <f t="shared" si="6"/>
        <v>7353.3816475278281</v>
      </c>
      <c r="X13" s="2"/>
      <c r="Y13" s="2"/>
      <c r="Z13" s="2"/>
      <c r="AA13" s="2"/>
      <c r="AB13" s="2"/>
      <c r="AC13" s="2"/>
      <c r="AD13" s="6"/>
      <c r="AE13" s="2"/>
      <c r="AF13" s="2"/>
      <c r="AG13" s="2"/>
      <c r="AH13" s="2"/>
    </row>
    <row r="14" spans="1:34" x14ac:dyDescent="0.25">
      <c r="A14" s="24" t="s">
        <v>134</v>
      </c>
      <c r="B14" s="2">
        <v>7.5</v>
      </c>
      <c r="C14" s="2" t="s">
        <v>38</v>
      </c>
      <c r="D14" s="2"/>
      <c r="E14" s="15" t="s">
        <v>135</v>
      </c>
      <c r="F14" s="2">
        <v>1</v>
      </c>
      <c r="G14" s="2" t="s">
        <v>56</v>
      </c>
      <c r="H14" s="14"/>
      <c r="I14" s="1" t="s">
        <v>79</v>
      </c>
      <c r="J14" s="2"/>
      <c r="K14" s="2"/>
      <c r="L14" s="14"/>
      <c r="M14" s="2"/>
      <c r="N14" s="11">
        <f t="shared" si="7"/>
        <v>6</v>
      </c>
      <c r="O14" s="11"/>
      <c r="P14" s="20">
        <f t="shared" si="1"/>
        <v>0</v>
      </c>
      <c r="Q14" s="21">
        <f t="shared" si="2"/>
        <v>4048.0276377548466</v>
      </c>
      <c r="R14" s="21">
        <f t="shared" si="3"/>
        <v>5506.024444193733</v>
      </c>
      <c r="S14" s="21">
        <f t="shared" si="4"/>
        <v>8.1579398004114552</v>
      </c>
      <c r="T14" s="20">
        <f t="shared" si="5"/>
        <v>0</v>
      </c>
      <c r="U14" s="17">
        <f t="shared" si="0"/>
        <v>9562.2100217489915</v>
      </c>
      <c r="V14" s="3"/>
      <c r="W14" s="6">
        <f t="shared" si="6"/>
        <v>6507.3925970312939</v>
      </c>
      <c r="X14" s="2"/>
      <c r="Y14" s="2"/>
      <c r="Z14" s="2"/>
      <c r="AA14" s="2"/>
      <c r="AB14" s="2"/>
      <c r="AC14" s="2"/>
      <c r="AD14" s="6"/>
      <c r="AE14" s="2"/>
      <c r="AF14" s="2"/>
      <c r="AG14" s="2"/>
      <c r="AH14" s="2"/>
    </row>
    <row r="15" spans="1:34" x14ac:dyDescent="0.25">
      <c r="A15" s="2" t="s">
        <v>58</v>
      </c>
      <c r="B15" s="2">
        <v>22</v>
      </c>
      <c r="C15" s="2" t="s">
        <v>38</v>
      </c>
      <c r="D15" s="2"/>
      <c r="E15" s="15" t="s">
        <v>63</v>
      </c>
      <c r="F15" s="2">
        <v>0</v>
      </c>
      <c r="G15" s="2" t="s">
        <v>64</v>
      </c>
      <c r="H15" s="14"/>
      <c r="I15" s="15" t="s">
        <v>85</v>
      </c>
      <c r="J15" s="2">
        <v>5</v>
      </c>
      <c r="K15" s="2" t="s">
        <v>53</v>
      </c>
      <c r="L15" s="14"/>
      <c r="M15" s="2"/>
      <c r="N15" s="11">
        <f t="shared" si="7"/>
        <v>7</v>
      </c>
      <c r="O15" s="11"/>
      <c r="P15" s="20">
        <f t="shared" si="1"/>
        <v>0</v>
      </c>
      <c r="Q15" s="21">
        <f t="shared" si="2"/>
        <v>3893.8170610784714</v>
      </c>
      <c r="R15" s="21">
        <f t="shared" si="3"/>
        <v>5243.8328039940297</v>
      </c>
      <c r="S15" s="21">
        <f t="shared" si="4"/>
        <v>6.8756078571812429</v>
      </c>
      <c r="T15" s="20">
        <f t="shared" si="5"/>
        <v>0</v>
      </c>
      <c r="U15" s="17">
        <f t="shared" si="0"/>
        <v>9144.5254729296812</v>
      </c>
      <c r="V15" s="3"/>
      <c r="W15" s="6">
        <f t="shared" si="6"/>
        <v>5758.73257253474</v>
      </c>
      <c r="X15" s="2"/>
      <c r="Y15" s="2"/>
      <c r="Z15" s="2"/>
      <c r="AA15" s="2"/>
      <c r="AB15" s="2"/>
      <c r="AC15" s="2"/>
      <c r="AD15" s="6"/>
      <c r="AE15" s="2"/>
      <c r="AF15" s="2"/>
      <c r="AG15" s="2"/>
      <c r="AH15" s="2"/>
    </row>
    <row r="16" spans="1:34" x14ac:dyDescent="0.25">
      <c r="A16" s="24" t="s">
        <v>62</v>
      </c>
      <c r="B16" s="2">
        <v>40</v>
      </c>
      <c r="C16" s="2" t="s">
        <v>38</v>
      </c>
      <c r="D16" s="2"/>
      <c r="E16" s="15" t="s">
        <v>67</v>
      </c>
      <c r="F16" s="6">
        <f>2*87000</f>
        <v>174000</v>
      </c>
      <c r="G16" s="2" t="s">
        <v>64</v>
      </c>
      <c r="H16" s="14"/>
      <c r="I16" s="15" t="s">
        <v>89</v>
      </c>
      <c r="J16" s="2">
        <v>30</v>
      </c>
      <c r="K16" s="2" t="s">
        <v>90</v>
      </c>
      <c r="L16" s="14"/>
      <c r="M16" s="2"/>
      <c r="N16" s="11">
        <f t="shared" si="7"/>
        <v>8</v>
      </c>
      <c r="O16" s="11"/>
      <c r="P16" s="20">
        <f t="shared" si="1"/>
        <v>0</v>
      </c>
      <c r="Q16" s="21">
        <f t="shared" si="2"/>
        <v>3745.4811730373863</v>
      </c>
      <c r="R16" s="21">
        <f t="shared" si="3"/>
        <v>4994.1264799943146</v>
      </c>
      <c r="S16" s="21">
        <f t="shared" si="4"/>
        <v>5.794843374959469</v>
      </c>
      <c r="T16" s="20">
        <f t="shared" si="5"/>
        <v>0</v>
      </c>
      <c r="U16" s="17">
        <f t="shared" si="0"/>
        <v>8745.4024964066593</v>
      </c>
      <c r="V16" s="3"/>
      <c r="W16" s="6">
        <f t="shared" si="6"/>
        <v>5096.2041013326498</v>
      </c>
      <c r="X16" s="2"/>
      <c r="Y16" s="2"/>
      <c r="Z16" s="2"/>
      <c r="AA16" s="2"/>
      <c r="AB16" s="2"/>
      <c r="AC16" s="2"/>
      <c r="AD16" s="6"/>
      <c r="AE16" s="2"/>
      <c r="AF16" s="2"/>
      <c r="AG16" s="2"/>
      <c r="AH16" s="2"/>
    </row>
    <row r="17" spans="1:41" x14ac:dyDescent="0.25">
      <c r="A17" s="24" t="s">
        <v>66</v>
      </c>
      <c r="B17" s="2">
        <v>1.4</v>
      </c>
      <c r="C17" s="2"/>
      <c r="D17" s="2"/>
      <c r="E17" s="15" t="s">
        <v>70</v>
      </c>
      <c r="F17" s="2">
        <v>60</v>
      </c>
      <c r="G17" s="2" t="s">
        <v>38</v>
      </c>
      <c r="H17" s="14"/>
      <c r="I17" s="2"/>
      <c r="J17" s="2"/>
      <c r="K17" s="2"/>
      <c r="L17" s="14"/>
      <c r="M17" s="2"/>
      <c r="N17" s="11">
        <f t="shared" si="7"/>
        <v>9</v>
      </c>
      <c r="O17" s="11"/>
      <c r="P17" s="20">
        <f t="shared" si="1"/>
        <v>0</v>
      </c>
      <c r="Q17" s="21">
        <f t="shared" si="2"/>
        <v>3602.7961759692962</v>
      </c>
      <c r="R17" s="21">
        <f t="shared" si="3"/>
        <v>4756.310933327919</v>
      </c>
      <c r="S17" s="21">
        <f t="shared" si="4"/>
        <v>4.8839623256347728</v>
      </c>
      <c r="T17" s="20">
        <f t="shared" si="5"/>
        <v>0</v>
      </c>
      <c r="U17" s="17">
        <f t="shared" si="0"/>
        <v>8363.9910716228515</v>
      </c>
      <c r="V17" s="3"/>
      <c r="W17" s="6">
        <f t="shared" si="6"/>
        <v>4509.8979532936164</v>
      </c>
      <c r="X17" s="2"/>
      <c r="Y17" s="2"/>
      <c r="Z17" s="2"/>
      <c r="AA17" s="2"/>
      <c r="AB17" s="2"/>
      <c r="AC17" s="2"/>
      <c r="AD17" s="6"/>
      <c r="AE17" s="2"/>
      <c r="AF17" s="2"/>
      <c r="AG17" s="2"/>
      <c r="AH17" s="2"/>
    </row>
    <row r="18" spans="1:41" x14ac:dyDescent="0.25">
      <c r="A18" s="24" t="s">
        <v>179</v>
      </c>
      <c r="B18" s="2">
        <v>7.5</v>
      </c>
      <c r="C18" s="2" t="s">
        <v>38</v>
      </c>
      <c r="D18" s="2"/>
      <c r="E18" s="15" t="s">
        <v>71</v>
      </c>
      <c r="F18" s="2">
        <v>0.2</v>
      </c>
      <c r="G18" s="2" t="s">
        <v>38</v>
      </c>
      <c r="H18" s="14"/>
      <c r="I18" s="15"/>
      <c r="J18" s="2"/>
      <c r="K18" s="2"/>
      <c r="L18" s="14"/>
      <c r="M18" s="2"/>
      <c r="N18" s="11">
        <f t="shared" si="7"/>
        <v>10</v>
      </c>
      <c r="O18" s="11"/>
      <c r="P18" s="20">
        <f t="shared" si="1"/>
        <v>0</v>
      </c>
      <c r="Q18" s="21">
        <f t="shared" si="2"/>
        <v>3465.5467978371325</v>
      </c>
      <c r="R18" s="21">
        <f t="shared" si="3"/>
        <v>4529.8199365027795</v>
      </c>
      <c r="S18" s="21">
        <f t="shared" si="4"/>
        <v>4.1162610367164003</v>
      </c>
      <c r="T18" s="20">
        <f t="shared" si="5"/>
        <v>-3991.0449316194563</v>
      </c>
      <c r="U18" s="17">
        <f t="shared" si="0"/>
        <v>4008.4380637571721</v>
      </c>
      <c r="V18" s="3"/>
      <c r="W18" s="6">
        <f t="shared" si="6"/>
        <v>3991.0449316194563</v>
      </c>
      <c r="X18" s="2"/>
      <c r="Y18" s="2"/>
      <c r="Z18" s="2"/>
      <c r="AA18" s="2"/>
      <c r="AB18" s="2"/>
      <c r="AC18" s="2"/>
      <c r="AD18" s="6"/>
      <c r="AE18" s="2"/>
      <c r="AF18" s="2"/>
      <c r="AG18" s="2"/>
      <c r="AH18" s="2"/>
    </row>
    <row r="19" spans="1:41" x14ac:dyDescent="0.25">
      <c r="A19" s="24" t="s">
        <v>180</v>
      </c>
      <c r="B19" s="2">
        <v>0</v>
      </c>
      <c r="C19" s="2" t="s">
        <v>38</v>
      </c>
      <c r="D19" s="2"/>
      <c r="E19" s="15" t="s">
        <v>74</v>
      </c>
      <c r="F19" s="6">
        <v>160000</v>
      </c>
      <c r="G19" s="2" t="s">
        <v>64</v>
      </c>
      <c r="H19" s="14"/>
      <c r="I19" s="2"/>
      <c r="J19" s="2"/>
      <c r="K19" s="2"/>
      <c r="L19" s="14"/>
      <c r="M19" s="2"/>
      <c r="N19" s="11">
        <f t="shared" si="7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0">
        <f t="shared" si="5"/>
        <v>0</v>
      </c>
      <c r="U19" s="17">
        <f t="shared" si="0"/>
        <v>0</v>
      </c>
      <c r="V19" s="3"/>
      <c r="W19" s="6">
        <f t="shared" si="6"/>
        <v>0</v>
      </c>
      <c r="X19" s="2"/>
      <c r="Y19" s="2"/>
      <c r="Z19" s="2"/>
      <c r="AA19" s="2"/>
      <c r="AB19" s="2"/>
      <c r="AC19" s="2"/>
      <c r="AD19" s="6"/>
      <c r="AE19" s="2"/>
      <c r="AF19" s="2"/>
      <c r="AG19" s="2"/>
      <c r="AH19" s="2"/>
    </row>
    <row r="20" spans="1:41" x14ac:dyDescent="0.25">
      <c r="A20" s="24" t="s">
        <v>73</v>
      </c>
      <c r="B20" s="2">
        <v>0</v>
      </c>
      <c r="C20" s="2" t="s">
        <v>38</v>
      </c>
      <c r="D20" s="2"/>
      <c r="E20" s="15" t="s">
        <v>48</v>
      </c>
      <c r="F20" s="5">
        <v>1550</v>
      </c>
      <c r="G20" s="2" t="s">
        <v>152</v>
      </c>
      <c r="H20" s="14"/>
      <c r="I20" s="2"/>
      <c r="J20" s="2"/>
      <c r="K20" s="2"/>
      <c r="L20" s="14"/>
      <c r="M20" s="2"/>
      <c r="N20" s="11">
        <f t="shared" si="7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0">
        <f t="shared" si="5"/>
        <v>0</v>
      </c>
      <c r="U20" s="17">
        <f t="shared" si="0"/>
        <v>0</v>
      </c>
      <c r="V20" s="3"/>
      <c r="W20" s="6">
        <f t="shared" si="6"/>
        <v>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4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84</v>
      </c>
      <c r="F21" s="2">
        <v>9.3000000000000007</v>
      </c>
      <c r="G21" s="2" t="s">
        <v>61</v>
      </c>
      <c r="H21" s="14"/>
      <c r="I21" s="2"/>
      <c r="J21" s="2"/>
      <c r="K21" s="2"/>
      <c r="L21" s="14"/>
      <c r="M21" s="2"/>
      <c r="N21" s="11">
        <f t="shared" si="7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0">
        <f t="shared" si="5"/>
        <v>0</v>
      </c>
      <c r="U21" s="17">
        <f t="shared" si="0"/>
        <v>0</v>
      </c>
      <c r="V21" s="3"/>
      <c r="W21" s="6">
        <f t="shared" si="6"/>
        <v>0</v>
      </c>
      <c r="X21" s="2"/>
      <c r="Y21" s="2"/>
      <c r="Z21" s="27" t="s">
        <v>129</v>
      </c>
      <c r="AA21" s="28"/>
      <c r="AB21" s="28"/>
      <c r="AC21" s="28"/>
      <c r="AD21" s="2"/>
      <c r="AE21" s="27" t="s">
        <v>28</v>
      </c>
      <c r="AF21" s="28"/>
      <c r="AG21" s="28"/>
      <c r="AH21" s="28"/>
      <c r="AJ21" s="76" t="s">
        <v>191</v>
      </c>
      <c r="AK21" s="76" t="s">
        <v>183</v>
      </c>
      <c r="AL21" s="76" t="s">
        <v>129</v>
      </c>
      <c r="AM21" s="76" t="s">
        <v>189</v>
      </c>
      <c r="AN21" s="76" t="s">
        <v>188</v>
      </c>
      <c r="AO21" s="93" t="str">
        <f>Z51</f>
        <v>Energy Efficiency</v>
      </c>
    </row>
    <row r="22" spans="1:41" ht="15.75" customHeight="1" x14ac:dyDescent="0.25">
      <c r="A22" s="24" t="s">
        <v>78</v>
      </c>
      <c r="B22" s="2">
        <v>0</v>
      </c>
      <c r="C22" s="2" t="s">
        <v>38</v>
      </c>
      <c r="D22" s="2"/>
      <c r="E22" s="2" t="s">
        <v>88</v>
      </c>
      <c r="F22" s="5">
        <f>(100000+200000)/5</f>
        <v>60000</v>
      </c>
      <c r="G22" s="2" t="s">
        <v>64</v>
      </c>
      <c r="H22" s="14"/>
      <c r="I22" s="2"/>
      <c r="J22" s="2"/>
      <c r="K22" s="2"/>
      <c r="L22" s="14"/>
      <c r="M22" s="2"/>
      <c r="N22" s="11">
        <f t="shared" si="7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0">
        <f t="shared" si="5"/>
        <v>0</v>
      </c>
      <c r="U22" s="17">
        <f t="shared" si="0"/>
        <v>0</v>
      </c>
      <c r="V22" s="3"/>
      <c r="W22" s="6">
        <f t="shared" si="6"/>
        <v>0</v>
      </c>
      <c r="X22" s="2"/>
      <c r="Y22" s="2"/>
      <c r="Z22" s="28" t="s">
        <v>80</v>
      </c>
      <c r="AA22" s="28" t="s">
        <v>136</v>
      </c>
      <c r="AB22" s="28" t="s">
        <v>23</v>
      </c>
      <c r="AC22" s="28" t="s">
        <v>82</v>
      </c>
      <c r="AD22" s="2"/>
      <c r="AE22" s="28" t="s">
        <v>80</v>
      </c>
      <c r="AF22" s="28" t="s">
        <v>83</v>
      </c>
      <c r="AG22" s="28" t="s">
        <v>23</v>
      </c>
      <c r="AH22" s="28" t="s">
        <v>82</v>
      </c>
      <c r="AJ22" s="77">
        <v>-50</v>
      </c>
      <c r="AK22" s="78">
        <f>AH24</f>
        <v>-10.056351262795037</v>
      </c>
      <c r="AL22" s="78">
        <f>AC24</f>
        <v>-17.533154900832038</v>
      </c>
      <c r="AM22" s="79">
        <f t="shared" ref="AM22:AM32" si="8">AC39</f>
        <v>-23.97031076708457</v>
      </c>
      <c r="AN22" s="79">
        <f t="shared" ref="AN22:AN32" si="9">AH39</f>
        <v>-41.503465667916593</v>
      </c>
      <c r="AO22" s="53">
        <f>AC54</f>
        <v>17.533154900832017</v>
      </c>
    </row>
    <row r="23" spans="1:41" ht="15.75" customHeight="1" x14ac:dyDescent="0.25">
      <c r="A23" s="2"/>
      <c r="B23" s="2"/>
      <c r="C23" s="2"/>
      <c r="D23" s="2"/>
      <c r="E23" s="2"/>
      <c r="F23" s="2"/>
      <c r="G23" s="2"/>
      <c r="H23" s="14"/>
      <c r="I23" s="2"/>
      <c r="J23" s="2"/>
      <c r="K23" s="2"/>
      <c r="L23" s="14"/>
      <c r="M23" s="2"/>
      <c r="N23" s="11">
        <f t="shared" si="7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0">
        <f t="shared" si="5"/>
        <v>0</v>
      </c>
      <c r="U23" s="17">
        <f t="shared" si="0"/>
        <v>0</v>
      </c>
      <c r="V23" s="3"/>
      <c r="W23" s="6">
        <f t="shared" si="6"/>
        <v>0</v>
      </c>
      <c r="X23" s="2"/>
      <c r="Y23" s="2"/>
      <c r="Z23" s="28" t="s">
        <v>87</v>
      </c>
      <c r="AA23" s="30">
        <v>0.43870967741935485</v>
      </c>
      <c r="AB23" s="31">
        <f>U49</f>
        <v>118436.73492241729</v>
      </c>
      <c r="AC23" s="28"/>
      <c r="AD23" s="2"/>
      <c r="AE23" s="28" t="s">
        <v>87</v>
      </c>
      <c r="AF23" s="32">
        <v>20051.612903225803</v>
      </c>
      <c r="AG23" s="31">
        <f>U49</f>
        <v>118436.73492241729</v>
      </c>
      <c r="AH23" s="28"/>
      <c r="AJ23" s="77">
        <v>-40</v>
      </c>
      <c r="AK23" s="78">
        <f>AH25</f>
        <v>-8.0450810102360268</v>
      </c>
      <c r="AL23" s="78">
        <f t="shared" ref="AL23:AL32" si="10">AC25</f>
        <v>-14.026523920665637</v>
      </c>
      <c r="AM23" s="79">
        <f t="shared" si="8"/>
        <v>-19.176248613667667</v>
      </c>
      <c r="AN23" s="79">
        <f t="shared" si="9"/>
        <v>-33.20277253433327</v>
      </c>
      <c r="AO23" s="53">
        <f t="shared" ref="AO23:AO32" si="11">AC55</f>
        <v>14.026523920665577</v>
      </c>
    </row>
    <row r="24" spans="1:41" ht="15.75" customHeight="1" x14ac:dyDescent="0.25">
      <c r="A24" s="13"/>
      <c r="B24" s="2"/>
      <c r="C24" s="2"/>
      <c r="D24" s="2"/>
      <c r="E24" s="2"/>
      <c r="F24" s="2"/>
      <c r="G24" s="2"/>
      <c r="H24" s="14"/>
      <c r="I24" s="2"/>
      <c r="J24" s="2"/>
      <c r="K24" s="2"/>
      <c r="L24" s="14"/>
      <c r="M24" s="2"/>
      <c r="N24" s="11">
        <f t="shared" si="7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0">
        <f t="shared" si="5"/>
        <v>0</v>
      </c>
      <c r="U24" s="17">
        <f t="shared" si="0"/>
        <v>0</v>
      </c>
      <c r="V24" s="3"/>
      <c r="W24" s="6">
        <f t="shared" si="6"/>
        <v>0</v>
      </c>
      <c r="X24" s="2"/>
      <c r="Y24" s="2"/>
      <c r="Z24" s="28">
        <f t="shared" ref="Z24:Z28" si="12">Z25-10</f>
        <v>-50</v>
      </c>
      <c r="AA24" s="30">
        <f t="shared" ref="AA24:AA34" si="13">$AA$23*(1+(Z24/100))</f>
        <v>0.21935483870967742</v>
      </c>
      <c r="AB24" s="31">
        <f t="dataTable" ref="AB24:AB34" dt2D="0" dtr="0" r1="F36" ca="1"/>
        <v>97671.038728982036</v>
      </c>
      <c r="AC24" s="36">
        <f t="shared" ref="AC24:AC34" si="14">100*((AB24-$AB$29)/$AB$29)</f>
        <v>-17.533154900832038</v>
      </c>
      <c r="AD24" s="2"/>
      <c r="AE24" s="28">
        <f t="shared" ref="AE24:AE28" si="15">AE25-10</f>
        <v>-50</v>
      </c>
      <c r="AF24" s="32">
        <f t="shared" ref="AF24:AF34" si="16">$AF$23*(1+(AE24/100))</f>
        <v>10025.806451612902</v>
      </c>
      <c r="AG24" s="31">
        <f t="dataTable" ref="AG24:AG34" dt2D="0" dtr="0" r1="B47" ca="1"/>
        <v>106526.32083443357</v>
      </c>
      <c r="AH24" s="36">
        <f t="shared" ref="AH24:AH34" si="17">100*((AG24-$AG$29)/$AG$29)</f>
        <v>-10.056351262795037</v>
      </c>
      <c r="AJ24" s="77">
        <v>-30</v>
      </c>
      <c r="AK24" s="78">
        <f t="shared" ref="AK24:AK32" si="18">AH26</f>
        <v>-6.033810757677017</v>
      </c>
      <c r="AL24" s="78">
        <f t="shared" si="10"/>
        <v>-10.519892940499226</v>
      </c>
      <c r="AM24" s="79">
        <f t="shared" si="8"/>
        <v>-14.382186460250754</v>
      </c>
      <c r="AN24" s="79">
        <f t="shared" si="9"/>
        <v>-24.902079400749955</v>
      </c>
      <c r="AO24" s="53">
        <f t="shared" si="11"/>
        <v>10.519892940499213</v>
      </c>
    </row>
    <row r="25" spans="1:41" ht="15.75" customHeight="1" x14ac:dyDescent="0.25">
      <c r="A25" s="13"/>
      <c r="B25" s="2"/>
      <c r="C25" s="2"/>
      <c r="D25" s="2"/>
      <c r="E25" s="2"/>
      <c r="F25" s="2"/>
      <c r="G25" s="2"/>
      <c r="H25" s="14"/>
      <c r="I25" s="2"/>
      <c r="J25" s="2"/>
      <c r="K25" s="2"/>
      <c r="L25" s="14"/>
      <c r="M25" s="2"/>
      <c r="N25" s="11">
        <f t="shared" si="7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0">
        <f t="shared" si="5"/>
        <v>0</v>
      </c>
      <c r="U25" s="17">
        <f t="shared" si="0"/>
        <v>0</v>
      </c>
      <c r="V25" s="3"/>
      <c r="W25" s="6">
        <f t="shared" si="6"/>
        <v>0</v>
      </c>
      <c r="X25" s="2"/>
      <c r="Y25" s="2"/>
      <c r="Z25" s="28">
        <f t="shared" si="12"/>
        <v>-40</v>
      </c>
      <c r="AA25" s="30">
        <f t="shared" si="13"/>
        <v>0.26322580645161292</v>
      </c>
      <c r="AB25" s="31">
        <v>101824.17796766908</v>
      </c>
      <c r="AC25" s="36">
        <f t="shared" si="14"/>
        <v>-14.026523920665637</v>
      </c>
      <c r="AD25" s="2"/>
      <c r="AE25" s="28">
        <f t="shared" si="15"/>
        <v>-40</v>
      </c>
      <c r="AF25" s="32">
        <f t="shared" si="16"/>
        <v>12030.967741935481</v>
      </c>
      <c r="AG25" s="31">
        <v>108908.40365203032</v>
      </c>
      <c r="AH25" s="36">
        <f t="shared" si="17"/>
        <v>-8.0450810102360268</v>
      </c>
      <c r="AJ25" s="77">
        <v>-20</v>
      </c>
      <c r="AK25" s="78">
        <f t="shared" si="18"/>
        <v>-4.0225405051180196</v>
      </c>
      <c r="AL25" s="78">
        <f t="shared" si="10"/>
        <v>-7.0132619603328257</v>
      </c>
      <c r="AM25" s="79">
        <f t="shared" si="8"/>
        <v>-9.588124306833814</v>
      </c>
      <c r="AN25" s="79">
        <f t="shared" si="9"/>
        <v>-16.601386267166639</v>
      </c>
      <c r="AO25" s="53">
        <f t="shared" si="11"/>
        <v>7.0132619603328132</v>
      </c>
    </row>
    <row r="26" spans="1:4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/>
      <c r="J26" s="39"/>
      <c r="K26" s="39"/>
      <c r="L26" s="40"/>
      <c r="M26" s="2"/>
      <c r="N26" s="11">
        <f t="shared" si="7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0">
        <f t="shared" si="5"/>
        <v>0</v>
      </c>
      <c r="U26" s="17">
        <f t="shared" si="0"/>
        <v>0</v>
      </c>
      <c r="V26" s="3"/>
      <c r="W26" s="6">
        <f t="shared" si="6"/>
        <v>0</v>
      </c>
      <c r="X26" s="2"/>
      <c r="Y26" s="2"/>
      <c r="Z26" s="28">
        <f t="shared" si="12"/>
        <v>-30</v>
      </c>
      <c r="AA26" s="30">
        <f t="shared" si="13"/>
        <v>0.30709677419354836</v>
      </c>
      <c r="AB26" s="31">
        <v>105977.31720635614</v>
      </c>
      <c r="AC26" s="36">
        <f t="shared" si="14"/>
        <v>-10.519892940499226</v>
      </c>
      <c r="AD26" s="2"/>
      <c r="AE26" s="28">
        <f t="shared" si="15"/>
        <v>-30</v>
      </c>
      <c r="AF26" s="32">
        <f t="shared" si="16"/>
        <v>14036.129032258061</v>
      </c>
      <c r="AG26" s="31">
        <v>111290.48646962707</v>
      </c>
      <c r="AH26" s="36">
        <f t="shared" si="17"/>
        <v>-6.033810757677017</v>
      </c>
      <c r="AJ26" s="77">
        <v>-10</v>
      </c>
      <c r="AK26" s="78">
        <f t="shared" si="18"/>
        <v>-2.0112702525589974</v>
      </c>
      <c r="AL26" s="78">
        <f t="shared" si="10"/>
        <v>-3.5066309801664004</v>
      </c>
      <c r="AM26" s="79">
        <f t="shared" si="8"/>
        <v>-4.7940621534169257</v>
      </c>
      <c r="AN26" s="79">
        <f t="shared" si="9"/>
        <v>-8.3006931335833389</v>
      </c>
      <c r="AO26" s="53">
        <f t="shared" si="11"/>
        <v>3.5066309801664004</v>
      </c>
    </row>
    <row r="27" spans="1:4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7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0">
        <f t="shared" si="5"/>
        <v>0</v>
      </c>
      <c r="U27" s="17">
        <f t="shared" si="0"/>
        <v>0</v>
      </c>
      <c r="V27" s="3"/>
      <c r="W27" s="6">
        <f t="shared" si="6"/>
        <v>0</v>
      </c>
      <c r="X27" s="2"/>
      <c r="Y27" s="2"/>
      <c r="Z27" s="28">
        <f t="shared" si="12"/>
        <v>-20</v>
      </c>
      <c r="AA27" s="30">
        <f t="shared" si="13"/>
        <v>0.35096774193548391</v>
      </c>
      <c r="AB27" s="31">
        <v>110130.45644504318</v>
      </c>
      <c r="AC27" s="36">
        <f t="shared" si="14"/>
        <v>-7.0132619603328257</v>
      </c>
      <c r="AD27" s="2"/>
      <c r="AE27" s="28">
        <f t="shared" si="15"/>
        <v>-20</v>
      </c>
      <c r="AF27" s="32">
        <f t="shared" si="16"/>
        <v>16041.290322580644</v>
      </c>
      <c r="AG27" s="31">
        <v>113672.5692872238</v>
      </c>
      <c r="AH27" s="36">
        <f t="shared" si="17"/>
        <v>-4.0225405051180196</v>
      </c>
      <c r="AJ27" s="77">
        <v>0</v>
      </c>
      <c r="AK27" s="78">
        <f t="shared" si="18"/>
        <v>0</v>
      </c>
      <c r="AL27" s="78">
        <f t="shared" si="10"/>
        <v>0</v>
      </c>
      <c r="AM27" s="79">
        <f t="shared" si="8"/>
        <v>0</v>
      </c>
      <c r="AN27" s="79">
        <f t="shared" si="9"/>
        <v>0</v>
      </c>
      <c r="AO27" s="53">
        <f t="shared" si="11"/>
        <v>0</v>
      </c>
    </row>
    <row r="28" spans="1:4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7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0">
        <f t="shared" si="5"/>
        <v>0</v>
      </c>
      <c r="U28" s="17">
        <f t="shared" si="0"/>
        <v>0</v>
      </c>
      <c r="V28" s="3"/>
      <c r="W28" s="6">
        <f t="shared" si="6"/>
        <v>0</v>
      </c>
      <c r="X28" s="2"/>
      <c r="Y28" s="2"/>
      <c r="Z28" s="28">
        <f t="shared" si="12"/>
        <v>-10</v>
      </c>
      <c r="AA28" s="30">
        <f t="shared" si="13"/>
        <v>0.39483870967741935</v>
      </c>
      <c r="AB28" s="31">
        <v>114283.59568373025</v>
      </c>
      <c r="AC28" s="36">
        <f t="shared" si="14"/>
        <v>-3.5066309801664004</v>
      </c>
      <c r="AD28" s="2"/>
      <c r="AE28" s="28">
        <f t="shared" si="15"/>
        <v>-10</v>
      </c>
      <c r="AF28" s="32">
        <f t="shared" si="16"/>
        <v>18046.451612903224</v>
      </c>
      <c r="AG28" s="31">
        <v>116054.65210482056</v>
      </c>
      <c r="AH28" s="36">
        <f t="shared" si="17"/>
        <v>-2.0112702525589974</v>
      </c>
      <c r="AJ28" s="77">
        <v>10</v>
      </c>
      <c r="AK28" s="78">
        <f t="shared" si="18"/>
        <v>2.0112702525590098</v>
      </c>
      <c r="AL28" s="78">
        <f t="shared" si="10"/>
        <v>3.5066309801664004</v>
      </c>
      <c r="AM28" s="79">
        <f t="shared" si="8"/>
        <v>4.7940621534169132</v>
      </c>
      <c r="AN28" s="79">
        <f t="shared" si="9"/>
        <v>8.3006931335833265</v>
      </c>
      <c r="AO28" s="53">
        <f t="shared" si="11"/>
        <v>-3.5066309801664004</v>
      </c>
    </row>
    <row r="29" spans="1:4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7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0">
        <f t="shared" si="5"/>
        <v>0</v>
      </c>
      <c r="U29" s="17">
        <f t="shared" si="0"/>
        <v>0</v>
      </c>
      <c r="V29" s="3"/>
      <c r="W29" s="6">
        <f t="shared" si="6"/>
        <v>0</v>
      </c>
      <c r="X29" s="2"/>
      <c r="Y29" s="2"/>
      <c r="Z29" s="41">
        <v>0</v>
      </c>
      <c r="AA29" s="55">
        <f t="shared" si="13"/>
        <v>0.43870967741935485</v>
      </c>
      <c r="AB29" s="42">
        <v>118436.73492241729</v>
      </c>
      <c r="AC29" s="56">
        <f t="shared" si="14"/>
        <v>0</v>
      </c>
      <c r="AD29" s="2"/>
      <c r="AE29" s="41">
        <v>0</v>
      </c>
      <c r="AF29" s="47">
        <f t="shared" si="16"/>
        <v>20051.612903225803</v>
      </c>
      <c r="AG29" s="42">
        <v>118436.73492241729</v>
      </c>
      <c r="AH29" s="56">
        <f t="shared" si="17"/>
        <v>0</v>
      </c>
      <c r="AJ29" s="77">
        <v>20</v>
      </c>
      <c r="AK29" s="78">
        <f t="shared" si="18"/>
        <v>4.0225405051180072</v>
      </c>
      <c r="AL29" s="78">
        <f t="shared" si="10"/>
        <v>7.0132619603328132</v>
      </c>
      <c r="AM29" s="79">
        <f t="shared" si="8"/>
        <v>9.5881243068338264</v>
      </c>
      <c r="AN29" s="79">
        <f t="shared" si="9"/>
        <v>16.601386267166628</v>
      </c>
      <c r="AO29" s="53">
        <f t="shared" si="11"/>
        <v>-7.0132619603328257</v>
      </c>
    </row>
    <row r="30" spans="1:4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/>
      <c r="J30" s="43"/>
      <c r="K30" s="8"/>
      <c r="L30" s="9"/>
      <c r="M30" s="2"/>
      <c r="N30" s="11">
        <f t="shared" si="7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0">
        <f t="shared" si="5"/>
        <v>0</v>
      </c>
      <c r="U30" s="17">
        <f t="shared" si="0"/>
        <v>0</v>
      </c>
      <c r="V30" s="3"/>
      <c r="W30" s="6">
        <f t="shared" si="6"/>
        <v>0</v>
      </c>
      <c r="X30" s="2"/>
      <c r="Y30" s="2"/>
      <c r="Z30" s="28">
        <f t="shared" ref="Z30:Z34" si="19">Z29+10</f>
        <v>10</v>
      </c>
      <c r="AA30" s="30">
        <f t="shared" si="13"/>
        <v>0.4825806451612904</v>
      </c>
      <c r="AB30" s="31">
        <v>122589.87416110434</v>
      </c>
      <c r="AC30" s="36">
        <f t="shared" si="14"/>
        <v>3.5066309801664004</v>
      </c>
      <c r="AD30" s="2"/>
      <c r="AE30" s="28">
        <f t="shared" ref="AE30:AE34" si="20">AE29+10</f>
        <v>10</v>
      </c>
      <c r="AF30" s="32">
        <f t="shared" si="16"/>
        <v>22056.774193548386</v>
      </c>
      <c r="AG30" s="31">
        <v>120818.81774001404</v>
      </c>
      <c r="AH30" s="36">
        <f t="shared" si="17"/>
        <v>2.0112702525590098</v>
      </c>
      <c r="AJ30" s="77">
        <v>30</v>
      </c>
      <c r="AK30" s="78">
        <f t="shared" si="18"/>
        <v>6.033810757677017</v>
      </c>
      <c r="AL30" s="78">
        <f t="shared" si="10"/>
        <v>10.519892940499213</v>
      </c>
      <c r="AM30" s="79">
        <f t="shared" si="8"/>
        <v>14.38218646025074</v>
      </c>
      <c r="AN30" s="79">
        <f t="shared" si="9"/>
        <v>24.902079400749979</v>
      </c>
      <c r="AO30" s="53">
        <f t="shared" si="11"/>
        <v>-10.519892940499226</v>
      </c>
    </row>
    <row r="31" spans="1:41" ht="15.75" customHeight="1" x14ac:dyDescent="0.25">
      <c r="A31" s="24" t="s">
        <v>171</v>
      </c>
      <c r="B31" s="6">
        <f t="shared" ref="B31:B32" si="21">IF(B11=0,0,-(B11/100)*$B$45)</f>
        <v>0</v>
      </c>
      <c r="C31" s="2" t="s">
        <v>3</v>
      </c>
      <c r="D31" s="2"/>
      <c r="E31" s="15" t="s">
        <v>95</v>
      </c>
      <c r="F31" s="23">
        <f>(J16/100)*B47</f>
        <v>6015.4838709677406</v>
      </c>
      <c r="G31" s="2" t="s">
        <v>3</v>
      </c>
      <c r="H31" s="2"/>
      <c r="I31" s="1" t="s">
        <v>106</v>
      </c>
      <c r="J31" s="45">
        <f>SUM(J32:J36)</f>
        <v>7378.5993548387096</v>
      </c>
      <c r="K31" s="1" t="s">
        <v>49</v>
      </c>
      <c r="L31" s="14"/>
      <c r="M31" s="2"/>
      <c r="N31" s="11">
        <f t="shared" si="7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0">
        <f t="shared" si="5"/>
        <v>0</v>
      </c>
      <c r="U31" s="17">
        <f t="shared" si="0"/>
        <v>0</v>
      </c>
      <c r="V31" s="3"/>
      <c r="W31" s="6">
        <f t="shared" si="6"/>
        <v>0</v>
      </c>
      <c r="X31" s="2"/>
      <c r="Y31" s="2"/>
      <c r="Z31" s="28">
        <f t="shared" si="19"/>
        <v>20</v>
      </c>
      <c r="AA31" s="30">
        <f t="shared" si="13"/>
        <v>0.52645161290322584</v>
      </c>
      <c r="AB31" s="31">
        <v>126743.01339979139</v>
      </c>
      <c r="AC31" s="36">
        <f t="shared" si="14"/>
        <v>7.0132619603328132</v>
      </c>
      <c r="AD31" s="2"/>
      <c r="AE31" s="28">
        <f t="shared" si="20"/>
        <v>20</v>
      </c>
      <c r="AF31" s="32">
        <f t="shared" si="16"/>
        <v>24061.935483870962</v>
      </c>
      <c r="AG31" s="31">
        <v>123200.90055761077</v>
      </c>
      <c r="AH31" s="36">
        <f t="shared" si="17"/>
        <v>4.0225405051180072</v>
      </c>
      <c r="AJ31" s="77">
        <v>40</v>
      </c>
      <c r="AK31" s="78">
        <f t="shared" si="18"/>
        <v>8.0450810102360268</v>
      </c>
      <c r="AL31" s="78">
        <f t="shared" si="10"/>
        <v>14.026523920665577</v>
      </c>
      <c r="AM31" s="79">
        <f t="shared" si="8"/>
        <v>19.176248613667628</v>
      </c>
      <c r="AN31" s="79">
        <f t="shared" si="9"/>
        <v>33.202772534333256</v>
      </c>
      <c r="AO31" s="53">
        <f t="shared" si="11"/>
        <v>-14.026523920665637</v>
      </c>
    </row>
    <row r="32" spans="1:41" ht="15.75" customHeight="1" x14ac:dyDescent="0.25">
      <c r="A32" s="24" t="s">
        <v>44</v>
      </c>
      <c r="B32" s="6">
        <f t="shared" si="21"/>
        <v>0</v>
      </c>
      <c r="C32" s="2" t="s">
        <v>3</v>
      </c>
      <c r="D32" s="2"/>
      <c r="E32" s="15" t="s">
        <v>97</v>
      </c>
      <c r="F32" s="6">
        <f>B47-F31</f>
        <v>14036.129032258063</v>
      </c>
      <c r="G32" s="2" t="s">
        <v>3</v>
      </c>
      <c r="H32" s="2"/>
      <c r="I32" s="15" t="s">
        <v>110</v>
      </c>
      <c r="J32" s="26">
        <f>F16/$B$8</f>
        <v>11.225806451612904</v>
      </c>
      <c r="K32" s="2" t="s">
        <v>49</v>
      </c>
      <c r="L32" s="14"/>
      <c r="M32" s="2"/>
      <c r="N32" s="11">
        <f t="shared" si="7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0">
        <f t="shared" si="5"/>
        <v>0</v>
      </c>
      <c r="U32" s="17">
        <f t="shared" si="0"/>
        <v>0</v>
      </c>
      <c r="V32" s="3"/>
      <c r="W32" s="6">
        <f t="shared" si="6"/>
        <v>0</v>
      </c>
      <c r="X32" s="2"/>
      <c r="Y32" s="2"/>
      <c r="Z32" s="28">
        <f t="shared" si="19"/>
        <v>30</v>
      </c>
      <c r="AA32" s="30">
        <f t="shared" si="13"/>
        <v>0.57032258064516128</v>
      </c>
      <c r="AB32" s="31">
        <v>130896.15263847844</v>
      </c>
      <c r="AC32" s="36">
        <f t="shared" si="14"/>
        <v>10.519892940499213</v>
      </c>
      <c r="AD32" s="2"/>
      <c r="AE32" s="28">
        <f t="shared" si="20"/>
        <v>30</v>
      </c>
      <c r="AF32" s="32">
        <f t="shared" si="16"/>
        <v>26067.096774193546</v>
      </c>
      <c r="AG32" s="31">
        <v>125582.98337520752</v>
      </c>
      <c r="AH32" s="36">
        <f t="shared" si="17"/>
        <v>6.033810757677017</v>
      </c>
      <c r="AJ32" s="77">
        <v>50</v>
      </c>
      <c r="AK32" s="78">
        <f t="shared" si="18"/>
        <v>10.056351262795024</v>
      </c>
      <c r="AL32" s="78">
        <f t="shared" si="10"/>
        <v>17.533154900832017</v>
      </c>
      <c r="AM32" s="79">
        <f t="shared" si="8"/>
        <v>23.97031076708457</v>
      </c>
      <c r="AN32" s="79">
        <f t="shared" si="9"/>
        <v>41.503465667916558</v>
      </c>
      <c r="AO32" s="53">
        <f t="shared" si="11"/>
        <v>-17.533154900832038</v>
      </c>
    </row>
    <row r="33" spans="1:34" ht="15.75" customHeight="1" x14ac:dyDescent="0.25">
      <c r="A33" s="24" t="s">
        <v>50</v>
      </c>
      <c r="B33" s="6">
        <f t="shared" ref="B33:B35" si="22">IF(B13=0,0,(B13/100)*$B$44)</f>
        <v>1490.3225806451612</v>
      </c>
      <c r="C33" s="2" t="s">
        <v>3</v>
      </c>
      <c r="D33" s="2"/>
      <c r="E33" s="15" t="s">
        <v>98</v>
      </c>
      <c r="F33" s="23">
        <f>F32*(F21/100)*J15</f>
        <v>6526.7999999999993</v>
      </c>
      <c r="G33" s="2" t="s">
        <v>3</v>
      </c>
      <c r="H33" s="2"/>
      <c r="I33" s="15" t="s">
        <v>74</v>
      </c>
      <c r="J33" s="26">
        <f>F19/$B$8</f>
        <v>10.32258064516129</v>
      </c>
      <c r="K33" s="2" t="s">
        <v>49</v>
      </c>
      <c r="L33" s="14"/>
      <c r="M33" s="2"/>
      <c r="N33" s="11">
        <f t="shared" si="7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0">
        <f t="shared" si="5"/>
        <v>0</v>
      </c>
      <c r="U33" s="17">
        <f t="shared" si="0"/>
        <v>0</v>
      </c>
      <c r="V33" s="3"/>
      <c r="W33" s="6">
        <f t="shared" si="6"/>
        <v>0</v>
      </c>
      <c r="X33" s="2"/>
      <c r="Y33" s="2"/>
      <c r="Z33" s="28">
        <f t="shared" si="19"/>
        <v>40</v>
      </c>
      <c r="AA33" s="30">
        <f t="shared" si="13"/>
        <v>0.61419354838709672</v>
      </c>
      <c r="AB33" s="31">
        <v>135049.29187716544</v>
      </c>
      <c r="AC33" s="36">
        <f t="shared" si="14"/>
        <v>14.026523920665577</v>
      </c>
      <c r="AD33" s="2"/>
      <c r="AE33" s="28">
        <f t="shared" si="20"/>
        <v>40</v>
      </c>
      <c r="AF33" s="32">
        <f t="shared" si="16"/>
        <v>28072.258064516122</v>
      </c>
      <c r="AG33" s="31">
        <v>127965.06619280427</v>
      </c>
      <c r="AH33" s="36">
        <f t="shared" si="17"/>
        <v>8.0450810102360268</v>
      </c>
    </row>
    <row r="34" spans="1:34" ht="15.75" customHeight="1" x14ac:dyDescent="0.25">
      <c r="A34" s="24" t="s">
        <v>54</v>
      </c>
      <c r="B34" s="6">
        <f t="shared" si="22"/>
        <v>1016.1290322580644</v>
      </c>
      <c r="C34" s="2" t="s">
        <v>3</v>
      </c>
      <c r="D34" s="2"/>
      <c r="E34" s="2"/>
      <c r="F34" s="35"/>
      <c r="G34" s="2"/>
      <c r="H34" s="2"/>
      <c r="I34" s="15" t="s">
        <v>63</v>
      </c>
      <c r="J34" s="26">
        <f>F15/$B$8</f>
        <v>0</v>
      </c>
      <c r="K34" s="2" t="s">
        <v>49</v>
      </c>
      <c r="L34" s="14"/>
      <c r="M34" s="2"/>
      <c r="N34" s="11">
        <f t="shared" si="7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0">
        <f t="shared" si="5"/>
        <v>0</v>
      </c>
      <c r="U34" s="17">
        <f t="shared" si="0"/>
        <v>0</v>
      </c>
      <c r="V34" s="3"/>
      <c r="W34" s="6">
        <f t="shared" si="6"/>
        <v>0</v>
      </c>
      <c r="X34" s="2"/>
      <c r="Y34" s="2"/>
      <c r="Z34" s="28">
        <f t="shared" si="19"/>
        <v>50</v>
      </c>
      <c r="AA34" s="30">
        <f t="shared" si="13"/>
        <v>0.65806451612903227</v>
      </c>
      <c r="AB34" s="31">
        <v>139202.43111585252</v>
      </c>
      <c r="AC34" s="36">
        <f t="shared" si="14"/>
        <v>17.533154900832017</v>
      </c>
      <c r="AD34" s="2"/>
      <c r="AE34" s="28">
        <f t="shared" si="20"/>
        <v>50</v>
      </c>
      <c r="AF34" s="32">
        <f t="shared" si="16"/>
        <v>30077.419354838705</v>
      </c>
      <c r="AG34" s="31">
        <v>130347.149010401</v>
      </c>
      <c r="AH34" s="36">
        <f t="shared" si="17"/>
        <v>10.056351262795024</v>
      </c>
    </row>
    <row r="35" spans="1:34" ht="15.75" customHeight="1" x14ac:dyDescent="0.25">
      <c r="A35" s="2" t="s">
        <v>58</v>
      </c>
      <c r="B35" s="5">
        <f t="shared" si="22"/>
        <v>2980.6451612903224</v>
      </c>
      <c r="C35" s="2" t="s">
        <v>3</v>
      </c>
      <c r="D35" s="2"/>
      <c r="E35" s="1" t="s">
        <v>103</v>
      </c>
      <c r="F35" s="2"/>
      <c r="G35" s="2"/>
      <c r="H35" s="2"/>
      <c r="I35" s="2" t="s">
        <v>88</v>
      </c>
      <c r="J35" s="35">
        <f>F22/B8</f>
        <v>3.870967741935484</v>
      </c>
      <c r="K35" s="2" t="s">
        <v>49</v>
      </c>
      <c r="L35" s="14"/>
      <c r="M35" s="2"/>
      <c r="N35" s="11">
        <f t="shared" si="7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0">
        <f t="shared" si="5"/>
        <v>0</v>
      </c>
      <c r="U35" s="17">
        <f t="shared" si="0"/>
        <v>0</v>
      </c>
      <c r="V35" s="3"/>
      <c r="W35" s="6">
        <f t="shared" si="6"/>
        <v>0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5.75" customHeight="1" x14ac:dyDescent="0.25">
      <c r="A36" s="24" t="s">
        <v>179</v>
      </c>
      <c r="B36" s="6">
        <f t="shared" ref="B36:B40" si="23">IF(B18=0,0,(B18/100)*$B$44)</f>
        <v>1016.1290322580644</v>
      </c>
      <c r="C36" s="2" t="s">
        <v>3</v>
      </c>
      <c r="D36" s="2"/>
      <c r="E36" s="15" t="s">
        <v>175</v>
      </c>
      <c r="F36" s="26">
        <f>F13/$B$8</f>
        <v>0.43870967741935485</v>
      </c>
      <c r="G36" s="2" t="s">
        <v>130</v>
      </c>
      <c r="H36" s="2"/>
      <c r="I36" s="15" t="s">
        <v>48</v>
      </c>
      <c r="J36" s="19">
        <f>F20*F12/$B$8</f>
        <v>7353.18</v>
      </c>
      <c r="K36" s="2" t="s">
        <v>49</v>
      </c>
      <c r="L36" s="14"/>
      <c r="M36" s="2"/>
      <c r="N36" s="11">
        <f t="shared" si="7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0">
        <f t="shared" si="5"/>
        <v>0</v>
      </c>
      <c r="U36" s="17">
        <f t="shared" si="0"/>
        <v>0</v>
      </c>
      <c r="V36" s="3"/>
      <c r="W36" s="6">
        <f t="shared" si="6"/>
        <v>0</v>
      </c>
      <c r="X36" s="2"/>
      <c r="Y36" s="2"/>
      <c r="Z36" s="27" t="s">
        <v>48</v>
      </c>
      <c r="AA36" s="28"/>
      <c r="AB36" s="28"/>
      <c r="AC36" s="28"/>
      <c r="AD36" s="2"/>
      <c r="AE36" s="27" t="s">
        <v>104</v>
      </c>
      <c r="AF36" s="28"/>
      <c r="AG36" s="28"/>
      <c r="AH36" s="28"/>
    </row>
    <row r="37" spans="1:34" ht="15.75" customHeight="1" x14ac:dyDescent="0.25">
      <c r="A37" s="24" t="s">
        <v>180</v>
      </c>
      <c r="B37" s="6">
        <f t="shared" si="23"/>
        <v>0</v>
      </c>
      <c r="C37" s="2" t="s">
        <v>3</v>
      </c>
      <c r="D37" s="2"/>
      <c r="E37" s="15" t="s">
        <v>176</v>
      </c>
      <c r="F37" s="26">
        <f>F36*J10</f>
        <v>7.019354838709678E-2</v>
      </c>
      <c r="G37" s="2" t="s">
        <v>4</v>
      </c>
      <c r="H37" s="2"/>
      <c r="I37" s="2"/>
      <c r="J37" s="2"/>
      <c r="K37" s="2"/>
      <c r="L37" s="14"/>
      <c r="M37" s="2"/>
      <c r="N37" s="11">
        <f t="shared" si="7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0">
        <f t="shared" si="5"/>
        <v>0</v>
      </c>
      <c r="U37" s="17">
        <f t="shared" si="0"/>
        <v>0</v>
      </c>
      <c r="V37" s="3"/>
      <c r="W37" s="6">
        <f t="shared" si="6"/>
        <v>0</v>
      </c>
      <c r="X37" s="2"/>
      <c r="Y37" s="2"/>
      <c r="Z37" s="28" t="s">
        <v>80</v>
      </c>
      <c r="AA37" s="28" t="s">
        <v>121</v>
      </c>
      <c r="AB37" s="28" t="s">
        <v>23</v>
      </c>
      <c r="AC37" s="28" t="s">
        <v>82</v>
      </c>
      <c r="AD37" s="2"/>
      <c r="AE37" s="28" t="s">
        <v>80</v>
      </c>
      <c r="AF37" s="28" t="s">
        <v>108</v>
      </c>
      <c r="AG37" s="28" t="s">
        <v>23</v>
      </c>
      <c r="AH37" s="28" t="s">
        <v>82</v>
      </c>
    </row>
    <row r="38" spans="1:34" ht="15.75" customHeight="1" x14ac:dyDescent="0.25">
      <c r="A38" s="24" t="s">
        <v>73</v>
      </c>
      <c r="B38" s="6">
        <f t="shared" si="23"/>
        <v>0</v>
      </c>
      <c r="C38" s="2" t="s">
        <v>3</v>
      </c>
      <c r="D38" s="2"/>
      <c r="E38" s="15" t="s">
        <v>137</v>
      </c>
      <c r="F38" s="35">
        <f>F37*F12</f>
        <v>5161.4579612903235</v>
      </c>
      <c r="G38" s="25" t="s">
        <v>49</v>
      </c>
      <c r="H38" s="2"/>
      <c r="I38" s="2"/>
      <c r="J38" s="2"/>
      <c r="K38" s="2"/>
      <c r="L38" s="14"/>
      <c r="M38" s="2"/>
      <c r="N38" s="11">
        <f t="shared" si="7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0">
        <f t="shared" si="5"/>
        <v>0</v>
      </c>
      <c r="U38" s="17">
        <f t="shared" si="0"/>
        <v>0</v>
      </c>
      <c r="V38" s="3"/>
      <c r="W38" s="6">
        <f t="shared" si="6"/>
        <v>0</v>
      </c>
      <c r="X38" s="2"/>
      <c r="Y38" s="2"/>
      <c r="Z38" s="28" t="s">
        <v>87</v>
      </c>
      <c r="AA38" s="30">
        <v>7353.18</v>
      </c>
      <c r="AB38" s="31">
        <f>U49</f>
        <v>118436.73492241729</v>
      </c>
      <c r="AC38" s="28"/>
      <c r="AD38" s="2"/>
      <c r="AE38" s="28" t="s">
        <v>87</v>
      </c>
      <c r="AF38" s="32">
        <v>73531.8</v>
      </c>
      <c r="AG38" s="31">
        <f>U49</f>
        <v>118436.73492241729</v>
      </c>
      <c r="AH38" s="28"/>
    </row>
    <row r="39" spans="1:34" ht="15.75" customHeight="1" x14ac:dyDescent="0.25">
      <c r="A39" s="24" t="s">
        <v>75</v>
      </c>
      <c r="B39" s="6">
        <f t="shared" si="23"/>
        <v>0</v>
      </c>
      <c r="C39" s="2" t="s">
        <v>3</v>
      </c>
      <c r="D39" s="2"/>
      <c r="E39" s="2"/>
      <c r="F39" s="2"/>
      <c r="G39" s="2"/>
      <c r="H39" s="2"/>
      <c r="I39" s="2"/>
      <c r="J39" s="2"/>
      <c r="K39" s="2"/>
      <c r="L39" s="14"/>
      <c r="M39" s="2"/>
      <c r="N39" s="11">
        <f t="shared" si="7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0">
        <f t="shared" si="5"/>
        <v>0</v>
      </c>
      <c r="U39" s="17">
        <f t="shared" si="0"/>
        <v>0</v>
      </c>
      <c r="V39" s="3"/>
      <c r="W39" s="6">
        <f t="shared" si="6"/>
        <v>0</v>
      </c>
      <c r="X39" s="2"/>
      <c r="Y39" s="2"/>
      <c r="Z39" s="28">
        <f t="shared" ref="Z39:Z43" si="24">Z40-10</f>
        <v>-50</v>
      </c>
      <c r="AA39" s="30">
        <f t="shared" ref="AA39:AA49" si="25">$AA$38*(1+(Z39/100))</f>
        <v>3676.59</v>
      </c>
      <c r="AB39" s="31">
        <f t="dataTable" ref="AB39:AB49" dt2D="0" dtr="0" r1="J36" ca="1"/>
        <v>90047.081499125692</v>
      </c>
      <c r="AC39" s="36">
        <f t="shared" ref="AC39:AC49" si="26">100*((AB39-$AB$44)/$AB$44)</f>
        <v>-23.97031076708457</v>
      </c>
      <c r="AD39" s="2"/>
      <c r="AE39" s="28">
        <f t="shared" ref="AE39:AE43" si="27">AE40-10</f>
        <v>-50</v>
      </c>
      <c r="AF39" s="32">
        <f t="shared" ref="AF39:AF49" si="28">$AF$38*(1+(AE39/100))</f>
        <v>36765.9</v>
      </c>
      <c r="AG39" s="31">
        <f t="dataTable" ref="AG39:AG49" dt2D="0" dtr="0" r1="F12" ca="1"/>
        <v>69281.385305690448</v>
      </c>
      <c r="AH39" s="36">
        <f t="shared" ref="AH39:AH49" si="29">100*((AG39-$AG$44)/$AG$44)</f>
        <v>-41.503465667916593</v>
      </c>
    </row>
    <row r="40" spans="1:34" ht="15.75" customHeight="1" x14ac:dyDescent="0.25">
      <c r="A40" s="24" t="s">
        <v>78</v>
      </c>
      <c r="B40" s="6">
        <f t="shared" si="23"/>
        <v>0</v>
      </c>
      <c r="C40" s="2" t="s">
        <v>3</v>
      </c>
      <c r="D40" s="2"/>
      <c r="E40" s="2"/>
      <c r="F40" s="2"/>
      <c r="G40" s="2"/>
      <c r="H40" s="2"/>
      <c r="I40" s="2"/>
      <c r="J40" s="2"/>
      <c r="K40" s="2"/>
      <c r="L40" s="14"/>
      <c r="M40" s="2"/>
      <c r="N40" s="11">
        <f t="shared" si="7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0">
        <f t="shared" si="5"/>
        <v>0</v>
      </c>
      <c r="U40" s="17">
        <f t="shared" si="0"/>
        <v>0</v>
      </c>
      <c r="V40" s="3"/>
      <c r="W40" s="6">
        <f t="shared" si="6"/>
        <v>0</v>
      </c>
      <c r="X40" s="2"/>
      <c r="Y40" s="2"/>
      <c r="Z40" s="28">
        <f t="shared" si="24"/>
        <v>-40</v>
      </c>
      <c r="AA40" s="30">
        <f t="shared" si="25"/>
        <v>4411.9080000000004</v>
      </c>
      <c r="AB40" s="31">
        <v>95725.012183783998</v>
      </c>
      <c r="AC40" s="36">
        <f t="shared" si="26"/>
        <v>-19.176248613667667</v>
      </c>
      <c r="AD40" s="2"/>
      <c r="AE40" s="28">
        <f t="shared" si="27"/>
        <v>-40</v>
      </c>
      <c r="AF40" s="32">
        <f t="shared" si="28"/>
        <v>44119.08</v>
      </c>
      <c r="AG40" s="31">
        <v>79112.455229035826</v>
      </c>
      <c r="AH40" s="36">
        <f t="shared" si="29"/>
        <v>-33.20277253433327</v>
      </c>
    </row>
    <row r="41" spans="1:34" ht="15.75" customHeight="1" x14ac:dyDescent="0.25">
      <c r="A41" s="2"/>
      <c r="B41" s="2"/>
      <c r="C41" s="2"/>
      <c r="D41" s="2"/>
      <c r="E41" s="15" t="s">
        <v>100</v>
      </c>
      <c r="F41" s="6">
        <f>F12*B5</f>
        <v>735318</v>
      </c>
      <c r="G41" s="2" t="s">
        <v>101</v>
      </c>
      <c r="H41" s="2"/>
      <c r="I41" s="2"/>
      <c r="J41" s="2"/>
      <c r="K41" s="2"/>
      <c r="L41" s="14"/>
      <c r="M41" s="2"/>
      <c r="N41" s="11">
        <f t="shared" si="7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0">
        <f t="shared" si="5"/>
        <v>0</v>
      </c>
      <c r="U41" s="17">
        <f t="shared" si="0"/>
        <v>0</v>
      </c>
      <c r="V41" s="3"/>
      <c r="W41" s="6">
        <f t="shared" si="6"/>
        <v>0</v>
      </c>
      <c r="X41" s="2"/>
      <c r="Y41" s="2"/>
      <c r="Z41" s="28">
        <f t="shared" si="24"/>
        <v>-30</v>
      </c>
      <c r="AA41" s="30">
        <f t="shared" si="25"/>
        <v>5147.2259999999997</v>
      </c>
      <c r="AB41" s="31">
        <v>101402.94286844232</v>
      </c>
      <c r="AC41" s="36">
        <f t="shared" si="26"/>
        <v>-14.382186460250754</v>
      </c>
      <c r="AD41" s="2"/>
      <c r="AE41" s="28">
        <f t="shared" si="27"/>
        <v>-30</v>
      </c>
      <c r="AF41" s="32">
        <f t="shared" si="28"/>
        <v>51472.26</v>
      </c>
      <c r="AG41" s="31">
        <v>88943.525152381189</v>
      </c>
      <c r="AH41" s="36">
        <f t="shared" si="29"/>
        <v>-24.902079400749955</v>
      </c>
    </row>
    <row r="42" spans="1:34" ht="15.75" customHeight="1" x14ac:dyDescent="0.25">
      <c r="A42" s="22" t="s">
        <v>113</v>
      </c>
      <c r="B42" s="3"/>
      <c r="C42" s="1"/>
      <c r="D42" s="2"/>
      <c r="E42" s="15"/>
      <c r="F42" s="26"/>
      <c r="G42" s="2"/>
      <c r="H42" s="2"/>
      <c r="I42" s="1"/>
      <c r="J42" s="2"/>
      <c r="K42" s="2"/>
      <c r="L42" s="14"/>
      <c r="M42" s="2"/>
      <c r="N42" s="11">
        <f t="shared" si="7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0">
        <f t="shared" si="5"/>
        <v>0</v>
      </c>
      <c r="U42" s="17">
        <f t="shared" si="0"/>
        <v>0</v>
      </c>
      <c r="V42" s="3"/>
      <c r="W42" s="6">
        <f t="shared" si="6"/>
        <v>0</v>
      </c>
      <c r="X42" s="2"/>
      <c r="Y42" s="2"/>
      <c r="Z42" s="28">
        <f t="shared" si="24"/>
        <v>-20</v>
      </c>
      <c r="AA42" s="30">
        <f t="shared" si="25"/>
        <v>5882.5440000000008</v>
      </c>
      <c r="AB42" s="31">
        <v>107080.87355310067</v>
      </c>
      <c r="AC42" s="36">
        <f t="shared" si="26"/>
        <v>-9.588124306833814</v>
      </c>
      <c r="AD42" s="2"/>
      <c r="AE42" s="28">
        <f t="shared" si="27"/>
        <v>-20</v>
      </c>
      <c r="AF42" s="32">
        <f t="shared" si="28"/>
        <v>58825.440000000002</v>
      </c>
      <c r="AG42" s="31">
        <v>98774.595075726553</v>
      </c>
      <c r="AH42" s="36">
        <f t="shared" si="29"/>
        <v>-16.601386267166639</v>
      </c>
    </row>
    <row r="43" spans="1:34" ht="15.75" customHeight="1" x14ac:dyDescent="0.25">
      <c r="A43" s="15" t="s">
        <v>173</v>
      </c>
      <c r="B43" s="6">
        <f>J8/B8</f>
        <v>9677.4193548387102</v>
      </c>
      <c r="C43" s="2" t="s">
        <v>3</v>
      </c>
      <c r="D43" s="2"/>
      <c r="E43" s="2"/>
      <c r="F43" s="2"/>
      <c r="G43" s="2"/>
      <c r="H43" s="2"/>
      <c r="I43" s="15"/>
      <c r="J43" s="19"/>
      <c r="K43" s="2"/>
      <c r="L43" s="14"/>
      <c r="M43" s="2"/>
      <c r="N43" s="11">
        <f t="shared" si="7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0">
        <f t="shared" si="5"/>
        <v>0</v>
      </c>
      <c r="U43" s="17">
        <f t="shared" si="0"/>
        <v>0</v>
      </c>
      <c r="V43" s="3"/>
      <c r="W43" s="6">
        <f t="shared" si="6"/>
        <v>0</v>
      </c>
      <c r="X43" s="2"/>
      <c r="Y43" s="2"/>
      <c r="Z43" s="28">
        <f t="shared" si="24"/>
        <v>-10</v>
      </c>
      <c r="AA43" s="30">
        <f t="shared" si="25"/>
        <v>6617.8620000000001</v>
      </c>
      <c r="AB43" s="31">
        <v>112758.80423775896</v>
      </c>
      <c r="AC43" s="36">
        <f t="shared" si="26"/>
        <v>-4.7940621534169257</v>
      </c>
      <c r="AD43" s="2"/>
      <c r="AE43" s="28">
        <f t="shared" si="27"/>
        <v>-10</v>
      </c>
      <c r="AF43" s="32">
        <f t="shared" si="28"/>
        <v>66178.62000000001</v>
      </c>
      <c r="AG43" s="31">
        <v>108605.6649990719</v>
      </c>
      <c r="AH43" s="36">
        <f t="shared" si="29"/>
        <v>-8.3006931335833389</v>
      </c>
    </row>
    <row r="44" spans="1:34" ht="15.75" customHeight="1" x14ac:dyDescent="0.25">
      <c r="A44" s="2" t="s">
        <v>117</v>
      </c>
      <c r="B44" s="23">
        <f>(1+B16/100)*B43</f>
        <v>13548.387096774193</v>
      </c>
      <c r="C44" s="2" t="s">
        <v>3</v>
      </c>
      <c r="D44" s="2"/>
      <c r="E44" s="2"/>
      <c r="F44" s="2"/>
      <c r="G44" s="2"/>
      <c r="H44" s="2"/>
      <c r="I44" s="2"/>
      <c r="J44" s="2"/>
      <c r="K44" s="2"/>
      <c r="L44" s="14"/>
      <c r="M44" s="2"/>
      <c r="N44" s="11">
        <f t="shared" si="7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0">
        <f t="shared" si="5"/>
        <v>0</v>
      </c>
      <c r="U44" s="17">
        <f t="shared" si="0"/>
        <v>0</v>
      </c>
      <c r="V44" s="3"/>
      <c r="W44" s="6">
        <f t="shared" si="6"/>
        <v>0</v>
      </c>
      <c r="X44" s="2"/>
      <c r="Y44" s="2"/>
      <c r="Z44" s="41">
        <v>0</v>
      </c>
      <c r="AA44" s="55">
        <f t="shared" si="25"/>
        <v>7353.18</v>
      </c>
      <c r="AB44" s="42">
        <v>118436.73492241729</v>
      </c>
      <c r="AC44" s="62">
        <f t="shared" si="26"/>
        <v>0</v>
      </c>
      <c r="AD44" s="2"/>
      <c r="AE44" s="41">
        <v>0</v>
      </c>
      <c r="AF44" s="47">
        <f t="shared" si="28"/>
        <v>73531.8</v>
      </c>
      <c r="AG44" s="42">
        <v>118436.73492241729</v>
      </c>
      <c r="AH44" s="56">
        <f t="shared" si="29"/>
        <v>0</v>
      </c>
    </row>
    <row r="45" spans="1:34" ht="15.75" customHeight="1" x14ac:dyDescent="0.25">
      <c r="A45" s="24" t="s">
        <v>138</v>
      </c>
      <c r="B45" s="6">
        <f>SUM(B33:B40)+B44</f>
        <v>20051.612903225803</v>
      </c>
      <c r="C45" s="2" t="s">
        <v>3</v>
      </c>
      <c r="D45" s="2"/>
      <c r="E45" s="2"/>
      <c r="F45" s="2"/>
      <c r="G45" s="2"/>
      <c r="H45" s="2"/>
      <c r="I45" s="2"/>
      <c r="J45" s="2"/>
      <c r="K45" s="2"/>
      <c r="L45" s="14"/>
      <c r="M45" s="2"/>
      <c r="N45" s="11">
        <f t="shared" si="7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0">
        <f t="shared" si="5"/>
        <v>0</v>
      </c>
      <c r="U45" s="17">
        <f t="shared" si="0"/>
        <v>0</v>
      </c>
      <c r="V45" s="3"/>
      <c r="W45" s="6">
        <f t="shared" si="6"/>
        <v>0</v>
      </c>
      <c r="X45" s="2"/>
      <c r="Y45" s="2"/>
      <c r="Z45" s="28">
        <f t="shared" ref="Z45:Z49" si="30">Z44+10</f>
        <v>10</v>
      </c>
      <c r="AA45" s="30">
        <f t="shared" si="25"/>
        <v>8088.4980000000014</v>
      </c>
      <c r="AB45" s="31">
        <v>124114.66560707561</v>
      </c>
      <c r="AC45" s="36">
        <f t="shared" si="26"/>
        <v>4.7940621534169132</v>
      </c>
      <c r="AD45" s="2"/>
      <c r="AE45" s="28">
        <f t="shared" ref="AE45:AE49" si="31">AE44+10</f>
        <v>10</v>
      </c>
      <c r="AF45" s="32">
        <f t="shared" si="28"/>
        <v>80884.98000000001</v>
      </c>
      <c r="AG45" s="31">
        <v>128267.80484576267</v>
      </c>
      <c r="AH45" s="36">
        <f t="shared" si="29"/>
        <v>8.3006931335833265</v>
      </c>
    </row>
    <row r="46" spans="1:34" ht="15.75" customHeight="1" x14ac:dyDescent="0.25">
      <c r="A46" s="24" t="s">
        <v>172</v>
      </c>
      <c r="B46" s="6">
        <f>SUM(B31:B32)</f>
        <v>0</v>
      </c>
      <c r="C46" s="2" t="s">
        <v>3</v>
      </c>
      <c r="D46" s="2"/>
      <c r="E46" s="2"/>
      <c r="F46" s="2"/>
      <c r="G46" s="2"/>
      <c r="H46" s="2"/>
      <c r="I46" s="2"/>
      <c r="J46" s="2"/>
      <c r="K46" s="2"/>
      <c r="L46" s="14"/>
      <c r="M46" s="2"/>
      <c r="N46" s="11">
        <f t="shared" si="7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0">
        <f t="shared" si="5"/>
        <v>0</v>
      </c>
      <c r="U46" s="17">
        <f t="shared" si="0"/>
        <v>0</v>
      </c>
      <c r="V46" s="3"/>
      <c r="W46" s="6">
        <f t="shared" si="6"/>
        <v>0</v>
      </c>
      <c r="X46" s="2"/>
      <c r="Y46" s="2"/>
      <c r="Z46" s="28">
        <f t="shared" si="30"/>
        <v>20</v>
      </c>
      <c r="AA46" s="30">
        <f t="shared" si="25"/>
        <v>8823.8160000000007</v>
      </c>
      <c r="AB46" s="31">
        <v>129792.59629173393</v>
      </c>
      <c r="AC46" s="36">
        <f t="shared" si="26"/>
        <v>9.5881243068338264</v>
      </c>
      <c r="AD46" s="2"/>
      <c r="AE46" s="28">
        <f t="shared" si="31"/>
        <v>20</v>
      </c>
      <c r="AF46" s="32">
        <f t="shared" si="28"/>
        <v>88238.16</v>
      </c>
      <c r="AG46" s="31">
        <v>138098.87476910802</v>
      </c>
      <c r="AH46" s="36">
        <f t="shared" si="29"/>
        <v>16.601386267166628</v>
      </c>
    </row>
    <row r="47" spans="1:34" ht="15.75" customHeight="1" x14ac:dyDescent="0.25">
      <c r="A47" s="24" t="s">
        <v>174</v>
      </c>
      <c r="B47" s="6">
        <f>SUM(B45:B46)</f>
        <v>20051.612903225803</v>
      </c>
      <c r="C47" s="2" t="s">
        <v>3</v>
      </c>
      <c r="D47" s="2"/>
      <c r="E47" s="2"/>
      <c r="F47" s="2"/>
      <c r="G47" s="2"/>
      <c r="H47" s="2"/>
      <c r="I47" s="2"/>
      <c r="J47" s="2"/>
      <c r="K47" s="2"/>
      <c r="L47" s="14"/>
      <c r="M47" s="2"/>
      <c r="N47" s="11">
        <f t="shared" si="7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0">
        <f t="shared" si="5"/>
        <v>0</v>
      </c>
      <c r="U47" s="17">
        <f t="shared" si="0"/>
        <v>0</v>
      </c>
      <c r="V47" s="3"/>
      <c r="W47" s="6">
        <f t="shared" si="6"/>
        <v>0</v>
      </c>
      <c r="X47" s="2"/>
      <c r="Y47" s="2"/>
      <c r="Z47" s="28">
        <f t="shared" si="30"/>
        <v>30</v>
      </c>
      <c r="AA47" s="30">
        <f t="shared" si="25"/>
        <v>9559.134</v>
      </c>
      <c r="AB47" s="31">
        <v>135470.52697639226</v>
      </c>
      <c r="AC47" s="36">
        <f t="shared" si="26"/>
        <v>14.38218646025074</v>
      </c>
      <c r="AD47" s="2"/>
      <c r="AE47" s="28">
        <f t="shared" si="31"/>
        <v>30</v>
      </c>
      <c r="AF47" s="32">
        <f t="shared" si="28"/>
        <v>95591.340000000011</v>
      </c>
      <c r="AG47" s="31">
        <v>147929.94469245343</v>
      </c>
      <c r="AH47" s="36">
        <f t="shared" si="29"/>
        <v>24.902079400749979</v>
      </c>
    </row>
    <row r="48" spans="1:34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4"/>
      <c r="M48" s="2"/>
      <c r="N48" s="11">
        <f t="shared" si="7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0">
        <f t="shared" si="5"/>
        <v>0</v>
      </c>
      <c r="U48" s="17">
        <f t="shared" si="0"/>
        <v>0</v>
      </c>
      <c r="V48" s="3"/>
      <c r="W48" s="6">
        <f t="shared" si="6"/>
        <v>0</v>
      </c>
      <c r="X48" s="2"/>
      <c r="Y48" s="2"/>
      <c r="Z48" s="28">
        <f t="shared" si="30"/>
        <v>40</v>
      </c>
      <c r="AA48" s="30">
        <f t="shared" si="25"/>
        <v>10294.451999999999</v>
      </c>
      <c r="AB48" s="31">
        <v>141148.45766105055</v>
      </c>
      <c r="AC48" s="36">
        <f t="shared" si="26"/>
        <v>19.176248613667628</v>
      </c>
      <c r="AD48" s="2"/>
      <c r="AE48" s="28">
        <f t="shared" si="31"/>
        <v>40</v>
      </c>
      <c r="AF48" s="32">
        <f t="shared" si="28"/>
        <v>102944.52</v>
      </c>
      <c r="AG48" s="31">
        <v>157761.01461579875</v>
      </c>
      <c r="AH48" s="36">
        <f t="shared" si="29"/>
        <v>33.202772534333256</v>
      </c>
    </row>
    <row r="49" spans="1:34" ht="15.75" customHeight="1" x14ac:dyDescent="0.25">
      <c r="A49" s="13"/>
      <c r="B49" s="5"/>
      <c r="C49" s="2"/>
      <c r="D49" s="2"/>
      <c r="E49" s="2"/>
      <c r="F49" s="2"/>
      <c r="G49" s="2"/>
      <c r="H49" s="2"/>
      <c r="I49" s="2"/>
      <c r="J49" s="2"/>
      <c r="K49" s="2"/>
      <c r="L49" s="14"/>
      <c r="M49" s="2"/>
      <c r="N49" s="12" t="s">
        <v>119</v>
      </c>
      <c r="O49" s="17">
        <f t="shared" ref="O49:U49" si="32">SUM(O8:O48)</f>
        <v>6015.4838709677406</v>
      </c>
      <c r="P49" s="17">
        <f t="shared" si="32"/>
        <v>17805.344304999689</v>
      </c>
      <c r="Q49" s="17">
        <f t="shared" si="32"/>
        <v>41531.392386870495</v>
      </c>
      <c r="R49" s="17">
        <f t="shared" si="32"/>
        <v>56975.588366718584</v>
      </c>
      <c r="S49" s="17">
        <f t="shared" si="32"/>
        <v>99.970924480236874</v>
      </c>
      <c r="T49" s="17">
        <f t="shared" si="32"/>
        <v>-3991.0449316194563</v>
      </c>
      <c r="U49" s="17">
        <f t="shared" si="32"/>
        <v>118436.73492241729</v>
      </c>
      <c r="V49" s="3"/>
      <c r="W49" s="3"/>
      <c r="X49" s="2"/>
      <c r="Y49" s="2"/>
      <c r="Z49" s="28">
        <f t="shared" si="30"/>
        <v>50</v>
      </c>
      <c r="AA49" s="30">
        <f t="shared" si="25"/>
        <v>11029.77</v>
      </c>
      <c r="AB49" s="31">
        <v>146826.3883457089</v>
      </c>
      <c r="AC49" s="36">
        <f t="shared" si="26"/>
        <v>23.97031076708457</v>
      </c>
      <c r="AD49" s="2"/>
      <c r="AE49" s="28">
        <f t="shared" si="31"/>
        <v>50</v>
      </c>
      <c r="AF49" s="32">
        <f t="shared" si="28"/>
        <v>110297.70000000001</v>
      </c>
      <c r="AG49" s="31">
        <v>167592.0845391441</v>
      </c>
      <c r="AH49" s="36">
        <f t="shared" si="29"/>
        <v>41.503465667916558</v>
      </c>
    </row>
    <row r="50" spans="1:34" ht="15.75" customHeight="1" x14ac:dyDescent="0.25">
      <c r="A50" s="2"/>
      <c r="B50" s="35"/>
      <c r="C50" s="2"/>
      <c r="D50" s="2"/>
      <c r="E50" s="2"/>
      <c r="F50" s="2"/>
      <c r="G50" s="2"/>
      <c r="H50" s="2"/>
      <c r="I50" s="2"/>
      <c r="J50" s="2"/>
      <c r="K50" s="2"/>
      <c r="L50" s="14"/>
      <c r="M50" s="2"/>
      <c r="N50" s="2"/>
      <c r="O50" s="2"/>
      <c r="P50" s="2"/>
      <c r="Q50" s="2"/>
      <c r="R50" s="23">
        <f>SUM(R49:S49)</f>
        <v>57075.559291198821</v>
      </c>
      <c r="S50" s="2"/>
      <c r="T50" s="2"/>
      <c r="U50" s="2"/>
      <c r="V50" s="2"/>
      <c r="W50" s="2"/>
      <c r="X50" s="23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7" t="s">
        <v>197</v>
      </c>
      <c r="AA51" s="28"/>
      <c r="AB51" s="28"/>
      <c r="AC51" s="28"/>
      <c r="AD51" s="2"/>
      <c r="AE51" s="2"/>
      <c r="AF51" s="2"/>
      <c r="AG51" s="2"/>
      <c r="AH51" s="2"/>
    </row>
    <row r="52" spans="1:34" ht="15.75" customHeight="1" x14ac:dyDescent="0.25">
      <c r="A52" s="13"/>
      <c r="B52" s="2"/>
      <c r="C52" s="2"/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8" t="s">
        <v>80</v>
      </c>
      <c r="AA52" s="28" t="s">
        <v>197</v>
      </c>
      <c r="AB52" s="28" t="s">
        <v>23</v>
      </c>
      <c r="AC52" s="28" t="s">
        <v>82</v>
      </c>
      <c r="AD52" s="2"/>
      <c r="AE52" s="2"/>
      <c r="AF52" s="2"/>
      <c r="AG52" s="2"/>
      <c r="AH52" s="2"/>
    </row>
    <row r="53" spans="1:34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35"/>
      <c r="Y53" s="2"/>
      <c r="Z53" s="28" t="s">
        <v>87</v>
      </c>
      <c r="AA53" s="30">
        <v>0.16</v>
      </c>
      <c r="AB53" s="31">
        <f>U49</f>
        <v>118436.73492241729</v>
      </c>
      <c r="AC53" s="28"/>
      <c r="AD53" s="2"/>
      <c r="AE53" s="2"/>
      <c r="AF53" s="2"/>
      <c r="AG53" s="2"/>
      <c r="AH53" s="2"/>
    </row>
    <row r="54" spans="1:34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2"/>
      <c r="V54" s="2"/>
      <c r="W54" s="2"/>
      <c r="X54" s="35"/>
      <c r="Y54" s="2"/>
      <c r="Z54" s="28">
        <f t="shared" ref="Z54:Z58" si="33">Z55-10</f>
        <v>-50</v>
      </c>
      <c r="AA54" s="30">
        <f>$AA$53*(1-(Z54/100))</f>
        <v>0.24</v>
      </c>
      <c r="AB54" s="31">
        <f t="dataTable" ref="AB54:AB64" dt2D="0" dtr="0" r1="J10"/>
        <v>139202.43111585252</v>
      </c>
      <c r="AC54" s="36">
        <f>100*((AB54-$AB$59)/$AB$59)</f>
        <v>17.533154900832017</v>
      </c>
      <c r="AD54" s="2"/>
      <c r="AE54" s="2"/>
      <c r="AF54" s="2"/>
      <c r="AG54" s="2"/>
      <c r="AH54" s="2"/>
    </row>
    <row r="55" spans="1:34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23820.828175967428</v>
      </c>
      <c r="Q55" s="2" t="s">
        <v>3</v>
      </c>
      <c r="R55" s="52">
        <f t="shared" ref="R55:R58" si="34">P55/$F$41</f>
        <v>3.2395274120812258E-2</v>
      </c>
      <c r="S55" s="2" t="s">
        <v>4</v>
      </c>
      <c r="T55" s="2"/>
      <c r="U55" s="2"/>
      <c r="V55" s="2"/>
      <c r="W55" s="2"/>
      <c r="X55" s="35"/>
      <c r="Y55" s="2"/>
      <c r="Z55" s="28">
        <f t="shared" si="33"/>
        <v>-40</v>
      </c>
      <c r="AA55" s="30">
        <f t="shared" ref="AA55:AA58" si="35">$AA$53*(1-(Z55/100))</f>
        <v>0.22399999999999998</v>
      </c>
      <c r="AB55" s="31">
        <v>135049.29187716544</v>
      </c>
      <c r="AC55" s="36">
        <f t="shared" ref="AC55:AC64" si="36">100*((AB55-$AB$59)/$AB$59)</f>
        <v>14.026523920665577</v>
      </c>
      <c r="AD55" s="2"/>
      <c r="AE55" s="2"/>
      <c r="AF55" s="2"/>
      <c r="AG55" s="2"/>
      <c r="AH55" s="2"/>
    </row>
    <row r="56" spans="1:34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SUM(Q49)</f>
        <v>41531.392386870495</v>
      </c>
      <c r="Q56" s="2" t="s">
        <v>3</v>
      </c>
      <c r="R56" s="52">
        <f t="shared" si="34"/>
        <v>5.648085914783875E-2</v>
      </c>
      <c r="S56" s="2" t="s">
        <v>4</v>
      </c>
      <c r="T56" s="2"/>
      <c r="U56" s="2"/>
      <c r="V56" s="2"/>
      <c r="W56" s="2"/>
      <c r="X56" s="35"/>
      <c r="Y56" s="2"/>
      <c r="Z56" s="28">
        <f t="shared" si="33"/>
        <v>-30</v>
      </c>
      <c r="AA56" s="30">
        <f t="shared" si="35"/>
        <v>0.20800000000000002</v>
      </c>
      <c r="AB56" s="31">
        <v>130896.15263847844</v>
      </c>
      <c r="AC56" s="36">
        <f t="shared" si="36"/>
        <v>10.519892940499213</v>
      </c>
      <c r="AD56" s="2"/>
      <c r="AE56" s="2"/>
      <c r="AF56" s="2"/>
      <c r="AG56" s="2"/>
      <c r="AH56" s="2"/>
    </row>
    <row r="57" spans="1:34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SUM(R49:S49)</f>
        <v>57075.559291198821</v>
      </c>
      <c r="Q57" s="2" t="s">
        <v>3</v>
      </c>
      <c r="R57" s="52">
        <f t="shared" si="34"/>
        <v>7.7620239530650434E-2</v>
      </c>
      <c r="S57" s="2" t="s">
        <v>4</v>
      </c>
      <c r="T57" s="2"/>
      <c r="U57" s="2"/>
      <c r="V57" s="2"/>
      <c r="W57" s="2"/>
      <c r="X57" s="35"/>
      <c r="Y57" s="2"/>
      <c r="Z57" s="28">
        <f t="shared" si="33"/>
        <v>-20</v>
      </c>
      <c r="AA57" s="30">
        <f t="shared" si="35"/>
        <v>0.192</v>
      </c>
      <c r="AB57" s="31">
        <v>126743.01339979139</v>
      </c>
      <c r="AC57" s="36">
        <f t="shared" si="36"/>
        <v>7.0132619603328132</v>
      </c>
      <c r="AD57" s="2"/>
      <c r="AE57" s="2"/>
      <c r="AF57" s="2"/>
      <c r="AG57" s="2"/>
      <c r="AH57" s="2"/>
    </row>
    <row r="58" spans="1:34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126</v>
      </c>
      <c r="P58" s="23">
        <f>T49</f>
        <v>-3991.0449316194563</v>
      </c>
      <c r="Q58" s="2" t="s">
        <v>3</v>
      </c>
      <c r="R58" s="52">
        <f t="shared" si="34"/>
        <v>-5.4276448170988015E-3</v>
      </c>
      <c r="S58" s="2" t="s">
        <v>4</v>
      </c>
      <c r="T58" s="2"/>
      <c r="U58" s="2"/>
      <c r="V58" s="2"/>
      <c r="W58" s="2"/>
      <c r="X58" s="35"/>
      <c r="Y58" s="2"/>
      <c r="Z58" s="28">
        <f t="shared" si="33"/>
        <v>-10</v>
      </c>
      <c r="AA58" s="30">
        <f t="shared" si="35"/>
        <v>0.17600000000000002</v>
      </c>
      <c r="AB58" s="31">
        <v>122589.87416110434</v>
      </c>
      <c r="AC58" s="36">
        <f t="shared" si="36"/>
        <v>3.5066309801664004</v>
      </c>
      <c r="AD58" s="2"/>
      <c r="AE58" s="2"/>
      <c r="AF58" s="2"/>
      <c r="AG58" s="2"/>
      <c r="AH58" s="2"/>
    </row>
    <row r="59" spans="1:34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5"/>
      <c r="Y59" s="2"/>
      <c r="Z59" s="41">
        <v>0</v>
      </c>
      <c r="AA59" s="60">
        <f t="shared" ref="AA59" si="37">$AA$53*(1+(Z59/100))</f>
        <v>0.16</v>
      </c>
      <c r="AB59" s="42">
        <v>118436.73492241729</v>
      </c>
      <c r="AC59" s="62">
        <f t="shared" si="36"/>
        <v>0</v>
      </c>
      <c r="AD59" s="2"/>
      <c r="AE59" s="2"/>
      <c r="AF59" s="2"/>
      <c r="AG59" s="2"/>
      <c r="AH59" s="2"/>
    </row>
    <row r="60" spans="1:34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SUM(P55:P58)</f>
        <v>118436.73492241729</v>
      </c>
      <c r="Q60" s="1" t="s">
        <v>3</v>
      </c>
      <c r="R60" s="46">
        <f>SUM(R55:R58)</f>
        <v>0.16106872798220265</v>
      </c>
      <c r="S60" s="1" t="s">
        <v>4</v>
      </c>
      <c r="T60" s="2"/>
      <c r="U60" s="2"/>
      <c r="V60" s="2"/>
      <c r="W60" s="2"/>
      <c r="X60" s="35"/>
      <c r="Y60" s="2"/>
      <c r="Z60" s="28">
        <f t="shared" ref="Z60:Z64" si="38">Z59+10</f>
        <v>10</v>
      </c>
      <c r="AA60" s="30">
        <f t="shared" ref="AA60:AA64" si="39">$AA$53*(1-(Z60/100))</f>
        <v>0.14400000000000002</v>
      </c>
      <c r="AB60" s="31">
        <v>114283.59568373025</v>
      </c>
      <c r="AC60" s="36">
        <f t="shared" si="36"/>
        <v>-3.5066309801664004</v>
      </c>
      <c r="AD60" s="2"/>
      <c r="AE60" s="2"/>
      <c r="AF60" s="2"/>
      <c r="AG60" s="2"/>
      <c r="AH60" s="2"/>
    </row>
    <row r="61" spans="1:34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5"/>
      <c r="Y61" s="2"/>
      <c r="Z61" s="28">
        <f t="shared" si="38"/>
        <v>20</v>
      </c>
      <c r="AA61" s="30">
        <f t="shared" si="39"/>
        <v>0.128</v>
      </c>
      <c r="AB61" s="31">
        <v>110130.45644504318</v>
      </c>
      <c r="AC61" s="36">
        <f t="shared" si="36"/>
        <v>-7.0132619603328257</v>
      </c>
      <c r="AD61" s="2"/>
      <c r="AE61" s="2"/>
      <c r="AF61" s="2"/>
      <c r="AG61" s="2"/>
      <c r="AH61" s="2"/>
    </row>
    <row r="62" spans="1:34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5"/>
      <c r="Y62" s="2"/>
      <c r="Z62" s="28">
        <f t="shared" si="38"/>
        <v>30</v>
      </c>
      <c r="AA62" s="30">
        <f t="shared" si="39"/>
        <v>0.11199999999999999</v>
      </c>
      <c r="AB62" s="31">
        <v>105977.31720635614</v>
      </c>
      <c r="AC62" s="36">
        <f t="shared" si="36"/>
        <v>-10.519892940499226</v>
      </c>
      <c r="AD62" s="2"/>
      <c r="AE62" s="2"/>
      <c r="AF62" s="2"/>
      <c r="AG62" s="2"/>
      <c r="AH62" s="2"/>
    </row>
    <row r="63" spans="1:34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35"/>
      <c r="Y63" s="2"/>
      <c r="Z63" s="28">
        <f t="shared" si="38"/>
        <v>40</v>
      </c>
      <c r="AA63" s="30">
        <f t="shared" si="39"/>
        <v>9.6000000000000002E-2</v>
      </c>
      <c r="AB63" s="31">
        <v>101824.17796766908</v>
      </c>
      <c r="AC63" s="36">
        <f t="shared" si="36"/>
        <v>-14.026523920665637</v>
      </c>
      <c r="AD63" s="2"/>
      <c r="AE63" s="2"/>
      <c r="AF63" s="2"/>
      <c r="AG63" s="2"/>
      <c r="AH63" s="2"/>
    </row>
    <row r="64" spans="1:34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5"/>
      <c r="Y64" s="2"/>
      <c r="Z64" s="28">
        <f t="shared" si="38"/>
        <v>50</v>
      </c>
      <c r="AA64" s="30">
        <f t="shared" si="39"/>
        <v>0.08</v>
      </c>
      <c r="AB64" s="31">
        <v>97671.038728982036</v>
      </c>
      <c r="AC64" s="36">
        <f t="shared" si="36"/>
        <v>-17.533154900832038</v>
      </c>
      <c r="AD64" s="2"/>
      <c r="AE64" s="2"/>
      <c r="AF64" s="2"/>
      <c r="AG64" s="2"/>
      <c r="AH64" s="2"/>
    </row>
    <row r="65" spans="1:34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35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5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35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spans="1:34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spans="1:34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spans="1:34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spans="1:34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spans="1:34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34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spans="1:34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spans="1:34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spans="1:34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spans="1:34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spans="1:34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spans="1:34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spans="1:34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spans="1:34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spans="1:34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spans="1:34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spans="1:34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spans="1:34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spans="1:34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spans="1:34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4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spans="1:34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spans="1:34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spans="1:34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spans="1:34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spans="1:34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spans="1:34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spans="1:34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spans="1:34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spans="1:34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spans="1:34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spans="1:34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spans="1:34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spans="1:34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spans="1:34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spans="1:34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spans="1:34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spans="1:34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spans="1:34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spans="1:34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spans="1:34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spans="1:34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spans="1:34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spans="1:34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spans="1:34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spans="1:34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spans="1:34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spans="1:34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spans="1:34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spans="1:34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spans="1:34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spans="1:34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spans="1:34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spans="1:34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4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</sheetData>
  <pageMargins left="0.7" right="0.7" top="0.75" bottom="0.75" header="0" footer="0"/>
  <pageSetup orientation="landscape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AY1000"/>
  <sheetViews>
    <sheetView topLeftCell="W62" zoomScaleNormal="100" workbookViewId="0">
      <selection activeCell="AC75" sqref="AC75:AC79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7" customWidth="1"/>
    <col min="7" max="7" width="8.85546875" customWidth="1"/>
    <col min="8" max="8" width="19.28515625" customWidth="1"/>
    <col min="9" max="9" width="47" bestFit="1" customWidth="1"/>
    <col min="10" max="10" width="17.710937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33.7109375" customWidth="1"/>
    <col min="19" max="19" width="16.5703125" customWidth="1"/>
    <col min="20" max="20" width="11.140625" customWidth="1"/>
    <col min="21" max="22" width="31.28515625" customWidth="1"/>
    <col min="23" max="23" width="23.85546875" customWidth="1"/>
    <col min="24" max="25" width="13.42578125" customWidth="1"/>
    <col min="26" max="26" width="19.5703125" customWidth="1"/>
    <col min="27" max="27" width="12.28515625" customWidth="1"/>
    <col min="28" max="28" width="20.140625" customWidth="1"/>
    <col min="29" max="29" width="25.28515625" customWidth="1"/>
    <col min="30" max="30" width="12.85546875" customWidth="1"/>
    <col min="31" max="31" width="19" customWidth="1"/>
    <col min="32" max="32" width="4.7109375" customWidth="1"/>
    <col min="33" max="33" width="20.140625" customWidth="1"/>
    <col min="34" max="34" width="19.28515625" customWidth="1"/>
    <col min="35" max="35" width="11.28515625" customWidth="1"/>
    <col min="36" max="36" width="17.85546875" customWidth="1"/>
    <col min="37" max="37" width="8.85546875" customWidth="1"/>
    <col min="38" max="43" width="18.28515625" customWidth="1"/>
    <col min="44" max="44" width="12.7109375" customWidth="1"/>
    <col min="45" max="51" width="8.85546875" customWidth="1"/>
  </cols>
  <sheetData>
    <row r="1" spans="1:51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25">
      <c r="A2" s="1" t="s">
        <v>2</v>
      </c>
      <c r="B2" s="3">
        <f>X49</f>
        <v>34362.619891252732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2"/>
      <c r="B3" s="4">
        <f>B2/J34</f>
        <v>0.17181309945626366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 t="s">
        <v>7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16</v>
      </c>
      <c r="R7" s="11" t="s">
        <v>17</v>
      </c>
      <c r="S7" s="11" t="s">
        <v>18</v>
      </c>
      <c r="T7" s="11" t="s">
        <v>19</v>
      </c>
      <c r="U7" s="11" t="s">
        <v>20</v>
      </c>
      <c r="V7" s="11" t="s">
        <v>21</v>
      </c>
      <c r="W7" s="11" t="s">
        <v>22</v>
      </c>
      <c r="X7" s="12" t="s">
        <v>23</v>
      </c>
      <c r="Y7" s="1"/>
      <c r="Z7" s="2" t="s">
        <v>24</v>
      </c>
      <c r="AA7" s="2"/>
      <c r="AB7" s="2" t="s">
        <v>25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182000000</v>
      </c>
      <c r="K8" s="2" t="s">
        <v>29</v>
      </c>
      <c r="L8" s="14"/>
      <c r="M8" s="2"/>
      <c r="N8" s="11">
        <v>0</v>
      </c>
      <c r="O8" s="16">
        <f>F31</f>
        <v>6808.0408064516123</v>
      </c>
      <c r="P8" s="11"/>
      <c r="Q8" s="11"/>
      <c r="R8" s="11"/>
      <c r="S8" s="11"/>
      <c r="T8" s="11"/>
      <c r="U8" s="11"/>
      <c r="V8" s="11"/>
      <c r="W8" s="11"/>
      <c r="X8" s="17">
        <f t="shared" ref="X8:X48" si="0">SUM(O8:W8)</f>
        <v>6808.0408064516123</v>
      </c>
      <c r="Y8" s="3"/>
      <c r="Z8" s="6"/>
      <c r="AA8" s="2"/>
      <c r="AB8" s="2" t="s">
        <v>30</v>
      </c>
      <c r="AC8" s="18">
        <f>F36</f>
        <v>0.15916129032258064</v>
      </c>
      <c r="AD8" s="2" t="s">
        <v>31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3"/>
      <c r="B9" s="2"/>
      <c r="C9" s="2"/>
      <c r="D9" s="2"/>
      <c r="E9" s="2"/>
      <c r="F9" s="19"/>
      <c r="G9" s="2"/>
      <c r="H9" s="14"/>
      <c r="I9" s="15" t="s">
        <v>32</v>
      </c>
      <c r="J9" s="6">
        <v>105</v>
      </c>
      <c r="K9" s="2" t="s">
        <v>31</v>
      </c>
      <c r="L9" s="14"/>
      <c r="M9" s="2"/>
      <c r="N9" s="11">
        <v>1</v>
      </c>
      <c r="O9" s="11"/>
      <c r="P9" s="20">
        <f t="shared" ref="P9:P48" si="1">IF(N9&gt;0,IF(N9&lt;=$J$20,(($F$32+$F$33)/$J$20)/((1+($F$11/100))^N9),0),0)</f>
        <v>4432.7910139784944</v>
      </c>
      <c r="Q9" s="21">
        <f t="shared" ref="Q9:Q48" si="2">IF(N9&gt;0,($F$41*((1+($F$14/100))^(N9-1)))/((1+($F$11/100))^N9),0)</f>
        <v>430.49339477726568</v>
      </c>
      <c r="R9" s="21">
        <f t="shared" ref="R9:R48" si="3">IF(N9&gt;0,$F$40/((1+($F$11/100))^N9),0)</f>
        <v>129.8368809889547</v>
      </c>
      <c r="S9" s="21">
        <f t="shared" ref="S9:S48" si="4">IF(N9&gt;0,$J$37/((1+($F$11/100))^N9),0)</f>
        <v>497.26574500768049</v>
      </c>
      <c r="T9" s="21">
        <f t="shared" ref="T9:T48" si="5">IF(N9&gt;0,(($F$18/100)*($F$19/100)*$B$17*Z9)/((1+($F$11/100))^N9),0)</f>
        <v>0</v>
      </c>
      <c r="U9" s="21">
        <f t="shared" ref="U9:U48" si="6">IF(AND(MOD(N9,$J$31)=0,N9&gt;0),$B$46/((1+($F$11/100))^N9),0)</f>
        <v>0</v>
      </c>
      <c r="V9" s="21">
        <f t="shared" ref="V9:V48" si="7">IF(N9&gt;0,$J$32/((1+($F$11/100))^N9),0)</f>
        <v>0</v>
      </c>
      <c r="W9" s="20">
        <f t="shared" ref="W9:W18" si="8">IF(N9=$B$5,((((1-$J$15/100)^N9)*$B$47+((1-$J$16/100)^N9)*$B$48)/((1+($F$11/100))^N9))*-1,0)</f>
        <v>0</v>
      </c>
      <c r="X9" s="17">
        <f t="shared" si="0"/>
        <v>5490.3870347523953</v>
      </c>
      <c r="Y9" s="3"/>
      <c r="Z9" s="6">
        <f t="shared" ref="Z9:Z48" si="9">IF(N9&gt;0,((((1-$J$15/100)^N9)*$B$47+((1-$J$16/100)^N9)*$B$48)/((1+($F$11/100))^N9)),0)</f>
        <v>14129.053763440861</v>
      </c>
      <c r="AA9" s="2"/>
      <c r="AB9" s="2" t="s">
        <v>33</v>
      </c>
      <c r="AC9" s="5">
        <f>B48</f>
        <v>4410</v>
      </c>
      <c r="AD9" s="2" t="s">
        <v>3</v>
      </c>
      <c r="AE9" s="2"/>
      <c r="AF9" s="6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36</v>
      </c>
      <c r="J10" s="6">
        <v>42</v>
      </c>
      <c r="K10" s="2" t="s">
        <v>37</v>
      </c>
      <c r="L10" s="14"/>
      <c r="M10" s="2"/>
      <c r="N10" s="11">
        <f t="shared" ref="N10:N48" si="10">IF((N9+1)&gt;$B$5,,IF(N9=0,,N9+1))</f>
        <v>2</v>
      </c>
      <c r="O10" s="11"/>
      <c r="P10" s="20">
        <f t="shared" si="1"/>
        <v>4221.7057275985662</v>
      </c>
      <c r="Q10" s="21">
        <f t="shared" si="2"/>
        <v>414.09364640479839</v>
      </c>
      <c r="R10" s="21">
        <f t="shared" si="3"/>
        <v>123.65417237043305</v>
      </c>
      <c r="S10" s="21">
        <f t="shared" si="4"/>
        <v>473.58642381683853</v>
      </c>
      <c r="T10" s="21">
        <f t="shared" si="5"/>
        <v>0</v>
      </c>
      <c r="U10" s="21">
        <f t="shared" si="6"/>
        <v>0</v>
      </c>
      <c r="V10" s="21">
        <f t="shared" si="7"/>
        <v>0</v>
      </c>
      <c r="W10" s="20">
        <f t="shared" si="8"/>
        <v>0</v>
      </c>
      <c r="X10" s="17">
        <f t="shared" si="0"/>
        <v>5233.0399701906363</v>
      </c>
      <c r="Y10" s="3"/>
      <c r="Z10" s="6">
        <f t="shared" si="9"/>
        <v>12363.987768561188</v>
      </c>
      <c r="AA10" s="2"/>
      <c r="AB10" s="2" t="s">
        <v>174</v>
      </c>
      <c r="AC10" s="23">
        <f>B52</f>
        <v>22693.469354838708</v>
      </c>
      <c r="AD10" s="2" t="s">
        <v>3</v>
      </c>
      <c r="AE10" s="2"/>
      <c r="AF10" s="6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24" t="s">
        <v>171</v>
      </c>
      <c r="B11" s="25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40</v>
      </c>
      <c r="J11" s="6">
        <v>536</v>
      </c>
      <c r="K11" s="2" t="s">
        <v>140</v>
      </c>
      <c r="L11" s="14"/>
      <c r="M11" s="2"/>
      <c r="N11" s="11">
        <f t="shared" si="10"/>
        <v>3</v>
      </c>
      <c r="O11" s="11"/>
      <c r="P11" s="20">
        <f t="shared" si="1"/>
        <v>4020.6721215224434</v>
      </c>
      <c r="Q11" s="21">
        <f t="shared" si="2"/>
        <v>398.31865035128226</v>
      </c>
      <c r="R11" s="21">
        <f t="shared" si="3"/>
        <v>117.76587844803146</v>
      </c>
      <c r="S11" s="21">
        <f t="shared" si="4"/>
        <v>451.03468934937001</v>
      </c>
      <c r="T11" s="21">
        <f t="shared" si="5"/>
        <v>0</v>
      </c>
      <c r="U11" s="21">
        <f t="shared" si="6"/>
        <v>0</v>
      </c>
      <c r="V11" s="21">
        <f t="shared" si="7"/>
        <v>0</v>
      </c>
      <c r="W11" s="20">
        <f t="shared" si="8"/>
        <v>0</v>
      </c>
      <c r="X11" s="17">
        <f t="shared" si="0"/>
        <v>4987.7913396711274</v>
      </c>
      <c r="Y11" s="3"/>
      <c r="Z11" s="6">
        <f t="shared" si="9"/>
        <v>10823.253480521005</v>
      </c>
      <c r="AA11" s="2"/>
      <c r="AB11" s="2" t="s">
        <v>42</v>
      </c>
      <c r="AC11" s="6">
        <f>F12</f>
        <v>20000</v>
      </c>
      <c r="AD11" s="2" t="s">
        <v>43</v>
      </c>
      <c r="AE11" s="2"/>
      <c r="AF11" s="6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20000</v>
      </c>
      <c r="G12" s="2" t="s">
        <v>43</v>
      </c>
      <c r="H12" s="14"/>
      <c r="I12" s="15" t="s">
        <v>46</v>
      </c>
      <c r="J12" s="6">
        <v>300</v>
      </c>
      <c r="K12" s="2" t="s">
        <v>47</v>
      </c>
      <c r="L12" s="14"/>
      <c r="M12" s="2"/>
      <c r="N12" s="11">
        <f t="shared" si="10"/>
        <v>4</v>
      </c>
      <c r="O12" s="11"/>
      <c r="P12" s="20">
        <f t="shared" si="1"/>
        <v>3829.2115443070893</v>
      </c>
      <c r="Q12" s="21">
        <f t="shared" si="2"/>
        <v>383.14460652837624</v>
      </c>
      <c r="R12" s="21">
        <f t="shared" si="3"/>
        <v>112.1579794743157</v>
      </c>
      <c r="S12" s="21">
        <f t="shared" si="4"/>
        <v>429.55684699940002</v>
      </c>
      <c r="T12" s="21">
        <f t="shared" si="5"/>
        <v>0</v>
      </c>
      <c r="U12" s="21">
        <f t="shared" si="6"/>
        <v>0</v>
      </c>
      <c r="V12" s="21">
        <f t="shared" si="7"/>
        <v>0</v>
      </c>
      <c r="W12" s="20">
        <f t="shared" si="8"/>
        <v>0</v>
      </c>
      <c r="X12" s="17">
        <f t="shared" si="0"/>
        <v>4754.0709773091803</v>
      </c>
      <c r="Y12" s="3"/>
      <c r="Z12" s="6">
        <f t="shared" si="9"/>
        <v>9477.8016794604318</v>
      </c>
      <c r="AA12" s="2"/>
      <c r="AB12" s="15" t="s">
        <v>48</v>
      </c>
      <c r="AC12" s="23">
        <f>J42</f>
        <v>498</v>
      </c>
      <c r="AD12" s="2" t="s">
        <v>49</v>
      </c>
      <c r="AE12" s="2"/>
      <c r="AF12" s="6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24" t="s">
        <v>50</v>
      </c>
      <c r="B13" s="2">
        <v>11</v>
      </c>
      <c r="C13" s="2" t="s">
        <v>38</v>
      </c>
      <c r="D13" s="2"/>
      <c r="E13" s="15" t="s">
        <v>30</v>
      </c>
      <c r="F13" s="6">
        <v>2467</v>
      </c>
      <c r="G13" s="2" t="s">
        <v>51</v>
      </c>
      <c r="H13" s="14"/>
      <c r="I13" s="15" t="s">
        <v>52</v>
      </c>
      <c r="J13" s="2">
        <v>30</v>
      </c>
      <c r="K13" s="2" t="s">
        <v>53</v>
      </c>
      <c r="L13" s="14"/>
      <c r="M13" s="2"/>
      <c r="N13" s="11">
        <f t="shared" si="10"/>
        <v>5</v>
      </c>
      <c r="O13" s="11"/>
      <c r="P13" s="20">
        <f t="shared" si="1"/>
        <v>3646.8681374353228</v>
      </c>
      <c r="Q13" s="21">
        <f t="shared" si="2"/>
        <v>368.54862151777144</v>
      </c>
      <c r="R13" s="21">
        <f t="shared" si="3"/>
        <v>106.81712330887208</v>
      </c>
      <c r="S13" s="21">
        <f t="shared" si="4"/>
        <v>409.10175904704761</v>
      </c>
      <c r="T13" s="21">
        <f t="shared" si="5"/>
        <v>0</v>
      </c>
      <c r="U13" s="21">
        <f t="shared" si="6"/>
        <v>0</v>
      </c>
      <c r="V13" s="21">
        <f t="shared" si="7"/>
        <v>0</v>
      </c>
      <c r="W13" s="20">
        <f t="shared" si="8"/>
        <v>0</v>
      </c>
      <c r="X13" s="17">
        <f t="shared" si="0"/>
        <v>4531.3356413090141</v>
      </c>
      <c r="Y13" s="3"/>
      <c r="Z13" s="6">
        <f t="shared" si="9"/>
        <v>8302.4189629832472</v>
      </c>
      <c r="AA13" s="2"/>
      <c r="AB13" s="2" t="s">
        <v>170</v>
      </c>
      <c r="AC13" s="6">
        <f>J26</f>
        <v>150</v>
      </c>
      <c r="AD13" s="2" t="s">
        <v>161</v>
      </c>
      <c r="AE13" s="2"/>
      <c r="AF13" s="6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24" t="s">
        <v>54</v>
      </c>
      <c r="B14" s="2">
        <v>7.5</v>
      </c>
      <c r="C14" s="2" t="s">
        <v>38</v>
      </c>
      <c r="D14" s="2"/>
      <c r="E14" s="15" t="s">
        <v>55</v>
      </c>
      <c r="F14" s="2">
        <v>1</v>
      </c>
      <c r="G14" s="2" t="s">
        <v>56</v>
      </c>
      <c r="H14" s="14"/>
      <c r="I14" s="15" t="s">
        <v>57</v>
      </c>
      <c r="J14" s="5">
        <v>20</v>
      </c>
      <c r="K14" s="2" t="s">
        <v>38</v>
      </c>
      <c r="L14" s="14"/>
      <c r="M14" s="2"/>
      <c r="N14" s="11">
        <f t="shared" si="10"/>
        <v>6</v>
      </c>
      <c r="O14" s="11"/>
      <c r="P14" s="20">
        <f t="shared" si="1"/>
        <v>0</v>
      </c>
      <c r="Q14" s="21">
        <f t="shared" si="2"/>
        <v>354.50867403138017</v>
      </c>
      <c r="R14" s="21">
        <f t="shared" si="3"/>
        <v>101.73059362749723</v>
      </c>
      <c r="S14" s="21">
        <f t="shared" si="4"/>
        <v>389.62072290195016</v>
      </c>
      <c r="T14" s="21">
        <f t="shared" si="5"/>
        <v>0</v>
      </c>
      <c r="U14" s="21">
        <f t="shared" si="6"/>
        <v>0</v>
      </c>
      <c r="V14" s="21">
        <f t="shared" si="7"/>
        <v>0</v>
      </c>
      <c r="W14" s="20">
        <f t="shared" si="8"/>
        <v>0</v>
      </c>
      <c r="X14" s="17">
        <f t="shared" si="0"/>
        <v>845.85999056082755</v>
      </c>
      <c r="Y14" s="3"/>
      <c r="Z14" s="6">
        <f t="shared" si="9"/>
        <v>7275.2112027559715</v>
      </c>
      <c r="AA14" s="2"/>
      <c r="AB14" s="2" t="s">
        <v>197</v>
      </c>
      <c r="AC14" s="26">
        <f>J17</f>
        <v>0.14199999999999999</v>
      </c>
      <c r="AD14" s="2" t="s">
        <v>69</v>
      </c>
      <c r="AE14" s="2"/>
      <c r="AF14" s="6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2" t="s">
        <v>58</v>
      </c>
      <c r="B15" s="2">
        <v>22</v>
      </c>
      <c r="C15" s="2" t="s">
        <v>38</v>
      </c>
      <c r="D15" s="2"/>
      <c r="E15" s="15" t="s">
        <v>59</v>
      </c>
      <c r="F15" s="2">
        <v>0</v>
      </c>
      <c r="G15" s="2" t="s">
        <v>29</v>
      </c>
      <c r="H15" s="14"/>
      <c r="I15" s="15" t="s">
        <v>60</v>
      </c>
      <c r="J15" s="2">
        <v>7.08</v>
      </c>
      <c r="K15" s="2" t="s">
        <v>61</v>
      </c>
      <c r="L15" s="14"/>
      <c r="M15" s="2"/>
      <c r="N15" s="11">
        <f t="shared" si="10"/>
        <v>7</v>
      </c>
      <c r="O15" s="11"/>
      <c r="P15" s="20">
        <f t="shared" si="1"/>
        <v>0</v>
      </c>
      <c r="Q15" s="21">
        <f t="shared" si="2"/>
        <v>341.0035816873276</v>
      </c>
      <c r="R15" s="21">
        <f t="shared" si="3"/>
        <v>96.886279645235433</v>
      </c>
      <c r="S15" s="21">
        <f t="shared" si="4"/>
        <v>371.06735514471438</v>
      </c>
      <c r="T15" s="21">
        <f t="shared" si="5"/>
        <v>0</v>
      </c>
      <c r="U15" s="21">
        <f t="shared" si="6"/>
        <v>0</v>
      </c>
      <c r="V15" s="21">
        <f t="shared" si="7"/>
        <v>0</v>
      </c>
      <c r="W15" s="20">
        <f t="shared" si="8"/>
        <v>0</v>
      </c>
      <c r="X15" s="17">
        <f t="shared" si="0"/>
        <v>808.95721647727737</v>
      </c>
      <c r="Y15" s="3"/>
      <c r="Z15" s="6">
        <f t="shared" si="9"/>
        <v>6377.1578936024989</v>
      </c>
      <c r="AA15" s="2"/>
      <c r="AB15" s="2"/>
      <c r="AC15" s="2"/>
      <c r="AD15" s="2"/>
      <c r="AE15" s="2"/>
      <c r="AF15" s="6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24" t="s">
        <v>62</v>
      </c>
      <c r="B16" s="2">
        <v>0</v>
      </c>
      <c r="C16" s="2" t="s">
        <v>38</v>
      </c>
      <c r="D16" s="2"/>
      <c r="E16" s="15" t="s">
        <v>63</v>
      </c>
      <c r="F16" s="2">
        <v>0</v>
      </c>
      <c r="G16" s="2" t="s">
        <v>64</v>
      </c>
      <c r="H16" s="14"/>
      <c r="I16" s="15" t="s">
        <v>65</v>
      </c>
      <c r="J16" s="2">
        <v>11</v>
      </c>
      <c r="K16" s="2" t="s">
        <v>61</v>
      </c>
      <c r="L16" s="14"/>
      <c r="M16" s="2"/>
      <c r="N16" s="11">
        <f t="shared" si="10"/>
        <v>8</v>
      </c>
      <c r="O16" s="11"/>
      <c r="P16" s="20">
        <f t="shared" si="1"/>
        <v>0</v>
      </c>
      <c r="Q16" s="21">
        <f t="shared" si="2"/>
        <v>328.01296905161985</v>
      </c>
      <c r="R16" s="21">
        <f t="shared" si="3"/>
        <v>92.272647281176617</v>
      </c>
      <c r="S16" s="21">
        <f t="shared" si="4"/>
        <v>353.39748109020422</v>
      </c>
      <c r="T16" s="21">
        <f t="shared" si="5"/>
        <v>0</v>
      </c>
      <c r="U16" s="21">
        <f t="shared" si="6"/>
        <v>2984.8615865465104</v>
      </c>
      <c r="V16" s="21">
        <f t="shared" si="7"/>
        <v>0</v>
      </c>
      <c r="W16" s="20">
        <f t="shared" si="8"/>
        <v>0</v>
      </c>
      <c r="X16" s="17">
        <f t="shared" si="0"/>
        <v>3758.544683969511</v>
      </c>
      <c r="Y16" s="3"/>
      <c r="Z16" s="6">
        <f t="shared" si="9"/>
        <v>5591.7274919718784</v>
      </c>
      <c r="AA16" s="2"/>
      <c r="AB16" s="2"/>
      <c r="AC16" s="2"/>
      <c r="AD16" s="2"/>
      <c r="AE16" s="2"/>
      <c r="AF16" s="6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24" t="s">
        <v>66</v>
      </c>
      <c r="B17" s="2">
        <v>1.085</v>
      </c>
      <c r="C17" s="2"/>
      <c r="D17" s="2"/>
      <c r="E17" s="15" t="s">
        <v>67</v>
      </c>
      <c r="F17" s="6">
        <f>2*87000</f>
        <v>174000</v>
      </c>
      <c r="G17" s="2" t="s">
        <v>64</v>
      </c>
      <c r="H17" s="14"/>
      <c r="I17" s="15" t="s">
        <v>68</v>
      </c>
      <c r="J17" s="26">
        <v>0.14199999999999999</v>
      </c>
      <c r="K17" s="2" t="s">
        <v>69</v>
      </c>
      <c r="L17" s="14"/>
      <c r="M17" s="2"/>
      <c r="N17" s="11">
        <f t="shared" si="10"/>
        <v>9</v>
      </c>
      <c r="O17" s="11"/>
      <c r="P17" s="20">
        <f t="shared" si="1"/>
        <v>0</v>
      </c>
      <c r="Q17" s="21">
        <f t="shared" si="2"/>
        <v>315.51723689727248</v>
      </c>
      <c r="R17" s="21">
        <f t="shared" si="3"/>
        <v>87.878711696358678</v>
      </c>
      <c r="S17" s="21">
        <f t="shared" si="4"/>
        <v>336.56902960971826</v>
      </c>
      <c r="T17" s="21">
        <f t="shared" si="5"/>
        <v>0</v>
      </c>
      <c r="U17" s="21">
        <f t="shared" si="6"/>
        <v>0</v>
      </c>
      <c r="V17" s="21">
        <f t="shared" si="7"/>
        <v>0</v>
      </c>
      <c r="W17" s="20">
        <f t="shared" si="8"/>
        <v>0</v>
      </c>
      <c r="X17" s="17">
        <f t="shared" si="0"/>
        <v>739.96497820334935</v>
      </c>
      <c r="Y17" s="3"/>
      <c r="Z17" s="6">
        <f t="shared" si="9"/>
        <v>4904.5452462135672</v>
      </c>
      <c r="AA17" s="2"/>
      <c r="AB17" s="2"/>
      <c r="AC17" s="2"/>
      <c r="AD17" s="2"/>
      <c r="AE17" s="2"/>
      <c r="AF17" s="6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24" t="s">
        <v>179</v>
      </c>
      <c r="B18" s="2">
        <f>0%*12.5%</f>
        <v>0</v>
      </c>
      <c r="C18" s="2" t="s">
        <v>38</v>
      </c>
      <c r="D18" s="2"/>
      <c r="E18" s="15" t="s">
        <v>70</v>
      </c>
      <c r="F18" s="2">
        <v>0</v>
      </c>
      <c r="G18" s="2" t="s">
        <v>38</v>
      </c>
      <c r="H18" s="14"/>
      <c r="I18" s="2"/>
      <c r="J18" s="2"/>
      <c r="K18" s="2"/>
      <c r="L18" s="14"/>
      <c r="M18" s="2"/>
      <c r="N18" s="11">
        <f t="shared" si="10"/>
        <v>10</v>
      </c>
      <c r="O18" s="11"/>
      <c r="P18" s="20">
        <f t="shared" si="1"/>
        <v>0</v>
      </c>
      <c r="Q18" s="21">
        <f t="shared" si="2"/>
        <v>303.49753263451925</v>
      </c>
      <c r="R18" s="21">
        <f t="shared" si="3"/>
        <v>83.694011139389218</v>
      </c>
      <c r="S18" s="21">
        <f t="shared" si="4"/>
        <v>320.54193296163646</v>
      </c>
      <c r="T18" s="21">
        <f t="shared" si="5"/>
        <v>0</v>
      </c>
      <c r="U18" s="21">
        <f t="shared" si="6"/>
        <v>0</v>
      </c>
      <c r="V18" s="21">
        <f t="shared" si="7"/>
        <v>0</v>
      </c>
      <c r="W18" s="20">
        <f t="shared" si="8"/>
        <v>-4303.1062243777496</v>
      </c>
      <c r="X18" s="17">
        <f t="shared" si="0"/>
        <v>-3595.3727476422046</v>
      </c>
      <c r="Y18" s="3"/>
      <c r="Z18" s="6">
        <f t="shared" si="9"/>
        <v>4303.1062243777496</v>
      </c>
      <c r="AA18" s="2"/>
      <c r="AB18" s="2"/>
      <c r="AC18" s="2"/>
      <c r="AD18" s="2"/>
      <c r="AE18" s="2"/>
      <c r="AF18" s="6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24" t="s">
        <v>180</v>
      </c>
      <c r="B19" s="2">
        <v>0</v>
      </c>
      <c r="C19" s="2" t="s">
        <v>38</v>
      </c>
      <c r="D19" s="2"/>
      <c r="E19" s="15" t="s">
        <v>71</v>
      </c>
      <c r="F19" s="2">
        <v>0.5</v>
      </c>
      <c r="G19" s="2" t="s">
        <v>38</v>
      </c>
      <c r="H19" s="14"/>
      <c r="I19" s="1" t="s">
        <v>79</v>
      </c>
      <c r="J19" s="2"/>
      <c r="K19" s="2"/>
      <c r="L19" s="14"/>
      <c r="M19" s="2"/>
      <c r="N19" s="11">
        <f t="shared" si="10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1">
        <f t="shared" si="5"/>
        <v>0</v>
      </c>
      <c r="U19" s="21">
        <f t="shared" si="6"/>
        <v>0</v>
      </c>
      <c r="V19" s="21">
        <f t="shared" si="7"/>
        <v>0</v>
      </c>
      <c r="W19" s="20">
        <f t="shared" ref="W19:W48" si="11">IF(N19=$B$5,((((1-$J$15/100)^N19)*$B$52+((1-$J$16/100)^N19)*$B$48)/((1+($F$11/100))^N19))*-1,0)</f>
        <v>0</v>
      </c>
      <c r="X19" s="17">
        <f t="shared" si="0"/>
        <v>0</v>
      </c>
      <c r="Y19" s="3"/>
      <c r="Z19" s="6">
        <f t="shared" si="9"/>
        <v>0</v>
      </c>
      <c r="AA19" s="2"/>
      <c r="AB19" s="2"/>
      <c r="AC19" s="2"/>
      <c r="AD19" s="2"/>
      <c r="AE19" s="2"/>
      <c r="AF19" s="6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24" t="s">
        <v>73</v>
      </c>
      <c r="B20" s="2">
        <v>0</v>
      </c>
      <c r="C20" s="2" t="s">
        <v>38</v>
      </c>
      <c r="D20" s="2"/>
      <c r="E20" s="15" t="s">
        <v>74</v>
      </c>
      <c r="F20" s="6">
        <v>140000</v>
      </c>
      <c r="G20" s="2" t="s">
        <v>64</v>
      </c>
      <c r="H20" s="14"/>
      <c r="I20" s="15" t="s">
        <v>85</v>
      </c>
      <c r="J20" s="2">
        <v>5</v>
      </c>
      <c r="K20" s="2" t="s">
        <v>53</v>
      </c>
      <c r="L20" s="14"/>
      <c r="M20" s="2"/>
      <c r="N20" s="11">
        <f t="shared" si="10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1">
        <f t="shared" si="5"/>
        <v>0</v>
      </c>
      <c r="U20" s="21">
        <f t="shared" si="6"/>
        <v>0</v>
      </c>
      <c r="V20" s="21">
        <f t="shared" si="7"/>
        <v>0</v>
      </c>
      <c r="W20" s="20">
        <f t="shared" si="11"/>
        <v>0</v>
      </c>
      <c r="X20" s="17">
        <f t="shared" si="0"/>
        <v>0</v>
      </c>
      <c r="Y20" s="3"/>
      <c r="Z20" s="6">
        <f t="shared" si="9"/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</row>
    <row r="21" spans="1:5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76</v>
      </c>
      <c r="F21" s="6">
        <v>25000</v>
      </c>
      <c r="G21" s="2" t="s">
        <v>77</v>
      </c>
      <c r="H21" s="14"/>
      <c r="I21" s="15" t="s">
        <v>89</v>
      </c>
      <c r="J21" s="2">
        <v>30</v>
      </c>
      <c r="K21" s="2" t="s">
        <v>90</v>
      </c>
      <c r="L21" s="14"/>
      <c r="M21" s="2"/>
      <c r="N21" s="11">
        <f t="shared" si="10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1">
        <f t="shared" si="5"/>
        <v>0</v>
      </c>
      <c r="U21" s="21">
        <f t="shared" si="6"/>
        <v>0</v>
      </c>
      <c r="V21" s="21">
        <f t="shared" si="7"/>
        <v>0</v>
      </c>
      <c r="W21" s="20">
        <f t="shared" si="11"/>
        <v>0</v>
      </c>
      <c r="X21" s="17">
        <f t="shared" si="0"/>
        <v>0</v>
      </c>
      <c r="Y21" s="3"/>
      <c r="Z21" s="6">
        <f t="shared" si="9"/>
        <v>0</v>
      </c>
      <c r="AA21" s="2"/>
      <c r="AB21" s="27" t="s">
        <v>30</v>
      </c>
      <c r="AC21" s="28"/>
      <c r="AD21" s="28"/>
      <c r="AE21" s="28"/>
      <c r="AF21" s="2"/>
      <c r="AG21" s="27" t="s">
        <v>28</v>
      </c>
      <c r="AH21" s="28"/>
      <c r="AI21" s="28"/>
      <c r="AJ21" s="28"/>
      <c r="AK21" s="2"/>
      <c r="AL21" s="76" t="s">
        <v>191</v>
      </c>
      <c r="AM21" s="76" t="s">
        <v>183</v>
      </c>
      <c r="AN21" s="76" t="s">
        <v>184</v>
      </c>
      <c r="AO21" s="76" t="s">
        <v>33</v>
      </c>
      <c r="AP21" s="76" t="s">
        <v>188</v>
      </c>
      <c r="AQ21" s="76" t="s">
        <v>189</v>
      </c>
      <c r="AR21" s="93" t="str">
        <f>AB66</f>
        <v>Energy Efficiency</v>
      </c>
      <c r="AS21" s="2"/>
      <c r="AT21" s="2"/>
      <c r="AU21" s="2"/>
      <c r="AV21" s="2"/>
      <c r="AW21" s="2"/>
      <c r="AX21" s="2"/>
      <c r="AY21" s="2"/>
    </row>
    <row r="22" spans="1:51" ht="15.75" customHeight="1" x14ac:dyDescent="0.25">
      <c r="A22" s="24" t="s">
        <v>78</v>
      </c>
      <c r="B22" s="2">
        <v>0</v>
      </c>
      <c r="C22" s="2" t="s">
        <v>38</v>
      </c>
      <c r="D22" s="2"/>
      <c r="E22" s="15" t="s">
        <v>48</v>
      </c>
      <c r="F22" s="5">
        <v>385.95</v>
      </c>
      <c r="G22" s="2" t="s">
        <v>152</v>
      </c>
      <c r="H22" s="14"/>
      <c r="I22" s="73"/>
      <c r="J22" s="73"/>
      <c r="K22" s="73"/>
      <c r="L22" s="14"/>
      <c r="M22" s="2"/>
      <c r="N22" s="11">
        <f t="shared" si="10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1">
        <f t="shared" si="5"/>
        <v>0</v>
      </c>
      <c r="U22" s="21">
        <f t="shared" si="6"/>
        <v>0</v>
      </c>
      <c r="V22" s="21">
        <f t="shared" si="7"/>
        <v>0</v>
      </c>
      <c r="W22" s="20">
        <f t="shared" si="11"/>
        <v>0</v>
      </c>
      <c r="X22" s="17">
        <f t="shared" si="0"/>
        <v>0</v>
      </c>
      <c r="Y22" s="3"/>
      <c r="Z22" s="6">
        <f t="shared" si="9"/>
        <v>0</v>
      </c>
      <c r="AA22" s="2"/>
      <c r="AB22" s="28" t="s">
        <v>80</v>
      </c>
      <c r="AC22" s="28" t="s">
        <v>81</v>
      </c>
      <c r="AD22" s="28" t="s">
        <v>23</v>
      </c>
      <c r="AE22" s="28" t="s">
        <v>82</v>
      </c>
      <c r="AF22" s="2"/>
      <c r="AG22" s="28" t="s">
        <v>80</v>
      </c>
      <c r="AH22" s="28" t="s">
        <v>83</v>
      </c>
      <c r="AI22" s="28" t="s">
        <v>23</v>
      </c>
      <c r="AJ22" s="28" t="s">
        <v>82</v>
      </c>
      <c r="AK22" s="2"/>
      <c r="AL22" s="77">
        <v>-50</v>
      </c>
      <c r="AM22" s="78">
        <f>AJ24</f>
        <v>-39.227639563880047</v>
      </c>
      <c r="AN22" s="78">
        <f>AE24</f>
        <v>-5.2922898856258005</v>
      </c>
      <c r="AO22" s="79">
        <f t="shared" ref="AO22:AO32" si="12">AE39</f>
        <v>-9.4820418578078804</v>
      </c>
      <c r="AP22" s="79">
        <f t="shared" ref="AP22:AP32" si="13">AJ39</f>
        <v>-21.10575445875897</v>
      </c>
      <c r="AQ22" s="79">
        <f>AE54</f>
        <v>-5.5953591532072453</v>
      </c>
      <c r="AR22" s="53">
        <f>AE69</f>
        <v>6.8240332179324197</v>
      </c>
      <c r="AS22" s="2"/>
      <c r="AT22" s="2"/>
      <c r="AU22" s="2"/>
      <c r="AV22" s="2"/>
      <c r="AW22" s="2"/>
      <c r="AX22" s="2"/>
      <c r="AY22" s="2"/>
    </row>
    <row r="23" spans="1:51" ht="15.75" customHeight="1" x14ac:dyDescent="0.25">
      <c r="A23" s="2"/>
      <c r="B23" s="2"/>
      <c r="C23" s="2"/>
      <c r="D23" s="2"/>
      <c r="E23" s="15" t="s">
        <v>84</v>
      </c>
      <c r="F23" s="2">
        <v>9.3000000000000007</v>
      </c>
      <c r="G23" s="2" t="s">
        <v>61</v>
      </c>
      <c r="H23" s="14"/>
      <c r="I23" s="66" t="s">
        <v>153</v>
      </c>
      <c r="J23" s="64"/>
      <c r="K23" s="64"/>
      <c r="L23" s="65"/>
      <c r="M23" s="2"/>
      <c r="N23" s="11">
        <f t="shared" si="10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1">
        <f t="shared" si="5"/>
        <v>0</v>
      </c>
      <c r="U23" s="21">
        <f t="shared" si="6"/>
        <v>0</v>
      </c>
      <c r="V23" s="21">
        <f t="shared" si="7"/>
        <v>0</v>
      </c>
      <c r="W23" s="20">
        <f t="shared" si="11"/>
        <v>0</v>
      </c>
      <c r="X23" s="17">
        <f t="shared" si="0"/>
        <v>0</v>
      </c>
      <c r="Y23" s="3"/>
      <c r="Z23" s="6">
        <f t="shared" si="9"/>
        <v>0</v>
      </c>
      <c r="AA23" s="2"/>
      <c r="AB23" s="28" t="s">
        <v>86</v>
      </c>
      <c r="AC23" s="30">
        <v>0.15916129032258064</v>
      </c>
      <c r="AD23" s="31">
        <f>X49</f>
        <v>34362.619891252732</v>
      </c>
      <c r="AE23" s="28"/>
      <c r="AF23" s="2"/>
      <c r="AG23" s="28" t="s">
        <v>86</v>
      </c>
      <c r="AH23" s="32">
        <v>22693.469354838708</v>
      </c>
      <c r="AI23" s="31">
        <f>X49</f>
        <v>34362.619891252732</v>
      </c>
      <c r="AJ23" s="28"/>
      <c r="AK23" s="2"/>
      <c r="AL23" s="77">
        <v>-40</v>
      </c>
      <c r="AM23" s="78">
        <f>AJ25</f>
        <v>-31.382111651104051</v>
      </c>
      <c r="AN23" s="78">
        <f t="shared" ref="AN23:AN32" si="14">AE25</f>
        <v>-4.2338319085006537</v>
      </c>
      <c r="AO23" s="79">
        <f t="shared" si="12"/>
        <v>-7.5856334862463166</v>
      </c>
      <c r="AP23" s="79">
        <f t="shared" si="13"/>
        <v>-18.621875984531037</v>
      </c>
      <c r="AQ23" s="79">
        <f t="shared" ref="AQ23:AQ32" si="15">AE55</f>
        <v>-4.4762873225658177</v>
      </c>
      <c r="AR23" s="53">
        <f t="shared" ref="AR23:AR32" si="16">AE70</f>
        <v>5.4592265743459265</v>
      </c>
      <c r="AS23" s="35"/>
      <c r="AT23" s="35"/>
      <c r="AU23" s="35"/>
      <c r="AV23" s="35"/>
      <c r="AW23" s="35"/>
      <c r="AX23" s="35"/>
      <c r="AY23" s="35"/>
    </row>
    <row r="24" spans="1:51" ht="15.75" customHeight="1" x14ac:dyDescent="0.25">
      <c r="A24" s="13"/>
      <c r="B24" s="2"/>
      <c r="C24" s="2"/>
      <c r="D24" s="2"/>
      <c r="E24" s="2" t="s">
        <v>88</v>
      </c>
      <c r="F24" s="5">
        <f>(100000+200000)/5</f>
        <v>60000</v>
      </c>
      <c r="G24" s="2" t="s">
        <v>64</v>
      </c>
      <c r="H24" s="14"/>
      <c r="I24" s="64" t="s">
        <v>154</v>
      </c>
      <c r="J24" s="69" t="s">
        <v>159</v>
      </c>
      <c r="K24" s="64"/>
      <c r="L24" s="65"/>
      <c r="M24" s="2"/>
      <c r="N24" s="11">
        <f t="shared" si="10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1">
        <f t="shared" si="5"/>
        <v>0</v>
      </c>
      <c r="U24" s="21">
        <f t="shared" si="6"/>
        <v>0</v>
      </c>
      <c r="V24" s="21">
        <f t="shared" si="7"/>
        <v>0</v>
      </c>
      <c r="W24" s="20">
        <f t="shared" si="11"/>
        <v>0</v>
      </c>
      <c r="X24" s="17">
        <f t="shared" si="0"/>
        <v>0</v>
      </c>
      <c r="Y24" s="3"/>
      <c r="Z24" s="6">
        <f t="shared" si="9"/>
        <v>0</v>
      </c>
      <c r="AA24" s="2"/>
      <c r="AB24" s="28">
        <f t="shared" ref="AB24:AB28" si="17">AB25-10</f>
        <v>-50</v>
      </c>
      <c r="AC24" s="30">
        <f t="shared" ref="AC24:AC34" si="18">$AC$23*(1+(AB24/100))</f>
        <v>7.958064516129032E-2</v>
      </c>
      <c r="AD24" s="31">
        <f t="dataTable" ref="AD24:AD34" dt2D="0" dtr="0" r1="F36" ca="1"/>
        <v>32544.050434311925</v>
      </c>
      <c r="AE24" s="36">
        <f t="shared" ref="AE24:AE34" si="19">100*((AD24-$AD$29)/$AD$29)</f>
        <v>-5.2922898856258005</v>
      </c>
      <c r="AF24" s="2"/>
      <c r="AG24" s="28">
        <f t="shared" ref="AG24:AG28" si="20">AG25-10</f>
        <v>-50</v>
      </c>
      <c r="AH24" s="32">
        <f t="shared" ref="AH24:AH34" si="21">$AH$23*(1+(AG24/100))</f>
        <v>11346.734677419354</v>
      </c>
      <c r="AI24" s="31">
        <f t="dataTable" ref="AI24:AI34" dt2D="0" dtr="0" r1="B52" ca="1"/>
        <v>20882.975215605962</v>
      </c>
      <c r="AJ24" s="36">
        <f t="shared" ref="AJ24:AJ34" si="22">100*((AI24-$AI$29)/$AI$29)</f>
        <v>-39.227639563880047</v>
      </c>
      <c r="AK24" s="2"/>
      <c r="AL24" s="77">
        <v>-30</v>
      </c>
      <c r="AM24" s="78">
        <f t="shared" ref="AM24:AM32" si="23">AJ26</f>
        <v>-23.536583738328037</v>
      </c>
      <c r="AN24" s="78">
        <f t="shared" si="14"/>
        <v>-3.1753739313755061</v>
      </c>
      <c r="AO24" s="79">
        <f t="shared" si="12"/>
        <v>-5.6892251146847528</v>
      </c>
      <c r="AP24" s="79">
        <f t="shared" si="13"/>
        <v>-16.137997510303119</v>
      </c>
      <c r="AQ24" s="79">
        <f t="shared" si="15"/>
        <v>-3.357215491924336</v>
      </c>
      <c r="AR24" s="53">
        <f t="shared" si="16"/>
        <v>4.0944199307594555</v>
      </c>
      <c r="AS24" s="35"/>
      <c r="AT24" s="35"/>
      <c r="AU24" s="35"/>
      <c r="AV24" s="35"/>
      <c r="AW24" s="35"/>
      <c r="AX24" s="35"/>
      <c r="AY24" s="35"/>
    </row>
    <row r="25" spans="1:51" ht="15.75" customHeight="1" x14ac:dyDescent="0.25">
      <c r="A25" s="13"/>
      <c r="B25" s="2"/>
      <c r="C25" s="2"/>
      <c r="D25" s="2"/>
      <c r="E25" s="2"/>
      <c r="F25" s="2"/>
      <c r="G25" s="2"/>
      <c r="H25" s="14"/>
      <c r="I25" s="67" t="s">
        <v>155</v>
      </c>
      <c r="J25" s="67">
        <v>1.3</v>
      </c>
      <c r="K25" s="67" t="s">
        <v>156</v>
      </c>
      <c r="L25" s="65"/>
      <c r="M25" s="2"/>
      <c r="N25" s="11">
        <f t="shared" si="10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1">
        <f t="shared" si="5"/>
        <v>0</v>
      </c>
      <c r="U25" s="21">
        <f t="shared" si="6"/>
        <v>0</v>
      </c>
      <c r="V25" s="21">
        <f t="shared" si="7"/>
        <v>0</v>
      </c>
      <c r="W25" s="20">
        <f t="shared" si="11"/>
        <v>0</v>
      </c>
      <c r="X25" s="17">
        <f t="shared" si="0"/>
        <v>0</v>
      </c>
      <c r="Y25" s="3"/>
      <c r="Z25" s="6">
        <f t="shared" si="9"/>
        <v>0</v>
      </c>
      <c r="AA25" s="2"/>
      <c r="AB25" s="28">
        <f t="shared" si="17"/>
        <v>-40</v>
      </c>
      <c r="AC25" s="30">
        <f t="shared" si="18"/>
        <v>9.5496774193548378E-2</v>
      </c>
      <c r="AD25" s="31">
        <v>32907.764325700082</v>
      </c>
      <c r="AE25" s="36">
        <f t="shared" si="19"/>
        <v>-4.2338319085006537</v>
      </c>
      <c r="AF25" s="2"/>
      <c r="AG25" s="28">
        <f t="shared" si="20"/>
        <v>-40</v>
      </c>
      <c r="AH25" s="32">
        <f t="shared" si="21"/>
        <v>13616.081612903225</v>
      </c>
      <c r="AI25" s="31">
        <v>23578.90415073531</v>
      </c>
      <c r="AJ25" s="36">
        <f t="shared" si="22"/>
        <v>-31.382111651104051</v>
      </c>
      <c r="AK25" s="2"/>
      <c r="AL25" s="77">
        <v>-20</v>
      </c>
      <c r="AM25" s="78">
        <f t="shared" si="23"/>
        <v>-15.691055825552025</v>
      </c>
      <c r="AN25" s="78">
        <f t="shared" si="14"/>
        <v>-2.1169159542503371</v>
      </c>
      <c r="AO25" s="79">
        <f t="shared" si="12"/>
        <v>-3.7928167431231472</v>
      </c>
      <c r="AP25" s="79">
        <f t="shared" si="13"/>
        <v>-5.7753325620440759</v>
      </c>
      <c r="AQ25" s="79">
        <f t="shared" si="15"/>
        <v>-2.2381436612828978</v>
      </c>
      <c r="AR25" s="53">
        <f t="shared" si="16"/>
        <v>2.7296132871728997</v>
      </c>
      <c r="AS25" s="35"/>
      <c r="AT25" s="35"/>
      <c r="AU25" s="35"/>
      <c r="AV25" s="35"/>
      <c r="AW25" s="35"/>
      <c r="AX25" s="35"/>
      <c r="AY25" s="35"/>
    </row>
    <row r="26" spans="1:5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 t="s">
        <v>166</v>
      </c>
      <c r="J26" s="71">
        <f>J12/2</f>
        <v>150</v>
      </c>
      <c r="K26" s="39" t="s">
        <v>161</v>
      </c>
      <c r="L26" s="40"/>
      <c r="M26" s="2"/>
      <c r="N26" s="11">
        <f t="shared" si="10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1">
        <f t="shared" si="5"/>
        <v>0</v>
      </c>
      <c r="U26" s="21">
        <f t="shared" si="6"/>
        <v>0</v>
      </c>
      <c r="V26" s="21">
        <f t="shared" si="7"/>
        <v>0</v>
      </c>
      <c r="W26" s="20">
        <f t="shared" si="11"/>
        <v>0</v>
      </c>
      <c r="X26" s="17">
        <f t="shared" si="0"/>
        <v>0</v>
      </c>
      <c r="Y26" s="3"/>
      <c r="Z26" s="6">
        <f t="shared" si="9"/>
        <v>0</v>
      </c>
      <c r="AA26" s="2"/>
      <c r="AB26" s="28">
        <f t="shared" si="17"/>
        <v>-30</v>
      </c>
      <c r="AC26" s="30">
        <f t="shared" si="18"/>
        <v>0.11141290322580644</v>
      </c>
      <c r="AD26" s="31">
        <v>33271.478217088239</v>
      </c>
      <c r="AE26" s="36">
        <f t="shared" si="19"/>
        <v>-3.1753739313755061</v>
      </c>
      <c r="AF26" s="2"/>
      <c r="AG26" s="28">
        <f t="shared" si="20"/>
        <v>-30</v>
      </c>
      <c r="AH26" s="32">
        <f t="shared" si="21"/>
        <v>15885.428548387094</v>
      </c>
      <c r="AI26" s="31">
        <v>26274.833085864666</v>
      </c>
      <c r="AJ26" s="36">
        <f t="shared" si="22"/>
        <v>-23.536583738328037</v>
      </c>
      <c r="AK26" s="2"/>
      <c r="AL26" s="77">
        <v>-10</v>
      </c>
      <c r="AM26" s="78">
        <f t="shared" si="23"/>
        <v>-7.8455279127760127</v>
      </c>
      <c r="AN26" s="78">
        <f t="shared" si="14"/>
        <v>-1.0584579771251685</v>
      </c>
      <c r="AO26" s="79">
        <f t="shared" si="12"/>
        <v>-1.8964083715615632</v>
      </c>
      <c r="AP26" s="79">
        <f t="shared" si="13"/>
        <v>-2.4838784742279518</v>
      </c>
      <c r="AQ26" s="79">
        <f t="shared" si="15"/>
        <v>-1.1190718306414595</v>
      </c>
      <c r="AR26" s="53">
        <f t="shared" si="16"/>
        <v>1.3648066435864923</v>
      </c>
      <c r="AS26" s="35"/>
      <c r="AT26" s="35"/>
      <c r="AU26" s="35"/>
      <c r="AV26" s="35"/>
      <c r="AW26" s="35"/>
      <c r="AX26" s="35"/>
      <c r="AY26" s="35"/>
    </row>
    <row r="27" spans="1:5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10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1">
        <f t="shared" si="5"/>
        <v>0</v>
      </c>
      <c r="U27" s="21">
        <f t="shared" si="6"/>
        <v>0</v>
      </c>
      <c r="V27" s="21">
        <f t="shared" si="7"/>
        <v>0</v>
      </c>
      <c r="W27" s="20">
        <f t="shared" si="11"/>
        <v>0</v>
      </c>
      <c r="X27" s="17">
        <f t="shared" si="0"/>
        <v>0</v>
      </c>
      <c r="Y27" s="3"/>
      <c r="Z27" s="6">
        <f t="shared" si="9"/>
        <v>0</v>
      </c>
      <c r="AA27" s="2"/>
      <c r="AB27" s="28">
        <f t="shared" si="17"/>
        <v>-20</v>
      </c>
      <c r="AC27" s="30">
        <f t="shared" si="18"/>
        <v>0.12732903225806452</v>
      </c>
      <c r="AD27" s="31">
        <v>33635.192108476404</v>
      </c>
      <c r="AE27" s="36">
        <f t="shared" si="19"/>
        <v>-2.1169159542503371</v>
      </c>
      <c r="AF27" s="2"/>
      <c r="AG27" s="28">
        <f t="shared" si="20"/>
        <v>-20</v>
      </c>
      <c r="AH27" s="32">
        <f t="shared" si="21"/>
        <v>18154.775483870966</v>
      </c>
      <c r="AI27" s="31">
        <v>28970.762020994021</v>
      </c>
      <c r="AJ27" s="36">
        <f t="shared" si="22"/>
        <v>-15.691055825552025</v>
      </c>
      <c r="AK27" s="2"/>
      <c r="AL27" s="77">
        <v>0</v>
      </c>
      <c r="AM27" s="78">
        <f t="shared" si="23"/>
        <v>0</v>
      </c>
      <c r="AN27" s="78">
        <f t="shared" si="14"/>
        <v>0</v>
      </c>
      <c r="AO27" s="79">
        <f t="shared" si="12"/>
        <v>0</v>
      </c>
      <c r="AP27" s="79">
        <f t="shared" si="13"/>
        <v>0</v>
      </c>
      <c r="AQ27" s="79">
        <f t="shared" si="15"/>
        <v>0</v>
      </c>
      <c r="AR27" s="53">
        <f t="shared" si="16"/>
        <v>0</v>
      </c>
      <c r="AS27" s="35"/>
      <c r="AT27" s="35"/>
      <c r="AU27" s="35"/>
      <c r="AV27" s="35"/>
      <c r="AW27" s="35"/>
      <c r="AX27" s="35"/>
      <c r="AY27" s="35"/>
    </row>
    <row r="28" spans="1:5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10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1">
        <f t="shared" si="5"/>
        <v>0</v>
      </c>
      <c r="U28" s="21">
        <f t="shared" si="6"/>
        <v>0</v>
      </c>
      <c r="V28" s="21">
        <f t="shared" si="7"/>
        <v>0</v>
      </c>
      <c r="W28" s="20">
        <f t="shared" si="11"/>
        <v>0</v>
      </c>
      <c r="X28" s="17">
        <f t="shared" si="0"/>
        <v>0</v>
      </c>
      <c r="Y28" s="3"/>
      <c r="Z28" s="6">
        <f t="shared" si="9"/>
        <v>0</v>
      </c>
      <c r="AA28" s="2"/>
      <c r="AB28" s="28">
        <f t="shared" si="17"/>
        <v>-10</v>
      </c>
      <c r="AC28" s="30">
        <f t="shared" si="18"/>
        <v>0.14324516129032258</v>
      </c>
      <c r="AD28" s="31">
        <v>33998.905999864568</v>
      </c>
      <c r="AE28" s="36">
        <f t="shared" si="19"/>
        <v>-1.0584579771251685</v>
      </c>
      <c r="AF28" s="2"/>
      <c r="AG28" s="28">
        <f t="shared" si="20"/>
        <v>-10</v>
      </c>
      <c r="AH28" s="32">
        <f t="shared" si="21"/>
        <v>20424.122419354837</v>
      </c>
      <c r="AI28" s="31">
        <v>31666.690956123377</v>
      </c>
      <c r="AJ28" s="36">
        <f t="shared" si="22"/>
        <v>-7.8455279127760127</v>
      </c>
      <c r="AK28" s="2"/>
      <c r="AL28" s="77">
        <v>10</v>
      </c>
      <c r="AM28" s="78">
        <f t="shared" si="23"/>
        <v>7.8455279127760127</v>
      </c>
      <c r="AN28" s="78">
        <f t="shared" si="14"/>
        <v>1.0584579771251263</v>
      </c>
      <c r="AO28" s="79">
        <f t="shared" si="12"/>
        <v>1.8964083715615845</v>
      </c>
      <c r="AP28" s="79">
        <f t="shared" si="13"/>
        <v>2.9181965786088901</v>
      </c>
      <c r="AQ28" s="79">
        <f t="shared" si="15"/>
        <v>1.1190718306414384</v>
      </c>
      <c r="AR28" s="53">
        <f t="shared" si="16"/>
        <v>-1.3648066435864712</v>
      </c>
      <c r="AS28" s="35"/>
      <c r="AT28" s="35"/>
      <c r="AU28" s="35"/>
      <c r="AV28" s="35"/>
      <c r="AW28" s="35"/>
      <c r="AX28" s="35"/>
      <c r="AY28" s="35"/>
    </row>
    <row r="29" spans="1:5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10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1">
        <f t="shared" si="5"/>
        <v>0</v>
      </c>
      <c r="U29" s="21">
        <f t="shared" si="6"/>
        <v>0</v>
      </c>
      <c r="V29" s="21">
        <f t="shared" si="7"/>
        <v>0</v>
      </c>
      <c r="W29" s="20">
        <f t="shared" si="11"/>
        <v>0</v>
      </c>
      <c r="X29" s="17">
        <f t="shared" si="0"/>
        <v>0</v>
      </c>
      <c r="Y29" s="3"/>
      <c r="Z29" s="6">
        <f t="shared" si="9"/>
        <v>0</v>
      </c>
      <c r="AA29" s="2"/>
      <c r="AB29" s="41">
        <v>0</v>
      </c>
      <c r="AC29" s="55">
        <f t="shared" si="18"/>
        <v>0.15916129032258064</v>
      </c>
      <c r="AD29" s="42">
        <v>34362.619891252732</v>
      </c>
      <c r="AE29" s="56">
        <f t="shared" si="19"/>
        <v>0</v>
      </c>
      <c r="AF29" s="2"/>
      <c r="AG29" s="41">
        <v>0</v>
      </c>
      <c r="AH29" s="47">
        <f t="shared" si="21"/>
        <v>22693.469354838708</v>
      </c>
      <c r="AI29" s="42">
        <v>34362.619891252732</v>
      </c>
      <c r="AJ29" s="56">
        <f t="shared" si="22"/>
        <v>0</v>
      </c>
      <c r="AK29" s="2"/>
      <c r="AL29" s="77">
        <v>20</v>
      </c>
      <c r="AM29" s="78">
        <f t="shared" si="23"/>
        <v>15.691055825552006</v>
      </c>
      <c r="AN29" s="78">
        <f t="shared" si="14"/>
        <v>2.1169159542502949</v>
      </c>
      <c r="AO29" s="79">
        <f t="shared" si="12"/>
        <v>3.792816743123169</v>
      </c>
      <c r="AP29" s="79">
        <f t="shared" si="13"/>
        <v>5.8581090624368217</v>
      </c>
      <c r="AQ29" s="79">
        <f t="shared" si="15"/>
        <v>2.2381436612828769</v>
      </c>
      <c r="AR29" s="53">
        <f t="shared" si="16"/>
        <v>-2.7296132871729846</v>
      </c>
      <c r="AS29" s="35"/>
      <c r="AT29" s="35"/>
      <c r="AU29" s="35"/>
      <c r="AV29" s="35"/>
      <c r="AW29" s="35"/>
      <c r="AX29" s="35"/>
      <c r="AY29" s="35"/>
    </row>
    <row r="30" spans="1:5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 t="s">
        <v>94</v>
      </c>
      <c r="J30" s="43"/>
      <c r="K30" s="8"/>
      <c r="L30" s="9"/>
      <c r="M30" s="2"/>
      <c r="N30" s="11">
        <f t="shared" si="10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1">
        <f t="shared" si="5"/>
        <v>0</v>
      </c>
      <c r="U30" s="21">
        <f t="shared" si="6"/>
        <v>0</v>
      </c>
      <c r="V30" s="21">
        <f t="shared" si="7"/>
        <v>0</v>
      </c>
      <c r="W30" s="20">
        <f t="shared" si="11"/>
        <v>0</v>
      </c>
      <c r="X30" s="17">
        <f t="shared" si="0"/>
        <v>0</v>
      </c>
      <c r="Y30" s="3"/>
      <c r="Z30" s="6">
        <f t="shared" si="9"/>
        <v>0</v>
      </c>
      <c r="AA30" s="2"/>
      <c r="AB30" s="28">
        <f t="shared" ref="AB30:AB34" si="24">AB29+10</f>
        <v>10</v>
      </c>
      <c r="AC30" s="30">
        <f t="shared" si="18"/>
        <v>0.17507741935483873</v>
      </c>
      <c r="AD30" s="31">
        <v>34726.333782640882</v>
      </c>
      <c r="AE30" s="36">
        <f t="shared" si="19"/>
        <v>1.0584579771251263</v>
      </c>
      <c r="AF30" s="2"/>
      <c r="AG30" s="28">
        <f t="shared" ref="AG30:AG34" si="25">AG29+10</f>
        <v>10</v>
      </c>
      <c r="AH30" s="32">
        <f t="shared" si="21"/>
        <v>24962.816290322582</v>
      </c>
      <c r="AI30" s="31">
        <v>37058.548826382088</v>
      </c>
      <c r="AJ30" s="36">
        <f t="shared" si="22"/>
        <v>7.8455279127760127</v>
      </c>
      <c r="AK30" s="2"/>
      <c r="AL30" s="77">
        <v>30</v>
      </c>
      <c r="AM30" s="78">
        <f t="shared" si="23"/>
        <v>23.536583738328019</v>
      </c>
      <c r="AN30" s="78">
        <f t="shared" si="14"/>
        <v>3.1753739313754634</v>
      </c>
      <c r="AO30" s="79">
        <f t="shared" si="12"/>
        <v>5.6892251146847315</v>
      </c>
      <c r="AP30" s="79">
        <f t="shared" si="13"/>
        <v>8.3419875366647744</v>
      </c>
      <c r="AQ30" s="79">
        <f t="shared" si="15"/>
        <v>3.3572154919243578</v>
      </c>
      <c r="AR30" s="53">
        <f t="shared" si="16"/>
        <v>-4.0944199307594769</v>
      </c>
      <c r="AS30" s="35"/>
      <c r="AT30" s="35"/>
      <c r="AU30" s="35"/>
      <c r="AV30" s="35"/>
      <c r="AW30" s="35"/>
      <c r="AX30" s="35"/>
      <c r="AY30" s="35"/>
    </row>
    <row r="31" spans="1:51" ht="15.75" customHeight="1" x14ac:dyDescent="0.25">
      <c r="A31" s="24" t="s">
        <v>171</v>
      </c>
      <c r="B31" s="6">
        <f t="shared" ref="B31:B32" si="26">IF(B11=0,0,-(B11/100)*$B$50)</f>
        <v>0</v>
      </c>
      <c r="C31" s="2" t="s">
        <v>3</v>
      </c>
      <c r="D31" s="2"/>
      <c r="E31" s="15" t="s">
        <v>95</v>
      </c>
      <c r="F31" s="23">
        <f>(J21/100)*B52</f>
        <v>6808.0408064516123</v>
      </c>
      <c r="G31" s="2" t="s">
        <v>3</v>
      </c>
      <c r="H31" s="2"/>
      <c r="I31" s="15" t="s">
        <v>96</v>
      </c>
      <c r="J31" s="35">
        <f>ROUNDDOWN(J11/(F12/J12),0)</f>
        <v>8</v>
      </c>
      <c r="K31" s="2" t="s">
        <v>53</v>
      </c>
      <c r="L31" s="14"/>
      <c r="M31" s="2"/>
      <c r="N31" s="11">
        <f t="shared" si="10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1">
        <f t="shared" si="5"/>
        <v>0</v>
      </c>
      <c r="U31" s="21">
        <f t="shared" si="6"/>
        <v>0</v>
      </c>
      <c r="V31" s="21">
        <f t="shared" si="7"/>
        <v>0</v>
      </c>
      <c r="W31" s="20">
        <f t="shared" si="11"/>
        <v>0</v>
      </c>
      <c r="X31" s="17">
        <f t="shared" si="0"/>
        <v>0</v>
      </c>
      <c r="Y31" s="3"/>
      <c r="Z31" s="6">
        <f t="shared" si="9"/>
        <v>0</v>
      </c>
      <c r="AA31" s="2"/>
      <c r="AB31" s="28">
        <f t="shared" si="24"/>
        <v>20</v>
      </c>
      <c r="AC31" s="30">
        <f t="shared" si="18"/>
        <v>0.19099354838709676</v>
      </c>
      <c r="AD31" s="31">
        <v>35090.047674029047</v>
      </c>
      <c r="AE31" s="36">
        <f t="shared" si="19"/>
        <v>2.1169159542502949</v>
      </c>
      <c r="AF31" s="2"/>
      <c r="AG31" s="28">
        <f t="shared" si="25"/>
        <v>20</v>
      </c>
      <c r="AH31" s="32">
        <f t="shared" si="21"/>
        <v>27232.163225806449</v>
      </c>
      <c r="AI31" s="31">
        <v>39754.477761511436</v>
      </c>
      <c r="AJ31" s="36">
        <f t="shared" si="22"/>
        <v>15.691055825552006</v>
      </c>
      <c r="AK31" s="2"/>
      <c r="AL31" s="77">
        <v>40</v>
      </c>
      <c r="AM31" s="78">
        <f t="shared" si="23"/>
        <v>31.382111651104012</v>
      </c>
      <c r="AN31" s="78">
        <f t="shared" si="14"/>
        <v>4.2338319085006102</v>
      </c>
      <c r="AO31" s="79">
        <f t="shared" si="12"/>
        <v>7.5856334862463379</v>
      </c>
      <c r="AP31" s="79">
        <f t="shared" si="13"/>
        <v>19.183488195003829</v>
      </c>
      <c r="AQ31" s="79">
        <f t="shared" si="15"/>
        <v>4.4762873225657751</v>
      </c>
      <c r="AR31" s="53">
        <f t="shared" si="16"/>
        <v>-5.4592265743459585</v>
      </c>
      <c r="AS31" s="35"/>
      <c r="AT31" s="35"/>
      <c r="AU31" s="35"/>
      <c r="AV31" s="35"/>
      <c r="AW31" s="35"/>
      <c r="AX31" s="35"/>
      <c r="AY31" s="35"/>
    </row>
    <row r="32" spans="1:51" ht="15.75" customHeight="1" x14ac:dyDescent="0.25">
      <c r="A32" s="24" t="s">
        <v>44</v>
      </c>
      <c r="B32" s="6">
        <f t="shared" si="26"/>
        <v>0</v>
      </c>
      <c r="C32" s="2" t="s">
        <v>3</v>
      </c>
      <c r="D32" s="2"/>
      <c r="E32" s="15" t="s">
        <v>97</v>
      </c>
      <c r="F32" s="6">
        <f>B52-F31</f>
        <v>15885.428548387095</v>
      </c>
      <c r="G32" s="2" t="s">
        <v>3</v>
      </c>
      <c r="H32" s="2"/>
      <c r="I32" s="15" t="s">
        <v>59</v>
      </c>
      <c r="J32" s="26">
        <f>IF(J24="Yes",SUM(F50:F51),0)</f>
        <v>0</v>
      </c>
      <c r="K32" s="2" t="s">
        <v>49</v>
      </c>
      <c r="L32" s="14"/>
      <c r="M32" s="2"/>
      <c r="N32" s="11">
        <f t="shared" si="10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1">
        <f t="shared" si="5"/>
        <v>0</v>
      </c>
      <c r="U32" s="21">
        <f t="shared" si="6"/>
        <v>0</v>
      </c>
      <c r="V32" s="21">
        <f t="shared" si="7"/>
        <v>0</v>
      </c>
      <c r="W32" s="20">
        <f t="shared" si="11"/>
        <v>0</v>
      </c>
      <c r="X32" s="17">
        <f t="shared" si="0"/>
        <v>0</v>
      </c>
      <c r="Y32" s="3"/>
      <c r="Z32" s="6">
        <f t="shared" si="9"/>
        <v>0</v>
      </c>
      <c r="AA32" s="2"/>
      <c r="AB32" s="28">
        <f t="shared" si="24"/>
        <v>30</v>
      </c>
      <c r="AC32" s="30">
        <f t="shared" si="18"/>
        <v>0.20690967741935484</v>
      </c>
      <c r="AD32" s="31">
        <v>35453.761565417211</v>
      </c>
      <c r="AE32" s="36">
        <f t="shared" si="19"/>
        <v>3.1753739313754634</v>
      </c>
      <c r="AF32" s="2"/>
      <c r="AG32" s="28">
        <f t="shared" si="25"/>
        <v>30</v>
      </c>
      <c r="AH32" s="32">
        <f t="shared" si="21"/>
        <v>29501.51016129032</v>
      </c>
      <c r="AI32" s="31">
        <v>42450.406696640792</v>
      </c>
      <c r="AJ32" s="36">
        <f t="shared" si="22"/>
        <v>23.536583738328019</v>
      </c>
      <c r="AK32" s="2"/>
      <c r="AL32" s="77">
        <v>50</v>
      </c>
      <c r="AM32" s="78">
        <f t="shared" si="23"/>
        <v>39.227639563880004</v>
      </c>
      <c r="AN32" s="78">
        <f t="shared" si="14"/>
        <v>5.2922898856258005</v>
      </c>
      <c r="AO32" s="79">
        <f t="shared" si="12"/>
        <v>9.4820418578079213</v>
      </c>
      <c r="AP32" s="79">
        <f t="shared" si="13"/>
        <v>21.667366669231779</v>
      </c>
      <c r="AQ32" s="79">
        <f t="shared" si="15"/>
        <v>5.5953591532071707</v>
      </c>
      <c r="AR32" s="53">
        <f t="shared" si="16"/>
        <v>-6.8240332179324401</v>
      </c>
      <c r="AS32" s="35"/>
      <c r="AT32" s="35"/>
      <c r="AU32" s="35"/>
      <c r="AV32" s="35"/>
      <c r="AW32" s="35"/>
      <c r="AX32" s="35"/>
      <c r="AY32" s="35"/>
    </row>
    <row r="33" spans="1:51" ht="15.75" customHeight="1" x14ac:dyDescent="0.25">
      <c r="A33" s="24" t="s">
        <v>50</v>
      </c>
      <c r="B33" s="6">
        <f>IF(B13=0,0,(B13/100)*B49)</f>
        <v>1776.7129032258065</v>
      </c>
      <c r="C33" s="2" t="s">
        <v>3</v>
      </c>
      <c r="D33" s="2"/>
      <c r="E33" s="15" t="s">
        <v>98</v>
      </c>
      <c r="F33" s="23">
        <f>F32*(F23/100)*J20</f>
        <v>7386.7242750000005</v>
      </c>
      <c r="G33" s="2" t="s">
        <v>3</v>
      </c>
      <c r="H33" s="2"/>
      <c r="I33" s="2"/>
      <c r="J33" s="2"/>
      <c r="K33" s="2"/>
      <c r="L33" s="14"/>
      <c r="M33" s="2"/>
      <c r="N33" s="11">
        <f t="shared" si="10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1">
        <f t="shared" si="5"/>
        <v>0</v>
      </c>
      <c r="U33" s="21">
        <f t="shared" si="6"/>
        <v>0</v>
      </c>
      <c r="V33" s="21">
        <f t="shared" si="7"/>
        <v>0</v>
      </c>
      <c r="W33" s="20">
        <f t="shared" si="11"/>
        <v>0</v>
      </c>
      <c r="X33" s="17">
        <f t="shared" si="0"/>
        <v>0</v>
      </c>
      <c r="Y33" s="3"/>
      <c r="Z33" s="6">
        <f t="shared" si="9"/>
        <v>0</v>
      </c>
      <c r="AA33" s="2"/>
      <c r="AB33" s="28">
        <f t="shared" si="24"/>
        <v>40</v>
      </c>
      <c r="AC33" s="30">
        <f t="shared" si="18"/>
        <v>0.22282580645161287</v>
      </c>
      <c r="AD33" s="31">
        <v>35817.475456805369</v>
      </c>
      <c r="AE33" s="36">
        <f t="shared" si="19"/>
        <v>4.2338319085006102</v>
      </c>
      <c r="AF33" s="2"/>
      <c r="AG33" s="28">
        <f t="shared" si="25"/>
        <v>40</v>
      </c>
      <c r="AH33" s="32">
        <f t="shared" si="21"/>
        <v>31770.857096774187</v>
      </c>
      <c r="AI33" s="31">
        <v>45146.33563177014</v>
      </c>
      <c r="AJ33" s="36">
        <f t="shared" si="22"/>
        <v>31.382111651104012</v>
      </c>
      <c r="AK33" s="2"/>
      <c r="AL33" s="29"/>
      <c r="AM33" s="33"/>
      <c r="AN33" s="34"/>
      <c r="AO33" s="37"/>
      <c r="AP33" s="2"/>
      <c r="AQ33" s="35"/>
      <c r="AR33" s="35"/>
      <c r="AS33" s="35"/>
      <c r="AT33" s="35"/>
      <c r="AU33" s="35"/>
      <c r="AV33" s="35"/>
      <c r="AW33" s="35"/>
      <c r="AX33" s="35"/>
      <c r="AY33" s="35"/>
    </row>
    <row r="34" spans="1:51" ht="15.75" customHeight="1" x14ac:dyDescent="0.25">
      <c r="A34" s="24" t="s">
        <v>99</v>
      </c>
      <c r="B34" s="6">
        <f t="shared" ref="B34:B35" si="27">IF(B14=0,0,(B14/100)*$B$49)</f>
        <v>1211.3951612903224</v>
      </c>
      <c r="C34" s="2" t="s">
        <v>3</v>
      </c>
      <c r="D34" s="2"/>
      <c r="E34" s="2"/>
      <c r="F34" s="35"/>
      <c r="G34" s="2"/>
      <c r="H34" s="2"/>
      <c r="I34" s="15" t="s">
        <v>100</v>
      </c>
      <c r="J34" s="6">
        <f>F12*B5</f>
        <v>200000</v>
      </c>
      <c r="K34" s="2" t="s">
        <v>101</v>
      </c>
      <c r="L34" s="14"/>
      <c r="M34" s="2"/>
      <c r="N34" s="11">
        <f t="shared" si="10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1">
        <f t="shared" si="5"/>
        <v>0</v>
      </c>
      <c r="U34" s="21">
        <f t="shared" si="6"/>
        <v>0</v>
      </c>
      <c r="V34" s="21">
        <f t="shared" si="7"/>
        <v>0</v>
      </c>
      <c r="W34" s="20">
        <f t="shared" si="11"/>
        <v>0</v>
      </c>
      <c r="X34" s="17">
        <f t="shared" si="0"/>
        <v>0</v>
      </c>
      <c r="Y34" s="3"/>
      <c r="Z34" s="6">
        <f t="shared" si="9"/>
        <v>0</v>
      </c>
      <c r="AA34" s="2"/>
      <c r="AB34" s="28">
        <f t="shared" si="24"/>
        <v>50</v>
      </c>
      <c r="AC34" s="30">
        <f t="shared" si="18"/>
        <v>0.23874193548387096</v>
      </c>
      <c r="AD34" s="31">
        <v>36181.18934819354</v>
      </c>
      <c r="AE34" s="36">
        <f t="shared" si="19"/>
        <v>5.2922898856258005</v>
      </c>
      <c r="AF34" s="2"/>
      <c r="AG34" s="28">
        <f t="shared" si="25"/>
        <v>50</v>
      </c>
      <c r="AH34" s="32">
        <f t="shared" si="21"/>
        <v>34040.204032258058</v>
      </c>
      <c r="AI34" s="31">
        <v>47842.264566899488</v>
      </c>
      <c r="AJ34" s="36">
        <f t="shared" si="22"/>
        <v>39.227639563880004</v>
      </c>
      <c r="AK34" s="2"/>
      <c r="AL34" s="29"/>
      <c r="AM34" s="33"/>
      <c r="AN34" s="34"/>
      <c r="AO34" s="37"/>
      <c r="AP34" s="2"/>
      <c r="AQ34" s="35"/>
      <c r="AR34" s="35"/>
      <c r="AS34" s="35"/>
      <c r="AT34" s="35"/>
      <c r="AU34" s="35"/>
      <c r="AV34" s="35"/>
      <c r="AW34" s="35"/>
      <c r="AX34" s="35"/>
      <c r="AY34" s="35"/>
    </row>
    <row r="35" spans="1:51" ht="15.75" customHeight="1" x14ac:dyDescent="0.25">
      <c r="A35" s="2" t="s">
        <v>102</v>
      </c>
      <c r="B35" s="5">
        <f t="shared" si="27"/>
        <v>3553.425806451613</v>
      </c>
      <c r="C35" s="2" t="s">
        <v>3</v>
      </c>
      <c r="D35" s="2"/>
      <c r="E35" s="1" t="s">
        <v>103</v>
      </c>
      <c r="F35" s="2"/>
      <c r="G35" s="2"/>
      <c r="H35" s="2"/>
      <c r="I35" s="2"/>
      <c r="J35" s="2"/>
      <c r="K35" s="2"/>
      <c r="L35" s="14"/>
      <c r="M35" s="2"/>
      <c r="N35" s="11">
        <f t="shared" si="10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1">
        <f t="shared" si="5"/>
        <v>0</v>
      </c>
      <c r="U35" s="21">
        <f t="shared" si="6"/>
        <v>0</v>
      </c>
      <c r="V35" s="21">
        <f t="shared" si="7"/>
        <v>0</v>
      </c>
      <c r="W35" s="20">
        <f t="shared" si="11"/>
        <v>0</v>
      </c>
      <c r="X35" s="17">
        <f t="shared" si="0"/>
        <v>0</v>
      </c>
      <c r="Y35" s="3"/>
      <c r="Z35" s="6">
        <f t="shared" si="9"/>
        <v>0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</row>
    <row r="36" spans="1:51" ht="15.75" customHeight="1" x14ac:dyDescent="0.25">
      <c r="A36" s="24" t="s">
        <v>179</v>
      </c>
      <c r="B36" s="6">
        <f t="shared" ref="B36:B40" si="28">IF(B18=0,0,(B18/100)*$B$49)</f>
        <v>0</v>
      </c>
      <c r="C36" s="2" t="s">
        <v>3</v>
      </c>
      <c r="D36" s="2"/>
      <c r="E36" s="15" t="s">
        <v>30</v>
      </c>
      <c r="F36" s="26">
        <f>F13/$B$8</f>
        <v>0.15916129032258064</v>
      </c>
      <c r="G36" s="2" t="s">
        <v>31</v>
      </c>
      <c r="H36" s="2"/>
      <c r="I36" s="2"/>
      <c r="J36" s="2"/>
      <c r="K36" s="2"/>
      <c r="L36" s="14"/>
      <c r="M36" s="2"/>
      <c r="N36" s="11">
        <f t="shared" si="10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1">
        <f t="shared" si="5"/>
        <v>0</v>
      </c>
      <c r="U36" s="21">
        <f t="shared" si="6"/>
        <v>0</v>
      </c>
      <c r="V36" s="21">
        <f t="shared" si="7"/>
        <v>0</v>
      </c>
      <c r="W36" s="20">
        <f t="shared" si="11"/>
        <v>0</v>
      </c>
      <c r="X36" s="17">
        <f t="shared" si="0"/>
        <v>0</v>
      </c>
      <c r="Y36" s="3"/>
      <c r="Z36" s="6">
        <f t="shared" si="9"/>
        <v>0</v>
      </c>
      <c r="AA36" s="2"/>
      <c r="AB36" s="27" t="s">
        <v>33</v>
      </c>
      <c r="AC36" s="28"/>
      <c r="AD36" s="28"/>
      <c r="AE36" s="28"/>
      <c r="AF36" s="2"/>
      <c r="AG36" s="27" t="s">
        <v>104</v>
      </c>
      <c r="AH36" s="28"/>
      <c r="AI36" s="28"/>
      <c r="AJ36" s="2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</row>
    <row r="37" spans="1:51" ht="15.75" customHeight="1" x14ac:dyDescent="0.25">
      <c r="A37" s="24" t="s">
        <v>180</v>
      </c>
      <c r="B37" s="6">
        <f t="shared" si="28"/>
        <v>0</v>
      </c>
      <c r="C37" s="2" t="s">
        <v>3</v>
      </c>
      <c r="D37" s="2"/>
      <c r="E37" s="15" t="s">
        <v>105</v>
      </c>
      <c r="F37" s="26">
        <f>(F21/((1-J14%)*J10))/B8</f>
        <v>4.8003072196620582E-2</v>
      </c>
      <c r="G37" s="2" t="s">
        <v>31</v>
      </c>
      <c r="H37" s="2"/>
      <c r="I37" s="1" t="s">
        <v>106</v>
      </c>
      <c r="J37" s="45">
        <f>SUM(J38:J42)</f>
        <v>522.12903225806451</v>
      </c>
      <c r="K37" s="1" t="s">
        <v>49</v>
      </c>
      <c r="L37" s="14"/>
      <c r="M37" s="2"/>
      <c r="N37" s="11">
        <f t="shared" si="10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1">
        <f t="shared" si="5"/>
        <v>0</v>
      </c>
      <c r="U37" s="21">
        <f t="shared" si="6"/>
        <v>0</v>
      </c>
      <c r="V37" s="21">
        <f t="shared" si="7"/>
        <v>0</v>
      </c>
      <c r="W37" s="20">
        <f t="shared" si="11"/>
        <v>0</v>
      </c>
      <c r="X37" s="17">
        <f t="shared" si="0"/>
        <v>0</v>
      </c>
      <c r="Y37" s="3"/>
      <c r="Z37" s="6">
        <f t="shared" si="9"/>
        <v>0</v>
      </c>
      <c r="AA37" s="2"/>
      <c r="AB37" s="28" t="s">
        <v>80</v>
      </c>
      <c r="AC37" s="28" t="s">
        <v>107</v>
      </c>
      <c r="AD37" s="28" t="s">
        <v>23</v>
      </c>
      <c r="AE37" s="28" t="s">
        <v>82</v>
      </c>
      <c r="AF37" s="2"/>
      <c r="AG37" s="28" t="s">
        <v>80</v>
      </c>
      <c r="AH37" s="28" t="s">
        <v>108</v>
      </c>
      <c r="AI37" s="28" t="s">
        <v>23</v>
      </c>
      <c r="AJ37" s="28" t="s">
        <v>82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</row>
    <row r="38" spans="1:51" ht="15.75" customHeight="1" x14ac:dyDescent="0.25">
      <c r="A38" s="24" t="s">
        <v>73</v>
      </c>
      <c r="B38" s="6">
        <f t="shared" si="28"/>
        <v>0</v>
      </c>
      <c r="C38" s="2" t="s">
        <v>3</v>
      </c>
      <c r="D38" s="2"/>
      <c r="E38" s="15" t="s">
        <v>109</v>
      </c>
      <c r="F38" s="26">
        <f>F36*J17</f>
        <v>2.2600903225806449E-2</v>
      </c>
      <c r="G38" s="2" t="s">
        <v>4</v>
      </c>
      <c r="H38" s="2"/>
      <c r="I38" s="15" t="s">
        <v>110</v>
      </c>
      <c r="J38" s="26">
        <f>F17/$B$8</f>
        <v>11.225806451612904</v>
      </c>
      <c r="K38" s="2" t="s">
        <v>49</v>
      </c>
      <c r="L38" s="14"/>
      <c r="M38" s="2"/>
      <c r="N38" s="11">
        <f t="shared" si="10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1">
        <f t="shared" si="5"/>
        <v>0</v>
      </c>
      <c r="U38" s="21">
        <f t="shared" si="6"/>
        <v>0</v>
      </c>
      <c r="V38" s="21">
        <f t="shared" si="7"/>
        <v>0</v>
      </c>
      <c r="W38" s="20">
        <f t="shared" si="11"/>
        <v>0</v>
      </c>
      <c r="X38" s="17">
        <f t="shared" si="0"/>
        <v>0</v>
      </c>
      <c r="Y38" s="3"/>
      <c r="Z38" s="6">
        <f t="shared" si="9"/>
        <v>0</v>
      </c>
      <c r="AA38" s="2"/>
      <c r="AB38" s="28" t="s">
        <v>86</v>
      </c>
      <c r="AC38" s="32">
        <v>4410</v>
      </c>
      <c r="AD38" s="31">
        <f>X49</f>
        <v>34362.619891252732</v>
      </c>
      <c r="AE38" s="28"/>
      <c r="AF38" s="2"/>
      <c r="AG38" s="28" t="s">
        <v>86</v>
      </c>
      <c r="AH38" s="32">
        <v>20000</v>
      </c>
      <c r="AI38" s="31">
        <f>X49</f>
        <v>34362.619891252732</v>
      </c>
      <c r="AJ38" s="28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</row>
    <row r="39" spans="1:51" ht="15.75" customHeight="1" x14ac:dyDescent="0.25">
      <c r="A39" s="24" t="s">
        <v>75</v>
      </c>
      <c r="B39" s="6">
        <f t="shared" si="28"/>
        <v>0</v>
      </c>
      <c r="C39" s="2" t="s">
        <v>3</v>
      </c>
      <c r="D39" s="2"/>
      <c r="E39" s="2"/>
      <c r="F39" s="2"/>
      <c r="G39" s="2"/>
      <c r="H39" s="2"/>
      <c r="I39" s="15" t="s">
        <v>74</v>
      </c>
      <c r="J39" s="26">
        <f>F20/$B$8</f>
        <v>9.0322580645161299</v>
      </c>
      <c r="K39" s="2" t="s">
        <v>49</v>
      </c>
      <c r="L39" s="14"/>
      <c r="M39" s="2"/>
      <c r="N39" s="11">
        <f t="shared" si="10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1">
        <f t="shared" si="5"/>
        <v>0</v>
      </c>
      <c r="U39" s="21">
        <f t="shared" si="6"/>
        <v>0</v>
      </c>
      <c r="V39" s="21">
        <f t="shared" si="7"/>
        <v>0</v>
      </c>
      <c r="W39" s="20">
        <f t="shared" si="11"/>
        <v>0</v>
      </c>
      <c r="X39" s="17">
        <f t="shared" si="0"/>
        <v>0</v>
      </c>
      <c r="Y39" s="3"/>
      <c r="Z39" s="6">
        <f t="shared" si="9"/>
        <v>0</v>
      </c>
      <c r="AA39" s="2"/>
      <c r="AB39" s="28">
        <f t="shared" ref="AB39:AB43" si="29">AB40-10</f>
        <v>-50</v>
      </c>
      <c r="AC39" s="32">
        <f t="shared" ref="AC39:AC49" si="30">$AC$38*(1+(AB39/100))</f>
        <v>2205</v>
      </c>
      <c r="AD39" s="31">
        <f t="dataTable" ref="AD39:AD49" dt2D="0" dtr="0" r1="B48" ca="1"/>
        <v>31104.341889724732</v>
      </c>
      <c r="AE39" s="36">
        <f>100*((AD39-$AD$44)/$AD$44)</f>
        <v>-9.4820418578078804</v>
      </c>
      <c r="AF39" s="2"/>
      <c r="AG39" s="28">
        <f t="shared" ref="AG39:AG43" si="31">AG40-10</f>
        <v>-50</v>
      </c>
      <c r="AH39" s="32">
        <f t="shared" ref="AH39:AH49" si="32">$AH$38*(1+(AG39/100))</f>
        <v>10000</v>
      </c>
      <c r="AI39" s="31">
        <f t="dataTable" ref="AI39:AI49" dt2D="0" dtr="0" r1="F12" ca="1"/>
        <v>27110.129711408263</v>
      </c>
      <c r="AJ39" s="36">
        <f t="shared" ref="AJ39:AJ49" si="33">100*((AI39-$AI$44)/$AI$44)</f>
        <v>-21.10575445875897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</row>
    <row r="40" spans="1:51" ht="15.75" customHeight="1" x14ac:dyDescent="0.25">
      <c r="A40" s="24" t="s">
        <v>78</v>
      </c>
      <c r="B40" s="6">
        <f t="shared" si="28"/>
        <v>0</v>
      </c>
      <c r="C40" s="2" t="s">
        <v>3</v>
      </c>
      <c r="D40" s="2"/>
      <c r="E40" s="15" t="s">
        <v>111</v>
      </c>
      <c r="F40" s="26">
        <f>F37*F12*J17</f>
        <v>136.32872503840244</v>
      </c>
      <c r="G40" s="2" t="s">
        <v>49</v>
      </c>
      <c r="H40" s="2"/>
      <c r="I40" s="15" t="s">
        <v>63</v>
      </c>
      <c r="J40" s="26">
        <f>F16/$B$8</f>
        <v>0</v>
      </c>
      <c r="K40" s="2" t="s">
        <v>49</v>
      </c>
      <c r="L40" s="14"/>
      <c r="M40" s="2"/>
      <c r="N40" s="11">
        <f t="shared" si="10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1">
        <f t="shared" si="5"/>
        <v>0</v>
      </c>
      <c r="U40" s="21">
        <f t="shared" si="6"/>
        <v>0</v>
      </c>
      <c r="V40" s="21">
        <f t="shared" si="7"/>
        <v>0</v>
      </c>
      <c r="W40" s="20">
        <f t="shared" si="11"/>
        <v>0</v>
      </c>
      <c r="X40" s="17">
        <f t="shared" si="0"/>
        <v>0</v>
      </c>
      <c r="Y40" s="3"/>
      <c r="Z40" s="6">
        <f t="shared" si="9"/>
        <v>0</v>
      </c>
      <c r="AA40" s="2"/>
      <c r="AB40" s="28">
        <f t="shared" si="29"/>
        <v>-40</v>
      </c>
      <c r="AC40" s="32">
        <f t="shared" si="30"/>
        <v>2646</v>
      </c>
      <c r="AD40" s="31">
        <v>31755.997490030328</v>
      </c>
      <c r="AE40" s="36">
        <f t="shared" ref="AE40:AE49" si="34">100*((AD40-$AD$29)/$AD$29)</f>
        <v>-7.5856334862463166</v>
      </c>
      <c r="AF40" s="2"/>
      <c r="AG40" s="28">
        <f t="shared" si="31"/>
        <v>-40</v>
      </c>
      <c r="AH40" s="32">
        <f t="shared" si="32"/>
        <v>12000</v>
      </c>
      <c r="AI40" s="31">
        <v>27963.655430067854</v>
      </c>
      <c r="AJ40" s="36">
        <f t="shared" si="33"/>
        <v>-18.621875984531037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</row>
    <row r="41" spans="1:51" ht="15.75" customHeight="1" x14ac:dyDescent="0.25">
      <c r="A41" s="2"/>
      <c r="B41" s="2"/>
      <c r="C41" s="2"/>
      <c r="D41" s="2"/>
      <c r="E41" s="15" t="s">
        <v>112</v>
      </c>
      <c r="F41" s="35">
        <f>F38*F12</f>
        <v>452.01806451612896</v>
      </c>
      <c r="G41" s="25" t="s">
        <v>49</v>
      </c>
      <c r="H41" s="2"/>
      <c r="I41" s="2" t="s">
        <v>88</v>
      </c>
      <c r="J41" s="35">
        <f>F24/B8</f>
        <v>3.870967741935484</v>
      </c>
      <c r="K41" s="2" t="s">
        <v>49</v>
      </c>
      <c r="L41" s="14"/>
      <c r="M41" s="2"/>
      <c r="N41" s="11">
        <f t="shared" si="10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1">
        <f t="shared" si="5"/>
        <v>0</v>
      </c>
      <c r="U41" s="21">
        <f t="shared" si="6"/>
        <v>0</v>
      </c>
      <c r="V41" s="21">
        <f t="shared" si="7"/>
        <v>0</v>
      </c>
      <c r="W41" s="20">
        <f t="shared" si="11"/>
        <v>0</v>
      </c>
      <c r="X41" s="17">
        <f t="shared" si="0"/>
        <v>0</v>
      </c>
      <c r="Y41" s="3"/>
      <c r="Z41" s="6">
        <f t="shared" si="9"/>
        <v>0</v>
      </c>
      <c r="AA41" s="2"/>
      <c r="AB41" s="28">
        <f t="shared" si="29"/>
        <v>-30</v>
      </c>
      <c r="AC41" s="32">
        <f t="shared" si="30"/>
        <v>3087</v>
      </c>
      <c r="AD41" s="31">
        <v>32407.653090335923</v>
      </c>
      <c r="AE41" s="36">
        <f t="shared" si="34"/>
        <v>-5.6892251146847528</v>
      </c>
      <c r="AF41" s="2"/>
      <c r="AG41" s="28">
        <f t="shared" si="31"/>
        <v>-30</v>
      </c>
      <c r="AH41" s="32">
        <f t="shared" si="32"/>
        <v>14000</v>
      </c>
      <c r="AI41" s="31">
        <v>28817.181148727443</v>
      </c>
      <c r="AJ41" s="36">
        <f t="shared" si="33"/>
        <v>-16.137997510303119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</row>
    <row r="42" spans="1:51" ht="15.75" customHeight="1" x14ac:dyDescent="0.25">
      <c r="A42" s="2"/>
      <c r="B42" s="2"/>
      <c r="C42" s="2"/>
      <c r="D42" s="2"/>
      <c r="E42" s="2"/>
      <c r="F42" s="2"/>
      <c r="G42" s="2"/>
      <c r="H42" s="2"/>
      <c r="I42" s="15" t="s">
        <v>48</v>
      </c>
      <c r="J42" s="46">
        <f>F22*F12/$B$8</f>
        <v>498</v>
      </c>
      <c r="K42" s="2" t="s">
        <v>49</v>
      </c>
      <c r="L42" s="14"/>
      <c r="M42" s="2"/>
      <c r="N42" s="11">
        <f t="shared" si="10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1">
        <f t="shared" si="5"/>
        <v>0</v>
      </c>
      <c r="U42" s="21">
        <f t="shared" si="6"/>
        <v>0</v>
      </c>
      <c r="V42" s="21">
        <f t="shared" si="7"/>
        <v>0</v>
      </c>
      <c r="W42" s="20">
        <f t="shared" si="11"/>
        <v>0</v>
      </c>
      <c r="X42" s="17">
        <f t="shared" si="0"/>
        <v>0</v>
      </c>
      <c r="Y42" s="3"/>
      <c r="Z42" s="6">
        <f t="shared" si="9"/>
        <v>0</v>
      </c>
      <c r="AA42" s="2"/>
      <c r="AB42" s="28">
        <f t="shared" si="29"/>
        <v>-20</v>
      </c>
      <c r="AC42" s="32">
        <f t="shared" si="30"/>
        <v>3528</v>
      </c>
      <c r="AD42" s="31">
        <v>33059.308690641534</v>
      </c>
      <c r="AE42" s="36">
        <f t="shared" si="34"/>
        <v>-3.7928167431231472</v>
      </c>
      <c r="AF42" s="2"/>
      <c r="AG42" s="28">
        <f t="shared" si="31"/>
        <v>-20</v>
      </c>
      <c r="AH42" s="32">
        <f t="shared" si="32"/>
        <v>16000</v>
      </c>
      <c r="AI42" s="31">
        <v>32378.064315501779</v>
      </c>
      <c r="AJ42" s="36">
        <f t="shared" si="33"/>
        <v>-5.7753325620440759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</row>
    <row r="43" spans="1:51" ht="15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4"/>
      <c r="M43" s="2"/>
      <c r="N43" s="11">
        <f t="shared" si="10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1">
        <f t="shared" si="5"/>
        <v>0</v>
      </c>
      <c r="U43" s="21">
        <f t="shared" si="6"/>
        <v>0</v>
      </c>
      <c r="V43" s="21">
        <f t="shared" si="7"/>
        <v>0</v>
      </c>
      <c r="W43" s="20">
        <f t="shared" si="11"/>
        <v>0</v>
      </c>
      <c r="X43" s="17">
        <f t="shared" si="0"/>
        <v>0</v>
      </c>
      <c r="Y43" s="3"/>
      <c r="Z43" s="6">
        <f t="shared" si="9"/>
        <v>0</v>
      </c>
      <c r="AA43" s="2"/>
      <c r="AB43" s="28">
        <f t="shared" si="29"/>
        <v>-10</v>
      </c>
      <c r="AC43" s="32">
        <f t="shared" si="30"/>
        <v>3969</v>
      </c>
      <c r="AD43" s="31">
        <v>33710.964290947137</v>
      </c>
      <c r="AE43" s="36">
        <f t="shared" si="34"/>
        <v>-1.8964083715615632</v>
      </c>
      <c r="AF43" s="2"/>
      <c r="AG43" s="28">
        <f t="shared" si="31"/>
        <v>-10</v>
      </c>
      <c r="AH43" s="32">
        <f t="shared" si="32"/>
        <v>18000</v>
      </c>
      <c r="AI43" s="31">
        <v>33509.094172593133</v>
      </c>
      <c r="AJ43" s="36">
        <f t="shared" si="33"/>
        <v>-2.4838784742279518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1:51" ht="15.75" customHeight="1" x14ac:dyDescent="0.25">
      <c r="A44" s="22" t="s">
        <v>113</v>
      </c>
      <c r="B44" s="3"/>
      <c r="C44" s="1"/>
      <c r="D44" s="2"/>
      <c r="E44" s="1" t="s">
        <v>160</v>
      </c>
      <c r="F44" s="2"/>
      <c r="G44" s="2"/>
      <c r="H44" s="2"/>
      <c r="I44" s="2"/>
      <c r="J44" s="2"/>
      <c r="K44" s="2"/>
      <c r="L44" s="14"/>
      <c r="M44" s="2"/>
      <c r="N44" s="11">
        <f t="shared" si="10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1">
        <f t="shared" si="5"/>
        <v>0</v>
      </c>
      <c r="U44" s="21">
        <f t="shared" si="6"/>
        <v>0</v>
      </c>
      <c r="V44" s="21">
        <f t="shared" si="7"/>
        <v>0</v>
      </c>
      <c r="W44" s="20">
        <f t="shared" si="11"/>
        <v>0</v>
      </c>
      <c r="X44" s="17">
        <f t="shared" si="0"/>
        <v>0</v>
      </c>
      <c r="Y44" s="3"/>
      <c r="Z44" s="6">
        <f t="shared" si="9"/>
        <v>0</v>
      </c>
      <c r="AA44" s="2"/>
      <c r="AB44" s="41">
        <v>0</v>
      </c>
      <c r="AC44" s="47">
        <f t="shared" si="30"/>
        <v>4410</v>
      </c>
      <c r="AD44" s="42">
        <v>34362.619891252732</v>
      </c>
      <c r="AE44" s="56">
        <f t="shared" si="34"/>
        <v>0</v>
      </c>
      <c r="AF44" s="2"/>
      <c r="AG44" s="41">
        <v>0</v>
      </c>
      <c r="AH44" s="47">
        <f t="shared" si="32"/>
        <v>20000</v>
      </c>
      <c r="AI44" s="42">
        <v>34362.619891252732</v>
      </c>
      <c r="AJ44" s="56">
        <f t="shared" si="33"/>
        <v>0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1:51" ht="15.75" customHeight="1" x14ac:dyDescent="0.25">
      <c r="A45" s="15" t="s">
        <v>173</v>
      </c>
      <c r="B45" s="6">
        <f>J8/B8</f>
        <v>11741.935483870968</v>
      </c>
      <c r="C45" s="2" t="s">
        <v>3</v>
      </c>
      <c r="D45" s="2"/>
      <c r="E45" s="15" t="s">
        <v>167</v>
      </c>
      <c r="F45" s="70">
        <f>((1+(B16/100))*J9*J10)*(1+(B13%+B14%+B15%))</f>
        <v>6196.05</v>
      </c>
      <c r="G45" s="2" t="s">
        <v>3</v>
      </c>
      <c r="H45" s="2"/>
      <c r="I45" s="1"/>
      <c r="J45" s="2"/>
      <c r="K45" s="2"/>
      <c r="L45" s="14"/>
      <c r="M45" s="2"/>
      <c r="N45" s="11">
        <f t="shared" si="10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1">
        <f t="shared" si="5"/>
        <v>0</v>
      </c>
      <c r="U45" s="21">
        <f t="shared" si="6"/>
        <v>0</v>
      </c>
      <c r="V45" s="21">
        <f t="shared" si="7"/>
        <v>0</v>
      </c>
      <c r="W45" s="20">
        <f t="shared" si="11"/>
        <v>0</v>
      </c>
      <c r="X45" s="17">
        <f t="shared" si="0"/>
        <v>0</v>
      </c>
      <c r="Y45" s="3"/>
      <c r="Z45" s="6">
        <f t="shared" si="9"/>
        <v>0</v>
      </c>
      <c r="AA45" s="2"/>
      <c r="AB45" s="28">
        <f t="shared" ref="AB45:AB49" si="35">AB44+10</f>
        <v>10</v>
      </c>
      <c r="AC45" s="32">
        <f t="shared" si="30"/>
        <v>4851</v>
      </c>
      <c r="AD45" s="31">
        <v>35014.275491558335</v>
      </c>
      <c r="AE45" s="36">
        <f t="shared" si="34"/>
        <v>1.8964083715615845</v>
      </c>
      <c r="AF45" s="2"/>
      <c r="AG45" s="28">
        <f t="shared" ref="AG45:AG49" si="36">AG44+10</f>
        <v>10</v>
      </c>
      <c r="AH45" s="32">
        <f t="shared" si="32"/>
        <v>22000</v>
      </c>
      <c r="AI45" s="31">
        <v>35365.388689239648</v>
      </c>
      <c r="AJ45" s="36">
        <f t="shared" si="33"/>
        <v>2.9181965786088901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1:51" ht="15.75" customHeight="1" x14ac:dyDescent="0.25">
      <c r="A46" s="15" t="s">
        <v>114</v>
      </c>
      <c r="B46" s="6">
        <f>IF(J24="No",J9*J10,0)</f>
        <v>4410</v>
      </c>
      <c r="C46" s="2" t="s">
        <v>3</v>
      </c>
      <c r="D46" s="2"/>
      <c r="E46" s="2" t="s">
        <v>168</v>
      </c>
      <c r="F46" s="70">
        <f>((J21%)*F45)+(((1-J21%)*F45)*(1+(F23%*J20)))</f>
        <v>8212.8642749999999</v>
      </c>
      <c r="G46" s="2" t="s">
        <v>3</v>
      </c>
      <c r="H46" s="2"/>
      <c r="I46" s="15"/>
      <c r="J46" s="19"/>
      <c r="K46" s="2"/>
      <c r="L46" s="14"/>
      <c r="M46" s="2"/>
      <c r="N46" s="11">
        <f t="shared" si="10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1">
        <f t="shared" si="5"/>
        <v>0</v>
      </c>
      <c r="U46" s="21">
        <f t="shared" si="6"/>
        <v>0</v>
      </c>
      <c r="V46" s="21">
        <f t="shared" si="7"/>
        <v>0</v>
      </c>
      <c r="W46" s="20">
        <f t="shared" si="11"/>
        <v>0</v>
      </c>
      <c r="X46" s="17">
        <f t="shared" si="0"/>
        <v>0</v>
      </c>
      <c r="Y46" s="3"/>
      <c r="Z46" s="6">
        <f t="shared" si="9"/>
        <v>0</v>
      </c>
      <c r="AA46" s="2"/>
      <c r="AB46" s="28">
        <f t="shared" si="35"/>
        <v>20</v>
      </c>
      <c r="AC46" s="32">
        <f t="shared" si="30"/>
        <v>5292</v>
      </c>
      <c r="AD46" s="31">
        <v>35665.931091863938</v>
      </c>
      <c r="AE46" s="36">
        <f t="shared" si="34"/>
        <v>3.792816743123169</v>
      </c>
      <c r="AF46" s="2"/>
      <c r="AG46" s="28">
        <f t="shared" si="36"/>
        <v>20</v>
      </c>
      <c r="AH46" s="32">
        <f t="shared" si="32"/>
        <v>24000</v>
      </c>
      <c r="AI46" s="31">
        <v>36375.619641192927</v>
      </c>
      <c r="AJ46" s="36">
        <f t="shared" si="33"/>
        <v>5.8581090624368217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1:51" ht="15.75" customHeight="1" x14ac:dyDescent="0.25">
      <c r="A47" s="24" t="s">
        <v>115</v>
      </c>
      <c r="B47" s="23">
        <f>(1+(B16/100))*B45</f>
        <v>11741.935483870968</v>
      </c>
      <c r="C47" s="2" t="s">
        <v>3</v>
      </c>
      <c r="D47" s="2"/>
      <c r="E47" s="2" t="s">
        <v>96</v>
      </c>
      <c r="F47" s="70">
        <f>J11*J12</f>
        <v>160800</v>
      </c>
      <c r="G47" s="2" t="s">
        <v>101</v>
      </c>
      <c r="H47" s="2"/>
      <c r="I47" s="2"/>
      <c r="J47" s="2"/>
      <c r="K47" s="2"/>
      <c r="L47" s="14"/>
      <c r="M47" s="2"/>
      <c r="N47" s="11">
        <f t="shared" si="10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1">
        <f t="shared" si="5"/>
        <v>0</v>
      </c>
      <c r="U47" s="21">
        <f t="shared" si="6"/>
        <v>0</v>
      </c>
      <c r="V47" s="21">
        <f t="shared" si="7"/>
        <v>0</v>
      </c>
      <c r="W47" s="20">
        <f t="shared" si="11"/>
        <v>0</v>
      </c>
      <c r="X47" s="17">
        <f t="shared" si="0"/>
        <v>0</v>
      </c>
      <c r="Y47" s="3"/>
      <c r="Z47" s="6">
        <f t="shared" si="9"/>
        <v>0</v>
      </c>
      <c r="AA47" s="2"/>
      <c r="AB47" s="28">
        <f t="shared" si="35"/>
        <v>30</v>
      </c>
      <c r="AC47" s="32">
        <f t="shared" si="30"/>
        <v>5733</v>
      </c>
      <c r="AD47" s="31">
        <v>36317.586692169534</v>
      </c>
      <c r="AE47" s="36">
        <f t="shared" si="34"/>
        <v>5.6892251146847315</v>
      </c>
      <c r="AF47" s="2"/>
      <c r="AG47" s="28">
        <f t="shared" si="36"/>
        <v>30</v>
      </c>
      <c r="AH47" s="32">
        <f t="shared" si="32"/>
        <v>26000</v>
      </c>
      <c r="AI47" s="31">
        <v>37229.145359852526</v>
      </c>
      <c r="AJ47" s="36">
        <f t="shared" si="33"/>
        <v>8.3419875366647744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1:51" ht="15.75" customHeight="1" x14ac:dyDescent="0.25">
      <c r="A48" s="24" t="s">
        <v>116</v>
      </c>
      <c r="B48" s="5">
        <f>(1+(B16/100))*B46</f>
        <v>4410</v>
      </c>
      <c r="C48" s="2" t="s">
        <v>3</v>
      </c>
      <c r="D48" s="2"/>
      <c r="E48" s="2" t="s">
        <v>162</v>
      </c>
      <c r="F48" s="52">
        <f>(F46/F47)*J25</f>
        <v>6.6397534561567162E-2</v>
      </c>
      <c r="G48" s="2" t="s">
        <v>4</v>
      </c>
      <c r="H48" s="2"/>
      <c r="I48" s="2"/>
      <c r="J48" s="2"/>
      <c r="K48" s="2"/>
      <c r="L48" s="14"/>
      <c r="M48" s="2"/>
      <c r="N48" s="11">
        <f t="shared" si="10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1">
        <f t="shared" si="5"/>
        <v>0</v>
      </c>
      <c r="U48" s="21">
        <f t="shared" si="6"/>
        <v>0</v>
      </c>
      <c r="V48" s="21">
        <f t="shared" si="7"/>
        <v>0</v>
      </c>
      <c r="W48" s="20">
        <f t="shared" si="11"/>
        <v>0</v>
      </c>
      <c r="X48" s="17">
        <f t="shared" si="0"/>
        <v>0</v>
      </c>
      <c r="Y48" s="3"/>
      <c r="Z48" s="6">
        <f t="shared" si="9"/>
        <v>0</v>
      </c>
      <c r="AA48" s="2"/>
      <c r="AB48" s="28">
        <f t="shared" si="35"/>
        <v>40</v>
      </c>
      <c r="AC48" s="32">
        <f t="shared" si="30"/>
        <v>6174</v>
      </c>
      <c r="AD48" s="31">
        <v>36969.242292475144</v>
      </c>
      <c r="AE48" s="36">
        <f t="shared" si="34"/>
        <v>7.5856334862463379</v>
      </c>
      <c r="AF48" s="2"/>
      <c r="AG48" s="28">
        <f t="shared" si="36"/>
        <v>40</v>
      </c>
      <c r="AH48" s="32">
        <f t="shared" si="32"/>
        <v>28000</v>
      </c>
      <c r="AI48" s="31">
        <v>40954.569021585237</v>
      </c>
      <c r="AJ48" s="36">
        <f t="shared" si="33"/>
        <v>19.183488195003829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</row>
    <row r="49" spans="1:51" ht="15.75" customHeight="1" x14ac:dyDescent="0.25">
      <c r="A49" s="2" t="s">
        <v>117</v>
      </c>
      <c r="B49" s="23">
        <f>B47+B48</f>
        <v>16151.935483870968</v>
      </c>
      <c r="C49" s="2" t="s">
        <v>3</v>
      </c>
      <c r="D49" s="2"/>
      <c r="E49" s="2" t="s">
        <v>165</v>
      </c>
      <c r="F49" s="6">
        <f>J26*365</f>
        <v>54750</v>
      </c>
      <c r="G49" s="2" t="s">
        <v>43</v>
      </c>
      <c r="H49" s="2"/>
      <c r="I49" s="2"/>
      <c r="J49" s="2"/>
      <c r="K49" s="2"/>
      <c r="L49" s="14"/>
      <c r="M49" s="2"/>
      <c r="N49" s="12" t="s">
        <v>119</v>
      </c>
      <c r="O49" s="17">
        <f t="shared" ref="O49:X49" si="37">SUM(O8:O48)</f>
        <v>6808.0408064516123</v>
      </c>
      <c r="P49" s="17">
        <f t="shared" si="37"/>
        <v>20151.248544841917</v>
      </c>
      <c r="Q49" s="17">
        <f t="shared" si="37"/>
        <v>3637.138913881613</v>
      </c>
      <c r="R49" s="17">
        <f t="shared" si="37"/>
        <v>1052.6942779802641</v>
      </c>
      <c r="S49" s="17">
        <f t="shared" si="37"/>
        <v>4031.7419859285601</v>
      </c>
      <c r="T49" s="17">
        <f t="shared" si="37"/>
        <v>0</v>
      </c>
      <c r="U49" s="17">
        <f t="shared" si="37"/>
        <v>2984.8615865465104</v>
      </c>
      <c r="V49" s="17">
        <f t="shared" si="37"/>
        <v>0</v>
      </c>
      <c r="W49" s="17">
        <f t="shared" si="37"/>
        <v>-4303.1062243777496</v>
      </c>
      <c r="X49" s="17">
        <f t="shared" si="37"/>
        <v>34362.619891252732</v>
      </c>
      <c r="Y49" s="3"/>
      <c r="Z49" s="3"/>
      <c r="AA49" s="2"/>
      <c r="AB49" s="28">
        <f t="shared" si="35"/>
        <v>50</v>
      </c>
      <c r="AC49" s="32">
        <f t="shared" si="30"/>
        <v>6615</v>
      </c>
      <c r="AD49" s="31">
        <v>37620.897892780747</v>
      </c>
      <c r="AE49" s="36">
        <f t="shared" si="34"/>
        <v>9.4820418578079213</v>
      </c>
      <c r="AF49" s="2"/>
      <c r="AG49" s="28">
        <f t="shared" si="36"/>
        <v>50</v>
      </c>
      <c r="AH49" s="32">
        <f t="shared" si="32"/>
        <v>30000</v>
      </c>
      <c r="AI49" s="31">
        <v>41808.094740244836</v>
      </c>
      <c r="AJ49" s="36">
        <f t="shared" si="33"/>
        <v>21.667366669231779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</row>
    <row r="50" spans="1:51" ht="15.75" customHeight="1" x14ac:dyDescent="0.25">
      <c r="A50" s="24" t="s">
        <v>118</v>
      </c>
      <c r="B50" s="6">
        <f>SUM(B33:B40)+SUM(B49)</f>
        <v>22693.469354838708</v>
      </c>
      <c r="C50" s="2" t="s">
        <v>3</v>
      </c>
      <c r="D50" s="2"/>
      <c r="E50" s="2" t="s">
        <v>163</v>
      </c>
      <c r="F50" s="5">
        <f>F48*F49</f>
        <v>3635.265017245802</v>
      </c>
      <c r="G50" s="72" t="s">
        <v>49</v>
      </c>
      <c r="H50" s="2"/>
      <c r="I50" s="2"/>
      <c r="J50" s="2"/>
      <c r="K50" s="2"/>
      <c r="L50" s="14"/>
      <c r="M50" s="2"/>
      <c r="N50" s="2"/>
      <c r="O50" s="2"/>
      <c r="P50" s="6"/>
      <c r="Q50" s="2"/>
      <c r="R50" s="2"/>
      <c r="S50" s="2"/>
      <c r="T50" s="2"/>
      <c r="U50" s="2"/>
      <c r="V50" s="2"/>
      <c r="W50" s="2"/>
      <c r="X50" s="23"/>
      <c r="Y50" s="23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</row>
    <row r="51" spans="1:51" ht="15.75" customHeight="1" x14ac:dyDescent="0.25">
      <c r="A51" s="24" t="s">
        <v>172</v>
      </c>
      <c r="B51" s="6">
        <f>SUM(B31:B32)</f>
        <v>0</v>
      </c>
      <c r="C51" s="2" t="s">
        <v>3</v>
      </c>
      <c r="D51" s="2"/>
      <c r="E51" s="2" t="s">
        <v>164</v>
      </c>
      <c r="F51" s="6">
        <f>IF(F12&gt;F49,(F12-F49)*F48,0)</f>
        <v>0</v>
      </c>
      <c r="G51" s="72" t="s">
        <v>49</v>
      </c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7" t="s">
        <v>48</v>
      </c>
      <c r="AC51" s="28"/>
      <c r="AD51" s="28"/>
      <c r="AE51" s="28"/>
      <c r="AF51" s="2"/>
      <c r="AG51" s="27" t="s">
        <v>166</v>
      </c>
      <c r="AH51" s="28"/>
      <c r="AI51" s="28"/>
      <c r="AJ51" s="2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</row>
    <row r="52" spans="1:51" ht="15.75" customHeight="1" x14ac:dyDescent="0.25">
      <c r="A52" s="24" t="s">
        <v>174</v>
      </c>
      <c r="B52" s="6">
        <f>B50-B51</f>
        <v>22693.469354838708</v>
      </c>
      <c r="C52" s="2" t="s">
        <v>3</v>
      </c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8" t="s">
        <v>80</v>
      </c>
      <c r="AC52" s="28" t="s">
        <v>139</v>
      </c>
      <c r="AD52" s="28" t="s">
        <v>23</v>
      </c>
      <c r="AE52" s="28" t="s">
        <v>82</v>
      </c>
      <c r="AF52" s="2"/>
      <c r="AG52" s="28" t="s">
        <v>80</v>
      </c>
      <c r="AH52" s="28" t="s">
        <v>169</v>
      </c>
      <c r="AI52" s="28" t="s">
        <v>23</v>
      </c>
      <c r="AJ52" s="28" t="s">
        <v>82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</row>
    <row r="53" spans="1:51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8" t="s">
        <v>86</v>
      </c>
      <c r="AC53" s="32">
        <v>498</v>
      </c>
      <c r="AD53" s="31">
        <f>X49</f>
        <v>34362.619891252732</v>
      </c>
      <c r="AE53" s="28"/>
      <c r="AF53" s="2"/>
      <c r="AG53" s="28" t="s">
        <v>86</v>
      </c>
      <c r="AH53" s="32">
        <v>150</v>
      </c>
      <c r="AI53" s="31">
        <f>X49</f>
        <v>34362.619891252732</v>
      </c>
      <c r="AJ53" s="28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</row>
    <row r="54" spans="1:51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48"/>
      <c r="V54" s="51"/>
      <c r="W54" s="2"/>
      <c r="X54" s="35"/>
      <c r="Y54" s="35"/>
      <c r="Z54" s="51"/>
      <c r="AA54" s="35"/>
      <c r="AB54" s="28">
        <f t="shared" ref="AB54:AB58" si="38">AB55-10</f>
        <v>-50</v>
      </c>
      <c r="AC54" s="32">
        <f t="shared" ref="AC54:AC64" si="39">$AC$53*(1+(AB54/100))</f>
        <v>249</v>
      </c>
      <c r="AD54" s="31">
        <f t="dataTable" ref="AD54:AD64" dt2D="0" dtr="0" r1="J42" ca="1"/>
        <v>32439.907893885709</v>
      </c>
      <c r="AE54" s="36">
        <f t="shared" ref="AE54:AE64" si="40">100*((AD54-$AD$59)/$AD$59)</f>
        <v>-5.5953591532072453</v>
      </c>
      <c r="AF54" s="2"/>
      <c r="AG54" s="28">
        <f t="shared" ref="AG54:AG56" si="41">AG55-20</f>
        <v>-100</v>
      </c>
      <c r="AH54" s="32">
        <f>$AH$53*(1+(AG54/100))</f>
        <v>0</v>
      </c>
      <c r="AI54" s="31">
        <f t="dataTable" ref="AI54:AI64" dt2D="0" dtr="0" r1="J26" ca="1"/>
        <v>34362.619891252732</v>
      </c>
      <c r="AJ54" s="36">
        <f>100*((AI54-$AI$59)/$AI$59)</f>
        <v>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</row>
    <row r="55" spans="1:51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26959.28935129353</v>
      </c>
      <c r="Q55" s="2" t="s">
        <v>3</v>
      </c>
      <c r="R55" s="52">
        <f t="shared" ref="R55:R59" si="42">P55/$J$34</f>
        <v>0.13479644675646765</v>
      </c>
      <c r="S55" s="2" t="s">
        <v>4</v>
      </c>
      <c r="T55" s="2"/>
      <c r="U55" s="2"/>
      <c r="V55" s="51"/>
      <c r="W55" s="2"/>
      <c r="X55" s="35"/>
      <c r="Y55" s="35"/>
      <c r="Z55" s="51"/>
      <c r="AA55" s="35"/>
      <c r="AB55" s="28">
        <f t="shared" si="38"/>
        <v>-40</v>
      </c>
      <c r="AC55" s="32">
        <f t="shared" si="39"/>
        <v>298.8</v>
      </c>
      <c r="AD55" s="31">
        <v>32824.450293359107</v>
      </c>
      <c r="AE55" s="36">
        <f t="shared" si="40"/>
        <v>-4.4762873225658177</v>
      </c>
      <c r="AF55" s="2"/>
      <c r="AG55" s="28">
        <f t="shared" si="41"/>
        <v>-80</v>
      </c>
      <c r="AH55" s="32">
        <f t="shared" ref="AH55:AH64" si="43">$AH$53*(1+(AG55/100))</f>
        <v>29.999999999999993</v>
      </c>
      <c r="AI55" s="31">
        <v>34362.619891252732</v>
      </c>
      <c r="AJ55" s="36">
        <f t="shared" ref="AJ55:AJ64" si="44">100*((AI55-$AI$59)/$AI$59)</f>
        <v>0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</row>
    <row r="56" spans="1:51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SUM(Q49:R49)</f>
        <v>4689.8331918618769</v>
      </c>
      <c r="Q56" s="2" t="s">
        <v>3</v>
      </c>
      <c r="R56" s="52">
        <f t="shared" si="42"/>
        <v>2.3449165959309383E-2</v>
      </c>
      <c r="S56" s="2" t="s">
        <v>4</v>
      </c>
      <c r="T56" s="2"/>
      <c r="U56" s="2"/>
      <c r="V56" s="51"/>
      <c r="W56" s="2"/>
      <c r="X56" s="35"/>
      <c r="Y56" s="35"/>
      <c r="Z56" s="51"/>
      <c r="AA56" s="35"/>
      <c r="AB56" s="28">
        <f t="shared" si="38"/>
        <v>-30</v>
      </c>
      <c r="AC56" s="32">
        <f t="shared" si="39"/>
        <v>348.59999999999997</v>
      </c>
      <c r="AD56" s="31">
        <v>33208.992692832522</v>
      </c>
      <c r="AE56" s="36">
        <f t="shared" si="40"/>
        <v>-3.357215491924336</v>
      </c>
      <c r="AF56" s="2"/>
      <c r="AG56" s="28">
        <f t="shared" si="41"/>
        <v>-60</v>
      </c>
      <c r="AH56" s="32">
        <f t="shared" si="43"/>
        <v>60</v>
      </c>
      <c r="AI56" s="31">
        <v>34362.619891252732</v>
      </c>
      <c r="AJ56" s="36">
        <f t="shared" si="44"/>
        <v>0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</row>
    <row r="57" spans="1:51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SUM(S49:T49)</f>
        <v>4031.7419859285601</v>
      </c>
      <c r="Q57" s="2" t="s">
        <v>3</v>
      </c>
      <c r="R57" s="52">
        <f t="shared" si="42"/>
        <v>2.0158709929642801E-2</v>
      </c>
      <c r="S57" s="2" t="s">
        <v>4</v>
      </c>
      <c r="T57" s="2"/>
      <c r="U57" s="2"/>
      <c r="V57" s="51"/>
      <c r="W57" s="2"/>
      <c r="X57" s="35"/>
      <c r="Y57" s="35"/>
      <c r="Z57" s="51"/>
      <c r="AA57" s="35"/>
      <c r="AB57" s="28">
        <f t="shared" si="38"/>
        <v>-20</v>
      </c>
      <c r="AC57" s="32">
        <f t="shared" si="39"/>
        <v>398.40000000000003</v>
      </c>
      <c r="AD57" s="31">
        <v>33593.535092305923</v>
      </c>
      <c r="AE57" s="36">
        <f t="shared" si="40"/>
        <v>-2.2381436612828978</v>
      </c>
      <c r="AF57" s="2"/>
      <c r="AG57" s="28">
        <f>AG58-20</f>
        <v>-40</v>
      </c>
      <c r="AH57" s="32">
        <f t="shared" si="43"/>
        <v>90</v>
      </c>
      <c r="AI57" s="31">
        <v>34362.619891252732</v>
      </c>
      <c r="AJ57" s="36">
        <f t="shared" si="44"/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</row>
    <row r="58" spans="1:51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125</v>
      </c>
      <c r="P58" s="23">
        <f>SUM(U49:V49)</f>
        <v>2984.8615865465104</v>
      </c>
      <c r="Q58" s="2" t="s">
        <v>3</v>
      </c>
      <c r="R58" s="52">
        <f t="shared" si="42"/>
        <v>1.4924307932732552E-2</v>
      </c>
      <c r="S58" s="2" t="s">
        <v>4</v>
      </c>
      <c r="T58" s="2"/>
      <c r="U58" s="2"/>
      <c r="V58" s="51"/>
      <c r="W58" s="2"/>
      <c r="X58" s="35"/>
      <c r="Y58" s="35"/>
      <c r="Z58" s="51"/>
      <c r="AA58" s="35"/>
      <c r="AB58" s="28">
        <f t="shared" si="38"/>
        <v>-10</v>
      </c>
      <c r="AC58" s="32">
        <f t="shared" si="39"/>
        <v>448.2</v>
      </c>
      <c r="AD58" s="31">
        <v>33978.077491779324</v>
      </c>
      <c r="AE58" s="36">
        <f t="shared" si="40"/>
        <v>-1.1190718306414595</v>
      </c>
      <c r="AF58" s="2"/>
      <c r="AG58" s="28">
        <f>AG59-20</f>
        <v>-20</v>
      </c>
      <c r="AH58" s="32">
        <f t="shared" si="43"/>
        <v>120</v>
      </c>
      <c r="AI58" s="31">
        <v>34362.619891252732</v>
      </c>
      <c r="AJ58" s="36">
        <f t="shared" si="44"/>
        <v>0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</row>
    <row r="59" spans="1:51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s">
        <v>126</v>
      </c>
      <c r="P59" s="23">
        <f>W49</f>
        <v>-4303.1062243777496</v>
      </c>
      <c r="Q59" s="2" t="s">
        <v>3</v>
      </c>
      <c r="R59" s="52">
        <f t="shared" si="42"/>
        <v>-2.1515531121888747E-2</v>
      </c>
      <c r="S59" s="2" t="s">
        <v>4</v>
      </c>
      <c r="T59" s="2"/>
      <c r="U59" s="2"/>
      <c r="V59" s="51"/>
      <c r="W59" s="2"/>
      <c r="X59" s="35"/>
      <c r="Y59" s="35"/>
      <c r="Z59" s="51"/>
      <c r="AA59" s="35"/>
      <c r="AB59" s="41">
        <v>0</v>
      </c>
      <c r="AC59" s="47">
        <f t="shared" si="39"/>
        <v>498</v>
      </c>
      <c r="AD59" s="42">
        <v>34362.619891252732</v>
      </c>
      <c r="AE59" s="62">
        <f t="shared" si="40"/>
        <v>0</v>
      </c>
      <c r="AF59" s="2"/>
      <c r="AG59" s="41">
        <v>0</v>
      </c>
      <c r="AH59" s="63">
        <f t="shared" si="43"/>
        <v>150</v>
      </c>
      <c r="AI59" s="42">
        <v>34362.619891252732</v>
      </c>
      <c r="AJ59" s="62">
        <f t="shared" si="44"/>
        <v>0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</row>
    <row r="60" spans="1:51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SUM(P55:P59)</f>
        <v>34362.619891252725</v>
      </c>
      <c r="Q60" s="1" t="s">
        <v>3</v>
      </c>
      <c r="R60" s="46">
        <f>SUM(R55:R59)</f>
        <v>0.17181309945626363</v>
      </c>
      <c r="S60" s="1" t="s">
        <v>4</v>
      </c>
      <c r="T60" s="1"/>
      <c r="U60" s="2"/>
      <c r="V60" s="51"/>
      <c r="W60" s="2"/>
      <c r="X60" s="35"/>
      <c r="Y60" s="35"/>
      <c r="Z60" s="51"/>
      <c r="AA60" s="35"/>
      <c r="AB60" s="28">
        <f t="shared" ref="AB60:AB64" si="45">AB59+10</f>
        <v>10</v>
      </c>
      <c r="AC60" s="32">
        <f t="shared" si="39"/>
        <v>547.80000000000007</v>
      </c>
      <c r="AD60" s="31">
        <v>34747.162290726134</v>
      </c>
      <c r="AE60" s="36">
        <f t="shared" si="40"/>
        <v>1.1190718306414384</v>
      </c>
      <c r="AF60" s="2"/>
      <c r="AG60" s="28">
        <f>AG59+20</f>
        <v>20</v>
      </c>
      <c r="AH60" s="32">
        <f t="shared" si="43"/>
        <v>180</v>
      </c>
      <c r="AI60" s="31">
        <v>34362.619891252732</v>
      </c>
      <c r="AJ60" s="36">
        <f t="shared" si="44"/>
        <v>0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</row>
    <row r="61" spans="1:51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1"/>
      <c r="W61" s="2"/>
      <c r="X61" s="35"/>
      <c r="Y61" s="35"/>
      <c r="Z61" s="51"/>
      <c r="AA61" s="35"/>
      <c r="AB61" s="28">
        <f t="shared" si="45"/>
        <v>20</v>
      </c>
      <c r="AC61" s="32">
        <f t="shared" si="39"/>
        <v>597.6</v>
      </c>
      <c r="AD61" s="31">
        <v>35131.704690199535</v>
      </c>
      <c r="AE61" s="36">
        <f t="shared" si="40"/>
        <v>2.2381436612828769</v>
      </c>
      <c r="AF61" s="2"/>
      <c r="AG61" s="28">
        <f t="shared" ref="AG61:AG64" si="46">AG60+20</f>
        <v>40</v>
      </c>
      <c r="AH61" s="32">
        <f t="shared" si="43"/>
        <v>210</v>
      </c>
      <c r="AI61" s="31">
        <v>34362.619891252732</v>
      </c>
      <c r="AJ61" s="36">
        <f t="shared" si="44"/>
        <v>0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</row>
    <row r="62" spans="1:51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1"/>
      <c r="W62" s="2"/>
      <c r="X62" s="35"/>
      <c r="Y62" s="35"/>
      <c r="Z62" s="51"/>
      <c r="AA62" s="35"/>
      <c r="AB62" s="28">
        <f t="shared" si="45"/>
        <v>30</v>
      </c>
      <c r="AC62" s="32">
        <f t="shared" si="39"/>
        <v>647.4</v>
      </c>
      <c r="AD62" s="31">
        <v>35516.24708967295</v>
      </c>
      <c r="AE62" s="36">
        <f t="shared" si="40"/>
        <v>3.3572154919243578</v>
      </c>
      <c r="AF62" s="2"/>
      <c r="AG62" s="28">
        <f t="shared" si="46"/>
        <v>60</v>
      </c>
      <c r="AH62" s="32">
        <f t="shared" si="43"/>
        <v>240</v>
      </c>
      <c r="AI62" s="31">
        <v>34362.619891252732</v>
      </c>
      <c r="AJ62" s="36">
        <f t="shared" si="44"/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</row>
    <row r="63" spans="1:51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1"/>
      <c r="W63" s="2"/>
      <c r="X63" s="35"/>
      <c r="Y63" s="35"/>
      <c r="Z63" s="51"/>
      <c r="AA63" s="35"/>
      <c r="AB63" s="28">
        <f t="shared" si="45"/>
        <v>40</v>
      </c>
      <c r="AC63" s="32">
        <f t="shared" si="39"/>
        <v>697.19999999999993</v>
      </c>
      <c r="AD63" s="31">
        <v>35900.789489146344</v>
      </c>
      <c r="AE63" s="36">
        <f t="shared" si="40"/>
        <v>4.4762873225657751</v>
      </c>
      <c r="AF63" s="2"/>
      <c r="AG63" s="28">
        <f t="shared" si="46"/>
        <v>80</v>
      </c>
      <c r="AH63" s="32">
        <f t="shared" si="43"/>
        <v>270</v>
      </c>
      <c r="AI63" s="31">
        <v>34362.619891252732</v>
      </c>
      <c r="AJ63" s="36">
        <f t="shared" si="44"/>
        <v>0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</row>
    <row r="64" spans="1:51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1"/>
      <c r="W64" s="2"/>
      <c r="X64" s="35"/>
      <c r="Y64" s="35"/>
      <c r="Z64" s="51"/>
      <c r="AA64" s="35"/>
      <c r="AB64" s="28">
        <f t="shared" si="45"/>
        <v>50</v>
      </c>
      <c r="AC64" s="32">
        <f t="shared" si="39"/>
        <v>747</v>
      </c>
      <c r="AD64" s="31">
        <v>36285.33188861973</v>
      </c>
      <c r="AE64" s="36">
        <f t="shared" si="40"/>
        <v>5.5953591532071707</v>
      </c>
      <c r="AF64" s="2"/>
      <c r="AG64" s="28">
        <f t="shared" si="46"/>
        <v>100</v>
      </c>
      <c r="AH64" s="32">
        <f t="shared" si="43"/>
        <v>300</v>
      </c>
      <c r="AI64" s="31">
        <v>34362.619891252732</v>
      </c>
      <c r="AJ64" s="36">
        <f t="shared" si="44"/>
        <v>0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</row>
    <row r="65" spans="1:51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1"/>
      <c r="W65" s="2"/>
      <c r="X65" s="35"/>
      <c r="Y65" s="35"/>
      <c r="Z65" s="51"/>
      <c r="AA65" s="35"/>
      <c r="AB65" s="2"/>
      <c r="AC65" s="2"/>
      <c r="AD65" s="2"/>
      <c r="AE65" s="2"/>
      <c r="AF65" s="2"/>
      <c r="AG65" s="2"/>
      <c r="AH65" s="19"/>
      <c r="AI65" s="6"/>
      <c r="AJ65" s="53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</row>
    <row r="66" spans="1:51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1"/>
      <c r="W66" s="2"/>
      <c r="X66" s="35"/>
      <c r="Y66" s="35"/>
      <c r="Z66" s="51"/>
      <c r="AA66" s="35"/>
      <c r="AB66" s="27" t="s">
        <v>197</v>
      </c>
      <c r="AC66" s="28"/>
      <c r="AD66" s="28"/>
      <c r="AE66" s="28"/>
      <c r="AF66" s="2"/>
      <c r="AG66" s="2"/>
      <c r="AH66" s="19"/>
      <c r="AI66" s="6"/>
      <c r="AJ66" s="53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</row>
    <row r="67" spans="1:51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1"/>
      <c r="W67" s="2"/>
      <c r="X67" s="35"/>
      <c r="Y67" s="35"/>
      <c r="Z67" s="51"/>
      <c r="AA67" s="35"/>
      <c r="AB67" s="28" t="s">
        <v>80</v>
      </c>
      <c r="AC67" s="28" t="s">
        <v>197</v>
      </c>
      <c r="AD67" s="28" t="s">
        <v>23</v>
      </c>
      <c r="AE67" s="28" t="s">
        <v>82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</row>
    <row r="68" spans="1:51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1"/>
      <c r="W68" s="2"/>
      <c r="X68" s="35"/>
      <c r="Y68" s="35"/>
      <c r="Z68" s="51"/>
      <c r="AA68" s="35"/>
      <c r="AB68" s="28" t="s">
        <v>86</v>
      </c>
      <c r="AC68" s="30">
        <v>0.14199999999999999</v>
      </c>
      <c r="AD68" s="31">
        <f>X49</f>
        <v>34362.619891252732</v>
      </c>
      <c r="AE68" s="28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</row>
    <row r="69" spans="1:51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54"/>
      <c r="Y69" s="54"/>
      <c r="Z69" s="2"/>
      <c r="AA69" s="54"/>
      <c r="AB69" s="28">
        <v>-50</v>
      </c>
      <c r="AC69" s="30">
        <f>$AC$68*(1-(AB69/100))</f>
        <v>0.21299999999999997</v>
      </c>
      <c r="AD69" s="31">
        <f t="dataTable" ref="AD69:AD79" dt2D="0" dtr="0" r1="J17"/>
        <v>36707.536487183672</v>
      </c>
      <c r="AE69" s="36">
        <f>100*((AD69-$AD$74)/$AD$74)</f>
        <v>6.8240332179324197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</row>
    <row r="70" spans="1:51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8">
        <f t="shared" ref="AB70:AB73" si="47">AB71-10</f>
        <v>-40</v>
      </c>
      <c r="AC70" s="30">
        <f t="shared" ref="AC70:AC73" si="48">$AC$68*(1-(AB70/100))</f>
        <v>0.19879999999999998</v>
      </c>
      <c r="AD70" s="31">
        <v>36238.553167997481</v>
      </c>
      <c r="AE70" s="36">
        <f t="shared" ref="AE70:AE79" si="49">100*((AD70-$AD$74)/$AD$74)</f>
        <v>5.4592265743459265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</row>
    <row r="71" spans="1:51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8">
        <f t="shared" si="47"/>
        <v>-30</v>
      </c>
      <c r="AC71" s="30">
        <f t="shared" si="48"/>
        <v>0.18459999999999999</v>
      </c>
      <c r="AD71" s="31">
        <v>35769.569848811298</v>
      </c>
      <c r="AE71" s="36">
        <f t="shared" si="49"/>
        <v>4.0944199307594555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</row>
    <row r="72" spans="1:51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8">
        <f t="shared" si="47"/>
        <v>-20</v>
      </c>
      <c r="AC72" s="30">
        <f t="shared" si="48"/>
        <v>0.17039999999999997</v>
      </c>
      <c r="AD72" s="31">
        <v>35300.586529625085</v>
      </c>
      <c r="AE72" s="36">
        <f t="shared" si="49"/>
        <v>2.7296132871728997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</row>
    <row r="73" spans="1:51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8">
        <f t="shared" si="47"/>
        <v>-10</v>
      </c>
      <c r="AC73" s="30">
        <f t="shared" si="48"/>
        <v>0.15620000000000001</v>
      </c>
      <c r="AD73" s="31">
        <v>34831.603210438923</v>
      </c>
      <c r="AE73" s="36">
        <f t="shared" si="49"/>
        <v>1.3648066435864923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</row>
    <row r="74" spans="1:51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41">
        <v>0</v>
      </c>
      <c r="AC74" s="60">
        <f t="shared" ref="AC74" si="50">$AC$68*(1+(AB74/100))</f>
        <v>0.14199999999999999</v>
      </c>
      <c r="AD74" s="42">
        <v>34362.619891252732</v>
      </c>
      <c r="AE74" s="62">
        <f t="shared" si="49"/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</row>
    <row r="75" spans="1:51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8">
        <f t="shared" ref="AB75:AB79" si="51">AB74+10</f>
        <v>10</v>
      </c>
      <c r="AC75" s="30">
        <f t="shared" ref="AC75:AC79" si="52">$AC$68*(1-(AB75/100))</f>
        <v>0.1278</v>
      </c>
      <c r="AD75" s="31">
        <v>33893.636572066549</v>
      </c>
      <c r="AE75" s="36">
        <f t="shared" si="49"/>
        <v>-1.3648066435864712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</row>
    <row r="76" spans="1:51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8">
        <f t="shared" si="51"/>
        <v>20</v>
      </c>
      <c r="AC76" s="30">
        <f t="shared" si="52"/>
        <v>0.11359999999999999</v>
      </c>
      <c r="AD76" s="31">
        <v>33424.653252880351</v>
      </c>
      <c r="AE76" s="36">
        <f t="shared" si="49"/>
        <v>-2.7296132871729846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</row>
    <row r="77" spans="1:51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8">
        <f t="shared" si="51"/>
        <v>30</v>
      </c>
      <c r="AC77" s="30">
        <f t="shared" si="52"/>
        <v>9.9399999999999988E-2</v>
      </c>
      <c r="AD77" s="31">
        <v>32955.66993369416</v>
      </c>
      <c r="AE77" s="36">
        <f t="shared" si="49"/>
        <v>-4.0944199307594769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</row>
    <row r="78" spans="1:51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8">
        <f t="shared" si="51"/>
        <v>40</v>
      </c>
      <c r="AC78" s="30">
        <f t="shared" si="52"/>
        <v>8.5199999999999984E-2</v>
      </c>
      <c r="AD78" s="31">
        <v>32486.686614507973</v>
      </c>
      <c r="AE78" s="36">
        <f t="shared" si="49"/>
        <v>-5.4592265743459585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</row>
    <row r="79" spans="1:51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8">
        <f t="shared" si="51"/>
        <v>50</v>
      </c>
      <c r="AC79" s="30">
        <f t="shared" si="52"/>
        <v>7.0999999999999994E-2</v>
      </c>
      <c r="AD79" s="31">
        <v>32017.703295321786</v>
      </c>
      <c r="AE79" s="36">
        <f t="shared" si="49"/>
        <v>-6.8240332179324401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</row>
    <row r="80" spans="1:51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</row>
    <row r="81" spans="1:51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</row>
    <row r="82" spans="1:51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</row>
    <row r="83" spans="1:51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</row>
    <row r="84" spans="1:51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</row>
    <row r="85" spans="1:51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</row>
    <row r="86" spans="1:51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</row>
    <row r="87" spans="1:51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1:51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</row>
    <row r="89" spans="1:51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</row>
    <row r="90" spans="1:51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</row>
    <row r="91" spans="1:51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</row>
    <row r="92" spans="1:51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</row>
    <row r="93" spans="1:51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</row>
    <row r="94" spans="1:51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</row>
    <row r="95" spans="1:51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</row>
    <row r="96" spans="1:51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</row>
    <row r="97" spans="1:51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</row>
    <row r="98" spans="1:51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</row>
    <row r="99" spans="1:51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</row>
    <row r="100" spans="1:51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1:51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1:51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1:51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1:51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1:51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1:51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1:51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1:51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1:51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1:51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1:51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1:51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1:51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</row>
    <row r="176" spans="1:51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</row>
    <row r="177" spans="1:51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</row>
    <row r="178" spans="1:51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</row>
    <row r="179" spans="1:51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</row>
    <row r="180" spans="1:51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</row>
    <row r="181" spans="1:51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</row>
    <row r="182" spans="1:51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</row>
    <row r="183" spans="1:51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</row>
    <row r="184" spans="1:51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</row>
    <row r="185" spans="1:51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</row>
    <row r="186" spans="1:51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</row>
    <row r="187" spans="1:51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</row>
    <row r="188" spans="1:51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</row>
    <row r="189" spans="1:51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</row>
    <row r="190" spans="1:51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</row>
    <row r="191" spans="1:51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</row>
    <row r="192" spans="1:51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</row>
    <row r="193" spans="1:51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</row>
    <row r="194" spans="1:51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5" spans="1:51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</row>
    <row r="196" spans="1:51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</row>
    <row r="197" spans="1:51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</row>
    <row r="198" spans="1:51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</row>
    <row r="199" spans="1:51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</row>
    <row r="200" spans="1:51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</row>
    <row r="201" spans="1:51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</row>
    <row r="202" spans="1:51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</row>
    <row r="203" spans="1:51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</row>
    <row r="204" spans="1:51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</row>
    <row r="205" spans="1:51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</row>
    <row r="206" spans="1:51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</row>
    <row r="207" spans="1:51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</row>
    <row r="208" spans="1:51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</row>
    <row r="209" spans="1:51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</row>
    <row r="210" spans="1:51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</row>
    <row r="211" spans="1:51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</row>
    <row r="212" spans="1:51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</row>
    <row r="213" spans="1:51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</row>
    <row r="214" spans="1:51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</row>
    <row r="215" spans="1:51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</row>
    <row r="216" spans="1:51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</row>
    <row r="217" spans="1:51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</row>
    <row r="218" spans="1:51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</row>
    <row r="219" spans="1:51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</row>
    <row r="220" spans="1:51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</row>
    <row r="221" spans="1:51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</row>
    <row r="222" spans="1:51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spans="1:51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spans="1:51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spans="1:51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</row>
    <row r="226" spans="1:51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</row>
    <row r="227" spans="1:51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</row>
    <row r="228" spans="1:51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</row>
    <row r="229" spans="1:51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</row>
    <row r="230" spans="1:51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</row>
    <row r="231" spans="1:51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</row>
    <row r="232" spans="1:51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</row>
    <row r="233" spans="1:51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</row>
    <row r="234" spans="1:51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</row>
    <row r="235" spans="1:51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spans="1:51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spans="1:51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</row>
    <row r="238" spans="1:51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</row>
    <row r="239" spans="1:51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</row>
    <row r="240" spans="1:51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</row>
    <row r="241" spans="1:51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spans="1:51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spans="1:51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</row>
    <row r="244" spans="1:51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</row>
    <row r="245" spans="1:51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</row>
    <row r="246" spans="1:51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</row>
    <row r="247" spans="1:51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</row>
    <row r="248" spans="1:51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</row>
    <row r="249" spans="1:51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</row>
    <row r="250" spans="1:51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</row>
    <row r="251" spans="1:51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</row>
    <row r="252" spans="1:51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</row>
    <row r="253" spans="1:51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</row>
    <row r="254" spans="1:51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</row>
    <row r="255" spans="1:51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</row>
    <row r="256" spans="1:51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</row>
    <row r="257" spans="1:51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</row>
    <row r="258" spans="1:51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</row>
    <row r="259" spans="1:51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</row>
    <row r="260" spans="1:51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</row>
    <row r="261" spans="1:51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</row>
    <row r="262" spans="1:51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</row>
    <row r="263" spans="1:51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</row>
    <row r="264" spans="1:51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</row>
    <row r="265" spans="1:51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</row>
    <row r="266" spans="1:51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</row>
    <row r="267" spans="1:51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</row>
    <row r="268" spans="1:51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</row>
    <row r="269" spans="1:51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</row>
    <row r="270" spans="1:51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</row>
    <row r="271" spans="1:51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</row>
    <row r="272" spans="1:51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</row>
    <row r="273" spans="1:51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</row>
    <row r="274" spans="1:51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</row>
    <row r="275" spans="1:51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</row>
    <row r="276" spans="1:51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</row>
    <row r="277" spans="1:51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</row>
    <row r="278" spans="1:51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</row>
    <row r="279" spans="1:51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</row>
    <row r="280" spans="1:51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</row>
    <row r="281" spans="1:51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</row>
    <row r="282" spans="1:51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</row>
    <row r="283" spans="1:51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</row>
    <row r="284" spans="1:51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</row>
    <row r="285" spans="1:51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</row>
    <row r="286" spans="1:51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</row>
    <row r="287" spans="1:51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</row>
    <row r="288" spans="1:51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</row>
    <row r="289" spans="1:51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</row>
    <row r="290" spans="1:51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</row>
    <row r="291" spans="1:51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</row>
    <row r="292" spans="1:51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</row>
    <row r="293" spans="1:51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</row>
    <row r="294" spans="1:51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</row>
    <row r="295" spans="1:51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</row>
    <row r="296" spans="1:51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</row>
    <row r="297" spans="1:51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</row>
    <row r="298" spans="1:51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</row>
    <row r="299" spans="1:51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</row>
    <row r="300" spans="1:51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</row>
    <row r="301" spans="1:51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</row>
    <row r="302" spans="1:51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</row>
    <row r="303" spans="1:51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</row>
    <row r="304" spans="1:51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</row>
    <row r="305" spans="1:51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</row>
    <row r="306" spans="1:51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</row>
    <row r="307" spans="1:51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</row>
    <row r="308" spans="1:51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</row>
    <row r="309" spans="1:51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</row>
    <row r="310" spans="1:51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</row>
    <row r="311" spans="1:51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</row>
    <row r="312" spans="1:51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</row>
    <row r="313" spans="1:51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</row>
    <row r="314" spans="1:51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</row>
    <row r="315" spans="1:51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</row>
    <row r="316" spans="1:51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</row>
    <row r="317" spans="1:51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</row>
    <row r="318" spans="1:51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</row>
    <row r="319" spans="1:51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</row>
    <row r="320" spans="1:51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</row>
    <row r="321" spans="1:51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</row>
    <row r="322" spans="1:51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</row>
    <row r="323" spans="1:51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</row>
    <row r="324" spans="1:51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</row>
    <row r="325" spans="1:51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</row>
    <row r="326" spans="1:51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</row>
    <row r="327" spans="1:51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</row>
    <row r="328" spans="1:51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</row>
    <row r="329" spans="1:51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</row>
    <row r="330" spans="1:51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</row>
    <row r="331" spans="1:51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</row>
    <row r="332" spans="1:51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</row>
    <row r="333" spans="1:51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</row>
    <row r="334" spans="1:51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</row>
    <row r="335" spans="1:51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</row>
    <row r="336" spans="1:51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</row>
    <row r="337" spans="1:51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</row>
    <row r="338" spans="1:51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</row>
    <row r="339" spans="1:51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</row>
    <row r="340" spans="1:51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</row>
    <row r="341" spans="1:51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</row>
    <row r="342" spans="1:51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</row>
    <row r="343" spans="1:51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</row>
    <row r="344" spans="1:51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</row>
    <row r="345" spans="1:51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</row>
    <row r="346" spans="1:51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</row>
    <row r="347" spans="1:51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</row>
    <row r="348" spans="1:51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</row>
    <row r="349" spans="1:51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</row>
    <row r="350" spans="1:51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</row>
    <row r="351" spans="1:51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</row>
    <row r="352" spans="1:51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</row>
    <row r="353" spans="1:51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</row>
    <row r="354" spans="1:51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</row>
    <row r="355" spans="1:51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</row>
    <row r="356" spans="1:51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</row>
    <row r="357" spans="1:51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</row>
    <row r="358" spans="1:51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</row>
    <row r="359" spans="1:51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</row>
    <row r="360" spans="1:51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</row>
    <row r="361" spans="1:51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</row>
    <row r="362" spans="1:51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</row>
    <row r="363" spans="1:51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</row>
    <row r="364" spans="1:51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</row>
    <row r="365" spans="1:51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</row>
    <row r="366" spans="1:51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</row>
    <row r="367" spans="1:51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</row>
    <row r="368" spans="1:51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</row>
    <row r="369" spans="1:51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</row>
    <row r="370" spans="1:51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</row>
    <row r="371" spans="1:51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</row>
    <row r="372" spans="1:51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</row>
    <row r="373" spans="1:51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</row>
    <row r="374" spans="1:51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</row>
    <row r="375" spans="1:51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</row>
    <row r="376" spans="1:51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</row>
    <row r="377" spans="1:51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</row>
    <row r="378" spans="1:51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</row>
    <row r="379" spans="1:51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</row>
    <row r="380" spans="1:51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</row>
    <row r="381" spans="1:51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</row>
    <row r="382" spans="1:51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</row>
    <row r="383" spans="1:51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</row>
    <row r="384" spans="1:51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</row>
    <row r="385" spans="1:51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</row>
    <row r="386" spans="1:51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</row>
    <row r="387" spans="1:51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</row>
    <row r="388" spans="1:51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</row>
    <row r="389" spans="1:51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</row>
    <row r="390" spans="1:51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</row>
    <row r="391" spans="1:51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</row>
    <row r="392" spans="1:51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</row>
    <row r="393" spans="1:51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</row>
    <row r="394" spans="1:51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</row>
    <row r="395" spans="1:51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</row>
    <row r="396" spans="1:51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</row>
    <row r="397" spans="1:51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</row>
    <row r="398" spans="1:51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</row>
    <row r="399" spans="1:51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</row>
    <row r="400" spans="1:51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</row>
    <row r="401" spans="1:51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</row>
    <row r="402" spans="1:51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</row>
    <row r="403" spans="1:51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</row>
    <row r="404" spans="1:51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</row>
    <row r="405" spans="1:51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</row>
    <row r="406" spans="1:51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</row>
    <row r="407" spans="1:51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</row>
    <row r="408" spans="1:51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</row>
    <row r="409" spans="1:51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</row>
    <row r="410" spans="1:51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</row>
    <row r="411" spans="1:51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</row>
    <row r="412" spans="1:51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</row>
    <row r="413" spans="1:51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</row>
    <row r="414" spans="1:51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</row>
    <row r="415" spans="1:51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</row>
    <row r="416" spans="1:51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</row>
    <row r="417" spans="1:51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</row>
    <row r="418" spans="1:51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</row>
    <row r="419" spans="1:51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</row>
    <row r="420" spans="1:51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</row>
    <row r="421" spans="1:51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</row>
    <row r="422" spans="1:51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</row>
    <row r="423" spans="1:51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</row>
    <row r="424" spans="1:51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</row>
    <row r="425" spans="1:51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</row>
    <row r="426" spans="1:51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</row>
    <row r="427" spans="1:51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</row>
    <row r="428" spans="1:51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</row>
    <row r="429" spans="1:51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</row>
    <row r="430" spans="1:51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</row>
    <row r="431" spans="1:51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</row>
    <row r="432" spans="1:51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</row>
    <row r="433" spans="1:51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</row>
    <row r="434" spans="1:51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</row>
    <row r="435" spans="1:51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</row>
    <row r="436" spans="1:51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</row>
    <row r="437" spans="1:51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</row>
    <row r="438" spans="1:51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</row>
    <row r="439" spans="1:51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</row>
    <row r="440" spans="1:51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</row>
    <row r="441" spans="1:51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</row>
    <row r="442" spans="1:51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</row>
    <row r="443" spans="1:51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</row>
    <row r="444" spans="1:51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</row>
    <row r="445" spans="1:51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</row>
    <row r="446" spans="1:51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</row>
    <row r="447" spans="1:51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</row>
    <row r="448" spans="1:51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</row>
    <row r="449" spans="1:51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</row>
    <row r="450" spans="1:51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</row>
    <row r="451" spans="1:51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</row>
    <row r="452" spans="1:51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</row>
    <row r="453" spans="1:51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</row>
    <row r="454" spans="1:51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</row>
    <row r="455" spans="1:51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</row>
    <row r="456" spans="1:51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</row>
    <row r="457" spans="1:51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</row>
    <row r="458" spans="1:51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</row>
    <row r="459" spans="1:51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</row>
    <row r="460" spans="1:51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</row>
    <row r="461" spans="1:51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</row>
    <row r="462" spans="1:51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</row>
    <row r="463" spans="1:51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</row>
    <row r="464" spans="1:51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</row>
    <row r="465" spans="1:51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</row>
    <row r="466" spans="1:51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</row>
    <row r="467" spans="1:51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</row>
    <row r="468" spans="1:51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</row>
    <row r="469" spans="1:51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</row>
    <row r="470" spans="1:51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</row>
    <row r="471" spans="1:51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</row>
    <row r="472" spans="1:51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</row>
    <row r="473" spans="1:51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</row>
    <row r="474" spans="1:51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</row>
    <row r="475" spans="1:51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</row>
    <row r="476" spans="1:51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</row>
    <row r="477" spans="1:51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</row>
    <row r="478" spans="1:51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</row>
    <row r="479" spans="1:51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</row>
    <row r="480" spans="1:51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</row>
    <row r="481" spans="1:51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</row>
    <row r="482" spans="1:51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</row>
    <row r="483" spans="1:51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</row>
    <row r="484" spans="1:51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</row>
    <row r="485" spans="1:51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</row>
    <row r="486" spans="1:51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</row>
    <row r="487" spans="1:51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</row>
    <row r="488" spans="1:51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</row>
    <row r="489" spans="1:51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</row>
    <row r="490" spans="1:51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</row>
    <row r="491" spans="1:51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</row>
    <row r="492" spans="1:51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</row>
    <row r="493" spans="1:51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</row>
    <row r="494" spans="1:51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</row>
    <row r="495" spans="1:51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</row>
    <row r="496" spans="1:51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</row>
    <row r="497" spans="1:51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</row>
    <row r="498" spans="1:51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</row>
    <row r="499" spans="1:51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</row>
    <row r="500" spans="1:51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</row>
    <row r="501" spans="1:51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</row>
    <row r="502" spans="1:51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</row>
    <row r="503" spans="1:51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</row>
    <row r="504" spans="1:51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</row>
    <row r="505" spans="1:51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</row>
    <row r="506" spans="1:51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</row>
    <row r="507" spans="1:51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</row>
    <row r="508" spans="1:51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</row>
    <row r="509" spans="1:51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</row>
    <row r="510" spans="1:51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</row>
    <row r="511" spans="1:51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</row>
    <row r="512" spans="1:51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</row>
    <row r="513" spans="1:51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</row>
    <row r="514" spans="1:51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</row>
    <row r="515" spans="1:51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</row>
    <row r="516" spans="1:51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</row>
    <row r="517" spans="1:51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</row>
    <row r="518" spans="1:51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</row>
    <row r="519" spans="1:51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</row>
    <row r="520" spans="1:51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</row>
    <row r="521" spans="1:51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</row>
    <row r="522" spans="1:51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</row>
    <row r="523" spans="1:51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</row>
    <row r="524" spans="1:51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</row>
    <row r="525" spans="1:51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</row>
    <row r="526" spans="1:51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</row>
    <row r="527" spans="1:51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</row>
    <row r="528" spans="1:51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</row>
    <row r="529" spans="1:51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</row>
    <row r="530" spans="1:51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</row>
    <row r="531" spans="1:51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</row>
    <row r="532" spans="1:51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</row>
    <row r="533" spans="1:51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</row>
    <row r="534" spans="1:51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</row>
    <row r="535" spans="1:51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</row>
    <row r="536" spans="1:51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</row>
    <row r="537" spans="1:51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</row>
    <row r="538" spans="1:51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</row>
    <row r="539" spans="1:51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</row>
    <row r="540" spans="1:51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</row>
    <row r="541" spans="1:51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</row>
    <row r="542" spans="1:51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</row>
    <row r="543" spans="1:51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</row>
    <row r="544" spans="1:51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</row>
    <row r="545" spans="1:51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</row>
    <row r="546" spans="1:51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</row>
    <row r="547" spans="1:51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</row>
    <row r="548" spans="1:51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</row>
    <row r="549" spans="1:51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</row>
    <row r="550" spans="1:51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</row>
    <row r="551" spans="1:51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</row>
    <row r="552" spans="1:51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</row>
    <row r="553" spans="1:51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</row>
    <row r="554" spans="1:51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</row>
    <row r="555" spans="1:51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</row>
    <row r="556" spans="1:51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</row>
    <row r="557" spans="1:51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</row>
    <row r="558" spans="1:51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</row>
    <row r="559" spans="1:51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</row>
    <row r="560" spans="1:51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</row>
    <row r="561" spans="1:51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</row>
    <row r="562" spans="1:51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</row>
    <row r="563" spans="1:51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</row>
    <row r="564" spans="1:51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</row>
    <row r="565" spans="1:51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</row>
    <row r="566" spans="1:51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</row>
    <row r="567" spans="1:51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</row>
    <row r="568" spans="1:51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</row>
    <row r="569" spans="1:51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</row>
    <row r="570" spans="1:51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</row>
    <row r="571" spans="1:51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</row>
    <row r="572" spans="1:51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</row>
    <row r="573" spans="1:51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</row>
    <row r="574" spans="1:51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</row>
    <row r="575" spans="1:51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</row>
    <row r="576" spans="1:51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</row>
    <row r="577" spans="1:51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</row>
    <row r="578" spans="1:51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</row>
    <row r="579" spans="1:51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</row>
    <row r="580" spans="1:51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</row>
    <row r="581" spans="1:51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</row>
    <row r="582" spans="1:51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</row>
    <row r="583" spans="1:51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</row>
    <row r="584" spans="1:51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</row>
    <row r="585" spans="1:51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</row>
    <row r="586" spans="1:51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</row>
    <row r="587" spans="1:51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</row>
    <row r="588" spans="1:51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</row>
    <row r="589" spans="1:51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</row>
    <row r="590" spans="1:51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</row>
    <row r="591" spans="1:51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</row>
    <row r="592" spans="1:51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</row>
    <row r="593" spans="1:51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</row>
    <row r="594" spans="1:51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</row>
    <row r="595" spans="1:51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</row>
    <row r="596" spans="1:51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</row>
    <row r="597" spans="1:51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</row>
    <row r="598" spans="1:51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</row>
    <row r="599" spans="1:51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</row>
    <row r="600" spans="1:51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</row>
    <row r="601" spans="1:51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</row>
    <row r="602" spans="1:51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</row>
    <row r="603" spans="1:51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</row>
    <row r="604" spans="1:51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</row>
    <row r="605" spans="1:51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</row>
    <row r="606" spans="1:51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</row>
    <row r="607" spans="1:51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</row>
    <row r="608" spans="1:51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</row>
    <row r="609" spans="1:51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</row>
    <row r="610" spans="1:51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</row>
    <row r="611" spans="1:51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</row>
    <row r="612" spans="1:51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</row>
    <row r="613" spans="1:51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</row>
    <row r="614" spans="1:51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</row>
    <row r="615" spans="1:51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</row>
    <row r="616" spans="1:51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</row>
    <row r="617" spans="1:51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</row>
    <row r="618" spans="1:51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</row>
    <row r="619" spans="1:51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</row>
    <row r="620" spans="1:51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</row>
    <row r="621" spans="1:51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</row>
    <row r="622" spans="1:51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</row>
    <row r="623" spans="1:51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</row>
    <row r="624" spans="1:51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</row>
    <row r="625" spans="1:51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</row>
    <row r="626" spans="1:51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</row>
    <row r="627" spans="1:51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</row>
    <row r="628" spans="1:51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</row>
    <row r="629" spans="1:51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</row>
    <row r="630" spans="1:51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</row>
    <row r="631" spans="1:51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</row>
    <row r="632" spans="1:51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</row>
    <row r="633" spans="1:51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</row>
    <row r="634" spans="1:51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</row>
    <row r="635" spans="1:51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</row>
    <row r="636" spans="1:51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</row>
    <row r="637" spans="1:51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</row>
    <row r="638" spans="1:51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</row>
    <row r="639" spans="1:51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</row>
    <row r="640" spans="1:51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</row>
    <row r="641" spans="1:51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</row>
    <row r="642" spans="1:51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</row>
    <row r="643" spans="1:51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</row>
    <row r="644" spans="1:51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</row>
    <row r="645" spans="1:51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</row>
    <row r="646" spans="1:51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</row>
    <row r="647" spans="1:51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</row>
    <row r="648" spans="1:51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</row>
    <row r="649" spans="1:51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</row>
    <row r="650" spans="1:51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</row>
    <row r="651" spans="1:51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</row>
    <row r="652" spans="1:51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</row>
    <row r="653" spans="1:51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</row>
    <row r="654" spans="1:51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</row>
    <row r="655" spans="1:51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</row>
    <row r="656" spans="1:51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</row>
    <row r="657" spans="1:51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</row>
    <row r="658" spans="1:51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</row>
    <row r="659" spans="1:51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</row>
    <row r="660" spans="1:51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</row>
    <row r="661" spans="1:51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</row>
    <row r="662" spans="1:51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</row>
    <row r="663" spans="1:51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</row>
    <row r="664" spans="1:51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</row>
    <row r="665" spans="1:51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</row>
    <row r="666" spans="1:51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</row>
    <row r="667" spans="1:51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</row>
    <row r="668" spans="1:51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</row>
    <row r="669" spans="1:51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</row>
    <row r="670" spans="1:51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</row>
    <row r="671" spans="1:51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</row>
    <row r="672" spans="1:51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</row>
    <row r="673" spans="1:51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</row>
    <row r="674" spans="1:51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</row>
    <row r="675" spans="1:51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</row>
    <row r="676" spans="1:51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</row>
    <row r="677" spans="1:51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</row>
    <row r="678" spans="1:51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</row>
    <row r="679" spans="1:51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</row>
    <row r="680" spans="1:51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</row>
    <row r="681" spans="1:51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</row>
    <row r="682" spans="1:51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</row>
    <row r="683" spans="1:51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</row>
    <row r="684" spans="1:51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</row>
    <row r="685" spans="1:51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</row>
    <row r="686" spans="1:51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</row>
    <row r="687" spans="1:51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</row>
    <row r="688" spans="1:51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</row>
    <row r="689" spans="1:51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</row>
    <row r="690" spans="1:51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</row>
    <row r="691" spans="1:51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</row>
    <row r="692" spans="1:51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</row>
    <row r="693" spans="1:51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</row>
    <row r="694" spans="1:51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</row>
    <row r="695" spans="1:51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</row>
    <row r="696" spans="1:51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</row>
    <row r="697" spans="1:51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</row>
    <row r="698" spans="1:51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</row>
    <row r="699" spans="1:51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</row>
    <row r="700" spans="1:51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</row>
    <row r="701" spans="1:51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</row>
    <row r="702" spans="1:51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</row>
    <row r="703" spans="1:51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</row>
    <row r="704" spans="1:51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</row>
    <row r="705" spans="1:51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</row>
    <row r="706" spans="1:51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</row>
    <row r="707" spans="1:51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</row>
    <row r="708" spans="1:51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</row>
    <row r="709" spans="1:51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</row>
    <row r="710" spans="1:51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</row>
    <row r="711" spans="1:51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</row>
    <row r="712" spans="1:51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</row>
    <row r="713" spans="1:51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</row>
    <row r="714" spans="1:51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</row>
    <row r="715" spans="1:51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</row>
    <row r="716" spans="1:51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</row>
    <row r="717" spans="1:51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</row>
    <row r="718" spans="1:51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</row>
    <row r="719" spans="1:51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</row>
    <row r="720" spans="1:51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</row>
    <row r="721" spans="1:51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</row>
    <row r="722" spans="1:51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</row>
    <row r="723" spans="1:51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</row>
    <row r="724" spans="1:51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</row>
    <row r="725" spans="1:51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</row>
    <row r="726" spans="1:51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</row>
    <row r="727" spans="1:51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</row>
    <row r="728" spans="1:51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</row>
    <row r="729" spans="1:51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</row>
    <row r="730" spans="1:51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</row>
    <row r="731" spans="1:51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</row>
    <row r="732" spans="1:51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</row>
    <row r="733" spans="1:51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</row>
    <row r="734" spans="1:51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</row>
    <row r="735" spans="1:51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</row>
    <row r="736" spans="1:51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</row>
    <row r="737" spans="1:51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</row>
    <row r="738" spans="1:51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</row>
    <row r="739" spans="1:51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</row>
    <row r="740" spans="1:51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</row>
    <row r="741" spans="1:51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</row>
    <row r="742" spans="1:51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</row>
    <row r="743" spans="1:51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</row>
    <row r="744" spans="1:51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</row>
    <row r="745" spans="1:51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</row>
    <row r="746" spans="1:51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</row>
    <row r="747" spans="1:51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</row>
    <row r="748" spans="1:51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</row>
    <row r="749" spans="1:51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</row>
    <row r="750" spans="1:51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</row>
    <row r="751" spans="1:51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</row>
    <row r="752" spans="1:51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</row>
    <row r="753" spans="1:51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</row>
    <row r="754" spans="1:51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</row>
    <row r="755" spans="1:51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</row>
    <row r="756" spans="1:51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</row>
    <row r="757" spans="1:51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</row>
    <row r="758" spans="1:51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</row>
    <row r="759" spans="1:51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</row>
    <row r="760" spans="1:51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</row>
    <row r="761" spans="1:51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</row>
    <row r="762" spans="1:51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</row>
    <row r="763" spans="1:51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</row>
    <row r="764" spans="1:51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</row>
    <row r="765" spans="1:51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</row>
    <row r="766" spans="1:51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</row>
    <row r="767" spans="1:51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</row>
    <row r="768" spans="1:51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</row>
    <row r="769" spans="1:51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</row>
    <row r="770" spans="1:51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</row>
    <row r="771" spans="1:51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</row>
    <row r="772" spans="1:51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</row>
    <row r="773" spans="1:51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</row>
    <row r="774" spans="1:51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</row>
    <row r="775" spans="1:51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</row>
    <row r="776" spans="1:51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</row>
    <row r="777" spans="1:51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</row>
    <row r="778" spans="1:51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</row>
    <row r="779" spans="1:51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</row>
    <row r="780" spans="1:51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</row>
    <row r="781" spans="1:51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</row>
    <row r="782" spans="1:51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</row>
    <row r="783" spans="1:51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</row>
    <row r="784" spans="1:51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</row>
    <row r="785" spans="1:51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</row>
    <row r="786" spans="1:51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</row>
    <row r="787" spans="1:51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</row>
    <row r="788" spans="1:51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</row>
    <row r="789" spans="1:51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</row>
    <row r="790" spans="1:51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</row>
    <row r="791" spans="1:51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</row>
    <row r="792" spans="1:51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</row>
    <row r="793" spans="1:51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</row>
    <row r="794" spans="1:51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</row>
    <row r="795" spans="1:51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</row>
    <row r="796" spans="1:51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</row>
    <row r="797" spans="1:51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</row>
    <row r="798" spans="1:51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</row>
    <row r="799" spans="1:51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</row>
    <row r="800" spans="1:51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</row>
    <row r="801" spans="1:51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</row>
    <row r="802" spans="1:51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</row>
    <row r="803" spans="1:51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</row>
    <row r="804" spans="1:51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</row>
    <row r="805" spans="1:51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</row>
    <row r="806" spans="1:51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</row>
    <row r="807" spans="1:51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</row>
    <row r="808" spans="1:51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</row>
    <row r="809" spans="1:51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</row>
    <row r="810" spans="1:51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</row>
    <row r="811" spans="1:51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</row>
    <row r="812" spans="1:51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</row>
    <row r="813" spans="1:51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</row>
    <row r="814" spans="1:51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</row>
    <row r="815" spans="1:51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</row>
    <row r="816" spans="1:51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</row>
    <row r="817" spans="1:51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</row>
    <row r="818" spans="1:51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</row>
    <row r="819" spans="1:51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</row>
    <row r="820" spans="1:51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</row>
    <row r="821" spans="1:51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</row>
    <row r="822" spans="1:51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</row>
    <row r="823" spans="1:51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</row>
    <row r="824" spans="1:51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</row>
    <row r="825" spans="1:51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</row>
    <row r="826" spans="1:51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</row>
    <row r="827" spans="1:51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</row>
    <row r="828" spans="1:51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</row>
    <row r="829" spans="1:51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</row>
    <row r="830" spans="1:51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</row>
    <row r="831" spans="1:51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</row>
    <row r="832" spans="1:51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</row>
    <row r="833" spans="1:51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</row>
    <row r="834" spans="1:51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</row>
    <row r="835" spans="1:51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</row>
    <row r="836" spans="1:51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</row>
    <row r="837" spans="1:51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</row>
    <row r="838" spans="1:51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</row>
    <row r="839" spans="1:51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</row>
    <row r="840" spans="1:51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</row>
    <row r="841" spans="1:51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</row>
    <row r="842" spans="1:51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</row>
    <row r="843" spans="1:51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</row>
    <row r="844" spans="1:51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</row>
    <row r="845" spans="1:51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</row>
    <row r="846" spans="1:51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</row>
    <row r="847" spans="1:51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</row>
    <row r="848" spans="1:51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</row>
    <row r="849" spans="1:51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</row>
    <row r="850" spans="1:51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</row>
    <row r="851" spans="1:51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</row>
    <row r="852" spans="1:51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</row>
    <row r="853" spans="1:51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</row>
    <row r="854" spans="1:51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</row>
    <row r="855" spans="1:51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</row>
    <row r="856" spans="1:51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</row>
    <row r="857" spans="1:51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</row>
    <row r="858" spans="1:51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</row>
    <row r="859" spans="1:51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</row>
    <row r="860" spans="1:51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</row>
    <row r="861" spans="1:51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</row>
    <row r="862" spans="1:51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</row>
    <row r="863" spans="1:51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</row>
    <row r="864" spans="1:51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</row>
    <row r="865" spans="1:51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</row>
    <row r="866" spans="1:51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</row>
    <row r="867" spans="1:51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</row>
    <row r="868" spans="1:51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</row>
    <row r="869" spans="1:51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</row>
    <row r="870" spans="1:51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</row>
    <row r="871" spans="1:51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</row>
    <row r="872" spans="1:51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</row>
    <row r="873" spans="1:51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</row>
    <row r="874" spans="1:51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</row>
    <row r="875" spans="1:51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</row>
    <row r="876" spans="1:51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</row>
    <row r="877" spans="1:51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</row>
    <row r="878" spans="1:51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</row>
    <row r="879" spans="1:51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</row>
    <row r="880" spans="1:51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</row>
    <row r="881" spans="1:51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</row>
    <row r="882" spans="1:51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</row>
    <row r="883" spans="1:51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</row>
    <row r="884" spans="1:51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</row>
    <row r="885" spans="1:51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</row>
    <row r="886" spans="1:51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</row>
    <row r="887" spans="1:51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</row>
    <row r="888" spans="1:51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</row>
    <row r="889" spans="1:51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</row>
    <row r="890" spans="1:51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</row>
    <row r="891" spans="1:51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</row>
    <row r="892" spans="1:51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</row>
    <row r="893" spans="1:51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</row>
    <row r="894" spans="1:51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</row>
    <row r="895" spans="1:51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</row>
    <row r="896" spans="1:51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</row>
    <row r="897" spans="1:51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</row>
    <row r="898" spans="1:51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</row>
    <row r="899" spans="1:51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</row>
    <row r="900" spans="1:51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</row>
    <row r="901" spans="1:51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</row>
    <row r="902" spans="1:51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</row>
    <row r="903" spans="1:51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</row>
    <row r="904" spans="1:51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</row>
    <row r="905" spans="1:51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</row>
    <row r="906" spans="1:51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</row>
    <row r="907" spans="1:51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</row>
    <row r="908" spans="1:51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</row>
    <row r="909" spans="1:51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</row>
    <row r="910" spans="1:51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</row>
    <row r="911" spans="1:51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</row>
    <row r="912" spans="1:51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</row>
    <row r="913" spans="1:51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</row>
    <row r="914" spans="1:51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</row>
    <row r="915" spans="1:51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</row>
    <row r="916" spans="1:51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</row>
    <row r="917" spans="1:51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</row>
    <row r="918" spans="1:51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</row>
    <row r="919" spans="1:51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</row>
    <row r="920" spans="1:51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</row>
    <row r="921" spans="1:51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</row>
    <row r="922" spans="1:51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</row>
    <row r="923" spans="1:51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</row>
    <row r="924" spans="1:51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</row>
    <row r="925" spans="1:51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</row>
    <row r="926" spans="1:51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</row>
    <row r="927" spans="1:51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</row>
    <row r="928" spans="1:51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</row>
    <row r="929" spans="1:51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</row>
    <row r="930" spans="1:51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</row>
    <row r="931" spans="1:51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</row>
    <row r="932" spans="1:51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</row>
    <row r="933" spans="1:51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</row>
    <row r="934" spans="1:51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</row>
    <row r="935" spans="1:51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</row>
    <row r="936" spans="1:51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</row>
    <row r="937" spans="1:51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</row>
    <row r="938" spans="1:51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</row>
    <row r="939" spans="1:51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</row>
    <row r="940" spans="1:51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</row>
    <row r="941" spans="1:51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</row>
    <row r="942" spans="1:51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</row>
    <row r="943" spans="1:51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</row>
    <row r="944" spans="1:51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</row>
    <row r="945" spans="1:51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</row>
    <row r="946" spans="1:51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</row>
    <row r="947" spans="1:51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</row>
    <row r="948" spans="1:51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</row>
    <row r="949" spans="1:51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</row>
    <row r="950" spans="1:51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</row>
    <row r="951" spans="1:51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</row>
    <row r="952" spans="1:51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</row>
    <row r="953" spans="1:51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</row>
    <row r="954" spans="1:51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</row>
    <row r="955" spans="1:51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</row>
    <row r="956" spans="1:51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</row>
    <row r="957" spans="1:51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</row>
    <row r="958" spans="1:51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</row>
    <row r="959" spans="1:51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</row>
    <row r="960" spans="1:51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</row>
    <row r="961" spans="1:51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</row>
    <row r="962" spans="1:51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</row>
    <row r="963" spans="1:51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</row>
    <row r="964" spans="1:51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</row>
    <row r="965" spans="1:51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</row>
    <row r="966" spans="1:51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</row>
    <row r="967" spans="1:51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</row>
    <row r="968" spans="1:51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</row>
    <row r="969" spans="1:51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</row>
    <row r="970" spans="1:51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</row>
    <row r="971" spans="1:51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</row>
    <row r="972" spans="1:51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</row>
    <row r="973" spans="1:51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</row>
    <row r="974" spans="1:51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</row>
    <row r="975" spans="1:51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</row>
    <row r="976" spans="1:51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</row>
    <row r="977" spans="1:51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</row>
    <row r="978" spans="1:51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</row>
    <row r="979" spans="1:51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</row>
    <row r="980" spans="1:51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</row>
    <row r="981" spans="1:51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</row>
    <row r="982" spans="1:51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</row>
    <row r="983" spans="1:51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</row>
    <row r="984" spans="1:51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</row>
    <row r="985" spans="1:51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</row>
    <row r="986" spans="1:51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</row>
    <row r="987" spans="1:51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</row>
    <row r="988" spans="1:51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</row>
    <row r="989" spans="1:51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</row>
    <row r="990" spans="1:51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</row>
    <row r="991" spans="1:51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</row>
    <row r="992" spans="1:51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</row>
    <row r="993" spans="1:51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</row>
    <row r="994" spans="1:51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</row>
    <row r="995" spans="1:51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</row>
    <row r="996" spans="1:51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</row>
    <row r="997" spans="1:51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</row>
    <row r="998" spans="1:51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</row>
    <row r="999" spans="1:51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</row>
    <row r="1000" spans="1:51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</row>
  </sheetData>
  <pageMargins left="0.7" right="0.7" top="0.75" bottom="0.75" header="0" footer="0"/>
  <pageSetup orientation="landscape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7D328E1-839E-4A36-8D48-9155700EE0EA}">
          <x14:formula1>
            <xm:f>Description!$A$18:$A$19</xm:f>
          </x14:formula1>
          <xm:sqref>J24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AO1000"/>
  <sheetViews>
    <sheetView topLeftCell="U46" zoomScale="85" zoomScaleNormal="85" workbookViewId="0">
      <selection activeCell="AA60" sqref="AA60:AA64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4.28515625" customWidth="1"/>
    <col min="7" max="7" width="8.85546875" customWidth="1"/>
    <col min="8" max="8" width="19.28515625" customWidth="1"/>
    <col min="9" max="9" width="48.42578125" bestFit="1" customWidth="1"/>
    <col min="10" max="10" width="17.4257812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16.42578125" customWidth="1"/>
    <col min="19" max="19" width="16" customWidth="1"/>
    <col min="20" max="20" width="22" customWidth="1"/>
    <col min="21" max="21" width="23.85546875" customWidth="1"/>
    <col min="22" max="22" width="12.7109375" customWidth="1"/>
    <col min="23" max="23" width="19.42578125" customWidth="1"/>
    <col min="24" max="24" width="13.42578125" customWidth="1"/>
    <col min="25" max="25" width="8.85546875" customWidth="1"/>
    <col min="26" max="26" width="20.140625" customWidth="1"/>
    <col min="27" max="27" width="25" customWidth="1"/>
    <col min="28" max="28" width="12.85546875" customWidth="1"/>
    <col min="29" max="29" width="19" customWidth="1"/>
    <col min="30" max="30" width="4.7109375" customWidth="1"/>
    <col min="31" max="31" width="20.140625" customWidth="1"/>
    <col min="32" max="32" width="19.28515625" customWidth="1"/>
    <col min="33" max="33" width="11.28515625" customWidth="1"/>
    <col min="34" max="34" width="17.85546875" customWidth="1"/>
  </cols>
  <sheetData>
    <row r="1" spans="1:34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x14ac:dyDescent="0.25">
      <c r="A2" s="1" t="s">
        <v>2</v>
      </c>
      <c r="B2" s="3">
        <f>U49</f>
        <v>22205.043766247218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25">
      <c r="A3" s="2"/>
      <c r="B3" s="4">
        <f>B2/F41</f>
        <v>0.11102521883123609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1" t="s">
        <v>7</v>
      </c>
      <c r="AA4" s="2"/>
      <c r="AB4" s="2"/>
      <c r="AC4" s="2"/>
      <c r="AD4" s="2"/>
      <c r="AE4" s="2"/>
      <c r="AF4" s="2"/>
      <c r="AG4" s="2"/>
      <c r="AH4" s="2"/>
    </row>
    <row r="5" spans="1:34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127</v>
      </c>
      <c r="R7" s="11" t="s">
        <v>128</v>
      </c>
      <c r="S7" s="11" t="s">
        <v>19</v>
      </c>
      <c r="T7" s="11" t="s">
        <v>22</v>
      </c>
      <c r="U7" s="12" t="s">
        <v>23</v>
      </c>
      <c r="V7" s="1"/>
      <c r="W7" s="2" t="s">
        <v>24</v>
      </c>
      <c r="X7" s="2"/>
      <c r="Y7" s="2"/>
      <c r="Z7" s="2" t="s">
        <v>25</v>
      </c>
      <c r="AA7" s="2"/>
      <c r="AB7" s="2"/>
      <c r="AC7" s="2"/>
      <c r="AD7" s="2"/>
      <c r="AE7" s="2"/>
      <c r="AF7" s="2"/>
      <c r="AG7" s="2"/>
      <c r="AH7" s="2"/>
    </row>
    <row r="8" spans="1:34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72000000</v>
      </c>
      <c r="K8" s="2" t="s">
        <v>29</v>
      </c>
      <c r="L8" s="14"/>
      <c r="M8" s="2"/>
      <c r="N8" s="11">
        <v>0</v>
      </c>
      <c r="O8" s="16">
        <f>F31</f>
        <v>2887.4322580645157</v>
      </c>
      <c r="P8" s="11"/>
      <c r="Q8" s="11"/>
      <c r="R8" s="11"/>
      <c r="S8" s="11"/>
      <c r="T8" s="11"/>
      <c r="U8" s="17">
        <f t="shared" ref="U8:U48" si="0">SUM(O8:T8)</f>
        <v>2887.4322580645157</v>
      </c>
      <c r="V8" s="3"/>
      <c r="W8" s="6"/>
      <c r="X8" s="2"/>
      <c r="Y8" s="2"/>
      <c r="Z8" s="2" t="s">
        <v>182</v>
      </c>
      <c r="AA8" s="18">
        <f>F36</f>
        <v>0.64516129032258063</v>
      </c>
      <c r="AB8" s="2" t="s">
        <v>130</v>
      </c>
      <c r="AC8" s="2"/>
      <c r="AD8" s="2"/>
      <c r="AE8" s="2"/>
      <c r="AF8" s="2"/>
      <c r="AG8" s="2"/>
      <c r="AH8" s="2"/>
    </row>
    <row r="9" spans="1:34" x14ac:dyDescent="0.25">
      <c r="A9" s="13"/>
      <c r="B9" s="2"/>
      <c r="C9" s="2"/>
      <c r="D9" s="2"/>
      <c r="E9" s="2"/>
      <c r="F9" s="19"/>
      <c r="G9" s="2"/>
      <c r="H9" s="14"/>
      <c r="I9" s="2"/>
      <c r="J9" s="2"/>
      <c r="K9" s="2"/>
      <c r="L9" s="14"/>
      <c r="M9" s="2"/>
      <c r="N9" s="11">
        <v>1</v>
      </c>
      <c r="O9" s="11"/>
      <c r="P9" s="20">
        <f t="shared" ref="P9:P48" si="1">IF(N9&gt;0,IF(N9&lt;=$J$15,(($F$32+$F$33)/$J$15)/((1+($F$11/100))^N9),0),0)</f>
        <v>1880.0392258064514</v>
      </c>
      <c r="Q9" s="21">
        <f t="shared" ref="Q9:Q48" si="2">IF(N9&gt;0,($F$38*((1+($F$14/100))^(N9-1)))/((1+($F$11/100))^N9),0)</f>
        <v>890.93701996927791</v>
      </c>
      <c r="R9" s="21">
        <f t="shared" ref="R9:R48" si="3">IF(N9&gt;0,$J$31/((1+($F$11/100))^N9),0)</f>
        <v>624.8847926267282</v>
      </c>
      <c r="S9" s="21">
        <f t="shared" ref="S9:S48" si="4">IF(N9&gt;0,(($F$17/100)*($F$18/100)*$B$17*W9)/((1+($F$11/100))^N9),0)</f>
        <v>17.84064</v>
      </c>
      <c r="T9" s="20">
        <f t="shared" ref="T9:T48" si="5">IF(N9=$B$5,((((1-$J$12/100)^N9)*$B$44)/((1+($F$11/100))^N9))*-1,0)</f>
        <v>0</v>
      </c>
      <c r="U9" s="17">
        <f t="shared" si="0"/>
        <v>3413.7016784024572</v>
      </c>
      <c r="V9" s="3"/>
      <c r="W9" s="6">
        <f t="shared" ref="W9:W48" si="6">IF(N9&gt;0,((((1-$J$12/100)^N9)*$B$44/((1+($F$11/100))^N9))),0)</f>
        <v>5755.0451612903225</v>
      </c>
      <c r="X9" s="2"/>
      <c r="Y9" s="2"/>
      <c r="Z9" s="2" t="s">
        <v>174</v>
      </c>
      <c r="AA9" s="23">
        <f>B47</f>
        <v>9624.7741935483864</v>
      </c>
      <c r="AB9" s="2" t="s">
        <v>3</v>
      </c>
      <c r="AC9" s="2"/>
      <c r="AD9" s="6"/>
      <c r="AE9" s="2"/>
      <c r="AF9" s="2"/>
      <c r="AG9" s="2"/>
      <c r="AH9" s="2"/>
    </row>
    <row r="10" spans="1:34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131</v>
      </c>
      <c r="J10" s="26">
        <v>7.2499999999999995E-2</v>
      </c>
      <c r="K10" s="2" t="s">
        <v>132</v>
      </c>
      <c r="L10" s="14"/>
      <c r="M10" s="2"/>
      <c r="N10" s="11">
        <f t="shared" ref="N10:N48" si="7">IF((N9+1)&gt;$B$5,,IF(N9=0,,N9+1))</f>
        <v>2</v>
      </c>
      <c r="O10" s="11"/>
      <c r="P10" s="20">
        <f t="shared" si="1"/>
        <v>1790.5135483870968</v>
      </c>
      <c r="Q10" s="21">
        <f t="shared" si="2"/>
        <v>856.99656206568636</v>
      </c>
      <c r="R10" s="21">
        <f t="shared" si="3"/>
        <v>595.12837393021732</v>
      </c>
      <c r="S10" s="21">
        <f t="shared" si="4"/>
        <v>15.036301757823127</v>
      </c>
      <c r="T10" s="20">
        <f t="shared" si="5"/>
        <v>0</v>
      </c>
      <c r="U10" s="17">
        <f t="shared" si="0"/>
        <v>3257.674786140823</v>
      </c>
      <c r="V10" s="3"/>
      <c r="W10" s="6">
        <f t="shared" si="6"/>
        <v>5092.9409179723498</v>
      </c>
      <c r="X10" s="2"/>
      <c r="Y10" s="2"/>
      <c r="Z10" s="2" t="s">
        <v>42</v>
      </c>
      <c r="AA10" s="6">
        <f>F12</f>
        <v>20000</v>
      </c>
      <c r="AB10" s="2" t="s">
        <v>43</v>
      </c>
      <c r="AC10" s="2"/>
      <c r="AD10" s="6"/>
      <c r="AE10" s="2"/>
      <c r="AF10" s="2"/>
      <c r="AG10" s="2"/>
      <c r="AH10" s="2"/>
    </row>
    <row r="11" spans="1:34" x14ac:dyDescent="0.25">
      <c r="A11" s="24" t="s">
        <v>171</v>
      </c>
      <c r="B11" s="2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52</v>
      </c>
      <c r="J11" s="2">
        <v>30</v>
      </c>
      <c r="K11" s="2" t="s">
        <v>53</v>
      </c>
      <c r="L11" s="14"/>
      <c r="M11" s="2"/>
      <c r="N11" s="11">
        <f t="shared" si="7"/>
        <v>3</v>
      </c>
      <c r="O11" s="11"/>
      <c r="P11" s="20">
        <f t="shared" si="1"/>
        <v>1705.2509984639014</v>
      </c>
      <c r="Q11" s="21">
        <f t="shared" si="2"/>
        <v>824.3490739869934</v>
      </c>
      <c r="R11" s="21">
        <f t="shared" si="3"/>
        <v>566.78892755258789</v>
      </c>
      <c r="S11" s="21">
        <f t="shared" si="4"/>
        <v>12.672772420289569</v>
      </c>
      <c r="T11" s="20">
        <f t="shared" si="5"/>
        <v>0</v>
      </c>
      <c r="U11" s="17">
        <f t="shared" si="0"/>
        <v>3109.0617724237723</v>
      </c>
      <c r="V11" s="3"/>
      <c r="W11" s="6">
        <f t="shared" si="6"/>
        <v>4507.0101914094357</v>
      </c>
      <c r="X11" s="2"/>
      <c r="Y11" s="2"/>
      <c r="Z11" s="15" t="s">
        <v>48</v>
      </c>
      <c r="AA11" s="6">
        <f>J36</f>
        <v>632.00000000000011</v>
      </c>
      <c r="AB11" s="2" t="s">
        <v>49</v>
      </c>
      <c r="AC11" s="2"/>
      <c r="AD11" s="6"/>
      <c r="AE11" s="2"/>
      <c r="AF11" s="2"/>
      <c r="AG11" s="2"/>
      <c r="AH11" s="2"/>
    </row>
    <row r="12" spans="1:34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20000</v>
      </c>
      <c r="G12" s="2" t="s">
        <v>43</v>
      </c>
      <c r="H12" s="14"/>
      <c r="I12" s="15" t="s">
        <v>60</v>
      </c>
      <c r="J12" s="2">
        <v>7.08</v>
      </c>
      <c r="K12" s="2" t="s">
        <v>61</v>
      </c>
      <c r="L12" s="14"/>
      <c r="M12" s="2"/>
      <c r="N12" s="11">
        <f t="shared" si="7"/>
        <v>4</v>
      </c>
      <c r="O12" s="11"/>
      <c r="P12" s="20">
        <f t="shared" si="1"/>
        <v>1624.0485699656206</v>
      </c>
      <c r="Q12" s="21">
        <f t="shared" si="2"/>
        <v>792.94529973986994</v>
      </c>
      <c r="R12" s="21">
        <f t="shared" si="3"/>
        <v>539.79897862151233</v>
      </c>
      <c r="S12" s="21">
        <f t="shared" si="4"/>
        <v>10.680762025336117</v>
      </c>
      <c r="T12" s="20">
        <f t="shared" si="5"/>
        <v>0</v>
      </c>
      <c r="U12" s="17">
        <f t="shared" si="0"/>
        <v>2967.4736103523387</v>
      </c>
      <c r="V12" s="3"/>
      <c r="W12" s="6">
        <f t="shared" si="6"/>
        <v>3988.4893998644266</v>
      </c>
      <c r="X12" s="2"/>
      <c r="Y12" s="2"/>
      <c r="Z12" s="91" t="s">
        <v>197</v>
      </c>
      <c r="AA12" s="92">
        <f>J10</f>
        <v>7.2499999999999995E-2</v>
      </c>
      <c r="AB12" s="91" t="s">
        <v>132</v>
      </c>
      <c r="AC12" s="2"/>
      <c r="AD12" s="6"/>
      <c r="AE12" s="2"/>
      <c r="AF12" s="2"/>
      <c r="AG12" s="2"/>
      <c r="AH12" s="2"/>
    </row>
    <row r="13" spans="1:34" x14ac:dyDescent="0.25">
      <c r="A13" s="24" t="s">
        <v>50</v>
      </c>
      <c r="B13" s="2">
        <v>11</v>
      </c>
      <c r="C13" s="2" t="s">
        <v>38</v>
      </c>
      <c r="D13" s="2"/>
      <c r="E13" s="15" t="s">
        <v>129</v>
      </c>
      <c r="F13" s="6">
        <v>10000</v>
      </c>
      <c r="G13" s="2" t="s">
        <v>133</v>
      </c>
      <c r="H13" s="14"/>
      <c r="I13" s="15"/>
      <c r="J13" s="6"/>
      <c r="K13" s="2"/>
      <c r="L13" s="14"/>
      <c r="M13" s="2"/>
      <c r="N13" s="11">
        <f t="shared" si="7"/>
        <v>5</v>
      </c>
      <c r="O13" s="11"/>
      <c r="P13" s="20">
        <f t="shared" si="1"/>
        <v>1546.7129237767813</v>
      </c>
      <c r="Q13" s="21">
        <f t="shared" si="2"/>
        <v>762.73785974977966</v>
      </c>
      <c r="R13" s="21">
        <f t="shared" si="3"/>
        <v>514.09426535382124</v>
      </c>
      <c r="S13" s="21">
        <f t="shared" si="4"/>
        <v>9.0018721759114015</v>
      </c>
      <c r="T13" s="20">
        <f t="shared" si="5"/>
        <v>0</v>
      </c>
      <c r="U13" s="17">
        <f t="shared" si="0"/>
        <v>2832.5469210562937</v>
      </c>
      <c r="V13" s="3"/>
      <c r="W13" s="6">
        <f t="shared" si="6"/>
        <v>3529.6231908133573</v>
      </c>
      <c r="X13" s="2"/>
      <c r="Y13" s="2"/>
      <c r="Z13" s="2"/>
      <c r="AA13" s="2"/>
      <c r="AB13" s="2"/>
      <c r="AC13" s="2"/>
      <c r="AD13" s="6"/>
      <c r="AE13" s="2"/>
      <c r="AF13" s="2"/>
      <c r="AG13" s="2"/>
      <c r="AH13" s="2"/>
    </row>
    <row r="14" spans="1:34" x14ac:dyDescent="0.25">
      <c r="A14" s="24" t="s">
        <v>134</v>
      </c>
      <c r="B14" s="2">
        <v>7.5</v>
      </c>
      <c r="C14" s="2" t="s">
        <v>38</v>
      </c>
      <c r="D14" s="2"/>
      <c r="E14" s="15" t="s">
        <v>135</v>
      </c>
      <c r="F14" s="2">
        <v>1</v>
      </c>
      <c r="G14" s="2" t="s">
        <v>56</v>
      </c>
      <c r="H14" s="14"/>
      <c r="I14" s="1" t="s">
        <v>79</v>
      </c>
      <c r="J14" s="2"/>
      <c r="K14" s="2"/>
      <c r="L14" s="14"/>
      <c r="M14" s="2"/>
      <c r="N14" s="11">
        <f t="shared" si="7"/>
        <v>6</v>
      </c>
      <c r="O14" s="11"/>
      <c r="P14" s="20">
        <f t="shared" si="1"/>
        <v>0</v>
      </c>
      <c r="Q14" s="21">
        <f t="shared" si="2"/>
        <v>733.6811793783595</v>
      </c>
      <c r="R14" s="21">
        <f t="shared" si="3"/>
        <v>489.61358605125838</v>
      </c>
      <c r="S14" s="21">
        <f t="shared" si="4"/>
        <v>7.5868840143826537</v>
      </c>
      <c r="T14" s="20">
        <f t="shared" si="5"/>
        <v>0</v>
      </c>
      <c r="U14" s="17">
        <f t="shared" si="0"/>
        <v>1230.8816494440005</v>
      </c>
      <c r="V14" s="3"/>
      <c r="W14" s="6">
        <f t="shared" si="6"/>
        <v>3123.548446575021</v>
      </c>
      <c r="X14" s="2"/>
      <c r="Y14" s="2"/>
      <c r="Z14" s="2"/>
      <c r="AA14" s="2"/>
      <c r="AB14" s="2"/>
      <c r="AC14" s="2"/>
      <c r="AD14" s="6"/>
      <c r="AE14" s="2"/>
      <c r="AF14" s="2"/>
      <c r="AG14" s="2"/>
      <c r="AH14" s="2"/>
    </row>
    <row r="15" spans="1:34" x14ac:dyDescent="0.25">
      <c r="A15" s="2" t="s">
        <v>58</v>
      </c>
      <c r="B15" s="2">
        <v>22</v>
      </c>
      <c r="C15" s="2" t="s">
        <v>38</v>
      </c>
      <c r="D15" s="2"/>
      <c r="E15" s="15" t="s">
        <v>63</v>
      </c>
      <c r="F15" s="2">
        <v>0</v>
      </c>
      <c r="G15" s="2" t="s">
        <v>64</v>
      </c>
      <c r="H15" s="14"/>
      <c r="I15" s="15" t="s">
        <v>85</v>
      </c>
      <c r="J15" s="2">
        <v>5</v>
      </c>
      <c r="K15" s="2" t="s">
        <v>53</v>
      </c>
      <c r="L15" s="14"/>
      <c r="M15" s="2"/>
      <c r="N15" s="11">
        <f t="shared" si="7"/>
        <v>7</v>
      </c>
      <c r="O15" s="11"/>
      <c r="P15" s="20">
        <f t="shared" si="1"/>
        <v>0</v>
      </c>
      <c r="Q15" s="21">
        <f t="shared" si="2"/>
        <v>705.73142016394581</v>
      </c>
      <c r="R15" s="21">
        <f t="shared" si="3"/>
        <v>466.29865338215075</v>
      </c>
      <c r="S15" s="21">
        <f t="shared" si="4"/>
        <v>6.3943153071785579</v>
      </c>
      <c r="T15" s="20">
        <f t="shared" si="5"/>
        <v>0</v>
      </c>
      <c r="U15" s="17">
        <f t="shared" si="0"/>
        <v>1178.4243888532751</v>
      </c>
      <c r="V15" s="3"/>
      <c r="W15" s="6">
        <f t="shared" si="6"/>
        <v>2764.1916348166756</v>
      </c>
      <c r="X15" s="2"/>
      <c r="Y15" s="2"/>
      <c r="Z15" s="2"/>
      <c r="AA15" s="2"/>
      <c r="AB15" s="2"/>
      <c r="AC15" s="2"/>
      <c r="AD15" s="6"/>
      <c r="AE15" s="2"/>
      <c r="AF15" s="2"/>
      <c r="AG15" s="2"/>
      <c r="AH15" s="2"/>
    </row>
    <row r="16" spans="1:34" x14ac:dyDescent="0.25">
      <c r="A16" s="24" t="s">
        <v>62</v>
      </c>
      <c r="B16" s="2">
        <v>40</v>
      </c>
      <c r="C16" s="2" t="s">
        <v>38</v>
      </c>
      <c r="D16" s="2"/>
      <c r="E16" s="15" t="s">
        <v>67</v>
      </c>
      <c r="F16" s="6">
        <f>2*87000</f>
        <v>174000</v>
      </c>
      <c r="G16" s="2" t="s">
        <v>64</v>
      </c>
      <c r="H16" s="14"/>
      <c r="I16" s="15" t="s">
        <v>89</v>
      </c>
      <c r="J16" s="2">
        <v>30</v>
      </c>
      <c r="K16" s="2" t="s">
        <v>90</v>
      </c>
      <c r="L16" s="14"/>
      <c r="M16" s="2"/>
      <c r="N16" s="11">
        <f t="shared" si="7"/>
        <v>8</v>
      </c>
      <c r="O16" s="11"/>
      <c r="P16" s="20">
        <f t="shared" si="1"/>
        <v>0</v>
      </c>
      <c r="Q16" s="21">
        <f t="shared" si="2"/>
        <v>678.84641368150972</v>
      </c>
      <c r="R16" s="21">
        <f t="shared" si="3"/>
        <v>444.09395560204837</v>
      </c>
      <c r="S16" s="21">
        <f t="shared" si="4"/>
        <v>5.3892043387123065</v>
      </c>
      <c r="T16" s="20">
        <f t="shared" si="5"/>
        <v>0</v>
      </c>
      <c r="U16" s="17">
        <f t="shared" si="0"/>
        <v>1128.3295736222703</v>
      </c>
      <c r="V16" s="3"/>
      <c r="W16" s="6">
        <f t="shared" si="6"/>
        <v>2446.1779686396717</v>
      </c>
      <c r="X16" s="2"/>
      <c r="Y16" s="2"/>
      <c r="Z16" s="2"/>
      <c r="AA16" s="2"/>
      <c r="AB16" s="2"/>
      <c r="AC16" s="2"/>
      <c r="AD16" s="6"/>
      <c r="AE16" s="2"/>
      <c r="AF16" s="2"/>
      <c r="AG16" s="2"/>
      <c r="AH16" s="2"/>
    </row>
    <row r="17" spans="1:41" x14ac:dyDescent="0.25">
      <c r="A17" s="24" t="s">
        <v>66</v>
      </c>
      <c r="B17" s="2">
        <v>1.085</v>
      </c>
      <c r="C17" s="2"/>
      <c r="D17" s="2"/>
      <c r="E17" s="15" t="s">
        <v>70</v>
      </c>
      <c r="F17" s="2">
        <v>60</v>
      </c>
      <c r="G17" s="2" t="s">
        <v>38</v>
      </c>
      <c r="H17" s="14"/>
      <c r="I17" s="2"/>
      <c r="J17" s="2"/>
      <c r="K17" s="2"/>
      <c r="L17" s="14"/>
      <c r="M17" s="2"/>
      <c r="N17" s="11">
        <f t="shared" si="7"/>
        <v>9</v>
      </c>
      <c r="O17" s="11"/>
      <c r="P17" s="20">
        <f t="shared" si="1"/>
        <v>0</v>
      </c>
      <c r="Q17" s="21">
        <f t="shared" si="2"/>
        <v>652.9855979222142</v>
      </c>
      <c r="R17" s="21">
        <f t="shared" si="3"/>
        <v>422.94662438290317</v>
      </c>
      <c r="S17" s="21">
        <f t="shared" si="4"/>
        <v>4.5420849628403399</v>
      </c>
      <c r="T17" s="20">
        <f t="shared" si="5"/>
        <v>0</v>
      </c>
      <c r="U17" s="17">
        <f t="shared" si="0"/>
        <v>1080.4743072679578</v>
      </c>
      <c r="V17" s="3"/>
      <c r="W17" s="6">
        <f t="shared" si="6"/>
        <v>2164.7510175809361</v>
      </c>
      <c r="X17" s="2"/>
      <c r="Y17" s="2"/>
      <c r="Z17" s="2"/>
      <c r="AA17" s="2"/>
      <c r="AB17" s="2"/>
      <c r="AC17" s="2"/>
      <c r="AD17" s="6"/>
      <c r="AE17" s="2"/>
      <c r="AF17" s="2"/>
      <c r="AG17" s="2"/>
      <c r="AH17" s="2"/>
    </row>
    <row r="18" spans="1:41" x14ac:dyDescent="0.25">
      <c r="A18" s="24" t="s">
        <v>179</v>
      </c>
      <c r="B18" s="2">
        <v>7.5</v>
      </c>
      <c r="C18" s="2" t="s">
        <v>38</v>
      </c>
      <c r="D18" s="2"/>
      <c r="E18" s="15" t="s">
        <v>71</v>
      </c>
      <c r="F18" s="2">
        <v>0.5</v>
      </c>
      <c r="G18" s="2" t="s">
        <v>38</v>
      </c>
      <c r="H18" s="14"/>
      <c r="I18" s="15"/>
      <c r="J18" s="2"/>
      <c r="K18" s="2"/>
      <c r="L18" s="14"/>
      <c r="M18" s="2"/>
      <c r="N18" s="11">
        <f t="shared" si="7"/>
        <v>10</v>
      </c>
      <c r="O18" s="11"/>
      <c r="P18" s="20">
        <f t="shared" si="1"/>
        <v>0</v>
      </c>
      <c r="Q18" s="21">
        <f t="shared" si="2"/>
        <v>628.10995609660608</v>
      </c>
      <c r="R18" s="21">
        <f t="shared" si="3"/>
        <v>402.80630893609828</v>
      </c>
      <c r="S18" s="21">
        <f t="shared" si="4"/>
        <v>3.8281227641462534</v>
      </c>
      <c r="T18" s="20">
        <f t="shared" si="5"/>
        <v>-1915.701567177339</v>
      </c>
      <c r="U18" s="17">
        <f t="shared" si="0"/>
        <v>-880.95717938048847</v>
      </c>
      <c r="V18" s="3"/>
      <c r="W18" s="6">
        <f t="shared" si="6"/>
        <v>1915.701567177339</v>
      </c>
      <c r="X18" s="2"/>
      <c r="Y18" s="2"/>
      <c r="Z18" s="2"/>
      <c r="AA18" s="2"/>
      <c r="AB18" s="2"/>
      <c r="AC18" s="2"/>
      <c r="AD18" s="6"/>
      <c r="AE18" s="2"/>
      <c r="AF18" s="2"/>
      <c r="AG18" s="2"/>
      <c r="AH18" s="2"/>
    </row>
    <row r="19" spans="1:41" x14ac:dyDescent="0.25">
      <c r="A19" s="24" t="s">
        <v>180</v>
      </c>
      <c r="B19" s="2">
        <v>0</v>
      </c>
      <c r="C19" s="2" t="s">
        <v>38</v>
      </c>
      <c r="D19" s="2"/>
      <c r="E19" s="15" t="s">
        <v>74</v>
      </c>
      <c r="F19" s="6">
        <v>140000</v>
      </c>
      <c r="G19" s="2" t="s">
        <v>64</v>
      </c>
      <c r="H19" s="14"/>
      <c r="I19" s="2"/>
      <c r="J19" s="2"/>
      <c r="K19" s="2"/>
      <c r="L19" s="14"/>
      <c r="M19" s="2"/>
      <c r="N19" s="11">
        <f t="shared" si="7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0">
        <f t="shared" si="5"/>
        <v>0</v>
      </c>
      <c r="U19" s="17">
        <f t="shared" si="0"/>
        <v>0</v>
      </c>
      <c r="V19" s="3"/>
      <c r="W19" s="6">
        <f t="shared" si="6"/>
        <v>0</v>
      </c>
      <c r="X19" s="2"/>
      <c r="Y19" s="2"/>
      <c r="Z19" s="2"/>
      <c r="AA19" s="2"/>
      <c r="AB19" s="2"/>
      <c r="AC19" s="2"/>
      <c r="AD19" s="6"/>
      <c r="AE19" s="2"/>
      <c r="AF19" s="2"/>
      <c r="AG19" s="2"/>
      <c r="AH19" s="2"/>
    </row>
    <row r="20" spans="1:41" x14ac:dyDescent="0.25">
      <c r="A20" s="24" t="s">
        <v>73</v>
      </c>
      <c r="B20" s="2">
        <v>0</v>
      </c>
      <c r="C20" s="2" t="s">
        <v>38</v>
      </c>
      <c r="D20" s="2"/>
      <c r="E20" s="15" t="s">
        <v>48</v>
      </c>
      <c r="F20" s="5">
        <v>489.80000000000007</v>
      </c>
      <c r="G20" s="2" t="s">
        <v>152</v>
      </c>
      <c r="H20" s="14"/>
      <c r="I20" s="2"/>
      <c r="J20" s="2"/>
      <c r="K20" s="2"/>
      <c r="L20" s="14"/>
      <c r="M20" s="2"/>
      <c r="N20" s="11">
        <f t="shared" si="7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0">
        <f t="shared" si="5"/>
        <v>0</v>
      </c>
      <c r="U20" s="17">
        <f t="shared" si="0"/>
        <v>0</v>
      </c>
      <c r="V20" s="3"/>
      <c r="W20" s="6">
        <f t="shared" si="6"/>
        <v>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4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84</v>
      </c>
      <c r="F21" s="2">
        <v>9.3000000000000007</v>
      </c>
      <c r="G21" s="2" t="s">
        <v>61</v>
      </c>
      <c r="H21" s="14"/>
      <c r="I21" s="2"/>
      <c r="J21" s="2"/>
      <c r="K21" s="2"/>
      <c r="L21" s="14"/>
      <c r="M21" s="2"/>
      <c r="N21" s="11">
        <f t="shared" si="7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0">
        <f t="shared" si="5"/>
        <v>0</v>
      </c>
      <c r="U21" s="17">
        <f t="shared" si="0"/>
        <v>0</v>
      </c>
      <c r="V21" s="3"/>
      <c r="W21" s="6">
        <f t="shared" si="6"/>
        <v>0</v>
      </c>
      <c r="X21" s="2"/>
      <c r="Y21" s="2"/>
      <c r="Z21" s="27" t="s">
        <v>129</v>
      </c>
      <c r="AA21" s="28"/>
      <c r="AB21" s="28"/>
      <c r="AC21" s="28"/>
      <c r="AD21" s="2"/>
      <c r="AE21" s="27" t="s">
        <v>28</v>
      </c>
      <c r="AF21" s="28"/>
      <c r="AG21" s="28"/>
      <c r="AH21" s="28"/>
      <c r="AJ21" s="76" t="s">
        <v>191</v>
      </c>
      <c r="AK21" s="76" t="s">
        <v>183</v>
      </c>
      <c r="AL21" s="76" t="s">
        <v>129</v>
      </c>
      <c r="AM21" s="76" t="s">
        <v>189</v>
      </c>
      <c r="AN21" s="76" t="s">
        <v>188</v>
      </c>
      <c r="AO21" s="93" t="str">
        <f>Z51</f>
        <v>Energy Efficiency</v>
      </c>
    </row>
    <row r="22" spans="1:41" ht="15.75" customHeight="1" x14ac:dyDescent="0.25">
      <c r="A22" s="24" t="s">
        <v>78</v>
      </c>
      <c r="B22" s="2">
        <v>0</v>
      </c>
      <c r="C22" s="2" t="s">
        <v>38</v>
      </c>
      <c r="D22" s="2"/>
      <c r="E22" s="2" t="s">
        <v>88</v>
      </c>
      <c r="F22" s="5">
        <f>(100000+200000)/5</f>
        <v>60000</v>
      </c>
      <c r="G22" s="2" t="s">
        <v>64</v>
      </c>
      <c r="H22" s="14"/>
      <c r="I22" s="2"/>
      <c r="J22" s="2"/>
      <c r="K22" s="2"/>
      <c r="L22" s="14"/>
      <c r="M22" s="2"/>
      <c r="N22" s="11">
        <f t="shared" si="7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0">
        <f t="shared" si="5"/>
        <v>0</v>
      </c>
      <c r="U22" s="17">
        <f t="shared" si="0"/>
        <v>0</v>
      </c>
      <c r="V22" s="3"/>
      <c r="W22" s="6">
        <f t="shared" si="6"/>
        <v>0</v>
      </c>
      <c r="X22" s="2"/>
      <c r="Y22" s="2"/>
      <c r="Z22" s="28" t="s">
        <v>80</v>
      </c>
      <c r="AA22" s="28" t="s">
        <v>136</v>
      </c>
      <c r="AB22" s="28" t="s">
        <v>23</v>
      </c>
      <c r="AC22" s="28" t="s">
        <v>82</v>
      </c>
      <c r="AD22" s="2"/>
      <c r="AE22" s="28" t="s">
        <v>80</v>
      </c>
      <c r="AF22" s="28" t="s">
        <v>83</v>
      </c>
      <c r="AG22" s="28" t="s">
        <v>23</v>
      </c>
      <c r="AH22" s="28" t="s">
        <v>82</v>
      </c>
      <c r="AJ22" s="77">
        <v>-50</v>
      </c>
      <c r="AK22" s="78">
        <f>AH24</f>
        <v>-25.74639718081669</v>
      </c>
      <c r="AL22" s="78">
        <f>AC24</f>
        <v>-16.949573398716158</v>
      </c>
      <c r="AM22" s="79">
        <f t="shared" ref="AM22:AM32" si="8">AC39</f>
        <v>-10.98880174841821</v>
      </c>
      <c r="AN22" s="79">
        <f t="shared" ref="AN22:AN32" si="9">AH39</f>
        <v>-27.938375147134352</v>
      </c>
      <c r="AO22" s="53">
        <f>AC54</f>
        <v>16.949573398716176</v>
      </c>
    </row>
    <row r="23" spans="1:41" ht="15.75" customHeight="1" x14ac:dyDescent="0.25">
      <c r="A23" s="2"/>
      <c r="B23" s="2"/>
      <c r="C23" s="2"/>
      <c r="D23" s="2"/>
      <c r="E23" s="2"/>
      <c r="F23" s="2"/>
      <c r="G23" s="2"/>
      <c r="H23" s="14"/>
      <c r="I23" s="2"/>
      <c r="J23" s="2"/>
      <c r="K23" s="2"/>
      <c r="L23" s="14"/>
      <c r="M23" s="2"/>
      <c r="N23" s="11">
        <f t="shared" si="7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0">
        <f t="shared" si="5"/>
        <v>0</v>
      </c>
      <c r="U23" s="17">
        <f t="shared" si="0"/>
        <v>0</v>
      </c>
      <c r="V23" s="3"/>
      <c r="W23" s="6">
        <f t="shared" si="6"/>
        <v>0</v>
      </c>
      <c r="X23" s="2"/>
      <c r="Y23" s="2"/>
      <c r="Z23" s="28" t="s">
        <v>87</v>
      </c>
      <c r="AA23" s="30">
        <v>0.64516129032258063</v>
      </c>
      <c r="AB23" s="31">
        <f>U49</f>
        <v>22205.043766247218</v>
      </c>
      <c r="AC23" s="28"/>
      <c r="AD23" s="2"/>
      <c r="AE23" s="28" t="s">
        <v>87</v>
      </c>
      <c r="AF23" s="32">
        <v>9624.7741935483864</v>
      </c>
      <c r="AG23" s="31">
        <f>U49</f>
        <v>22205.043766247218</v>
      </c>
      <c r="AH23" s="28"/>
      <c r="AJ23" s="77">
        <v>-40</v>
      </c>
      <c r="AK23" s="78">
        <f>AH25</f>
        <v>-20.59711774465336</v>
      </c>
      <c r="AL23" s="78">
        <f t="shared" ref="AL23:AL32" si="10">AC25</f>
        <v>-13.559658718972933</v>
      </c>
      <c r="AM23" s="79">
        <f t="shared" si="8"/>
        <v>-8.7910413987345706</v>
      </c>
      <c r="AN23" s="79">
        <f t="shared" si="9"/>
        <v>-22.350700117707508</v>
      </c>
      <c r="AO23" s="53">
        <f t="shared" ref="AO23:AO32" si="11">AC55</f>
        <v>13.559658718972933</v>
      </c>
    </row>
    <row r="24" spans="1:41" ht="15.75" customHeight="1" x14ac:dyDescent="0.25">
      <c r="A24" s="13"/>
      <c r="B24" s="2"/>
      <c r="C24" s="2"/>
      <c r="D24" s="2"/>
      <c r="E24" s="2"/>
      <c r="F24" s="2"/>
      <c r="G24" s="2"/>
      <c r="H24" s="14"/>
      <c r="I24" s="2"/>
      <c r="J24" s="2"/>
      <c r="K24" s="2"/>
      <c r="L24" s="14"/>
      <c r="M24" s="2"/>
      <c r="N24" s="11">
        <f t="shared" si="7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0">
        <f t="shared" si="5"/>
        <v>0</v>
      </c>
      <c r="U24" s="17">
        <f t="shared" si="0"/>
        <v>0</v>
      </c>
      <c r="V24" s="3"/>
      <c r="W24" s="6">
        <f t="shared" si="6"/>
        <v>0</v>
      </c>
      <c r="X24" s="2"/>
      <c r="Y24" s="2"/>
      <c r="Z24" s="28">
        <f t="shared" ref="Z24:Z28" si="12">Z25-10</f>
        <v>-50</v>
      </c>
      <c r="AA24" s="30">
        <f t="shared" ref="AA24:AA34" si="13">$AA$23*(1+(Z24/100))</f>
        <v>0.32258064516129031</v>
      </c>
      <c r="AB24" s="31">
        <f t="dataTable" ref="AB24:AB34" dt2D="0" dtr="0" r1="F36" ca="1"/>
        <v>18441.383574870099</v>
      </c>
      <c r="AC24" s="36">
        <f t="shared" ref="AC24:AC34" si="14">100*((AB24-$AB$29)/$AB$29)</f>
        <v>-16.949573398716158</v>
      </c>
      <c r="AD24" s="2"/>
      <c r="AE24" s="28">
        <f t="shared" ref="AE24:AE28" si="15">AE25-10</f>
        <v>-50</v>
      </c>
      <c r="AF24" s="32">
        <f t="shared" ref="AF24:AF34" si="16">$AF$23*(1+(AE24/100))</f>
        <v>4812.3870967741932</v>
      </c>
      <c r="AG24" s="31">
        <f t="dataTable" ref="AG24:AG34" dt2D="0" dtr="0" r1="B47" ca="1"/>
        <v>16488.045004015032</v>
      </c>
      <c r="AH24" s="36">
        <f t="shared" ref="AH24:AH34" si="17">100*((AG24-$AG$29)/$AG$29)</f>
        <v>-25.74639718081669</v>
      </c>
      <c r="AJ24" s="77">
        <v>-30</v>
      </c>
      <c r="AK24" s="78">
        <f t="shared" ref="AK24:AK32" si="18">AH26</f>
        <v>-15.447838308490011</v>
      </c>
      <c r="AL24" s="78">
        <f t="shared" si="10"/>
        <v>-10.169744039229725</v>
      </c>
      <c r="AM24" s="79">
        <f t="shared" si="8"/>
        <v>-6.5932810490509324</v>
      </c>
      <c r="AN24" s="79">
        <f t="shared" si="9"/>
        <v>-16.763025088280642</v>
      </c>
      <c r="AO24" s="53">
        <f t="shared" si="11"/>
        <v>10.169744039229691</v>
      </c>
    </row>
    <row r="25" spans="1:41" ht="15.75" customHeight="1" x14ac:dyDescent="0.25">
      <c r="A25" s="13"/>
      <c r="B25" s="2"/>
      <c r="C25" s="2"/>
      <c r="D25" s="2"/>
      <c r="E25" s="2"/>
      <c r="F25" s="2"/>
      <c r="G25" s="2"/>
      <c r="H25" s="14"/>
      <c r="I25" s="2"/>
      <c r="J25" s="2"/>
      <c r="K25" s="2"/>
      <c r="L25" s="14"/>
      <c r="M25" s="2"/>
      <c r="N25" s="11">
        <f t="shared" si="7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0">
        <f t="shared" si="5"/>
        <v>0</v>
      </c>
      <c r="U25" s="17">
        <f t="shared" si="0"/>
        <v>0</v>
      </c>
      <c r="V25" s="3"/>
      <c r="W25" s="6">
        <f t="shared" si="6"/>
        <v>0</v>
      </c>
      <c r="X25" s="2"/>
      <c r="Y25" s="2"/>
      <c r="Z25" s="28">
        <f t="shared" si="12"/>
        <v>-40</v>
      </c>
      <c r="AA25" s="30">
        <f t="shared" si="13"/>
        <v>0.38709677419354838</v>
      </c>
      <c r="AB25" s="31">
        <v>19194.115613145521</v>
      </c>
      <c r="AC25" s="36">
        <f t="shared" si="14"/>
        <v>-13.559658718972933</v>
      </c>
      <c r="AD25" s="2"/>
      <c r="AE25" s="28">
        <f t="shared" si="15"/>
        <v>-40</v>
      </c>
      <c r="AF25" s="32">
        <f t="shared" si="16"/>
        <v>5774.8645161290315</v>
      </c>
      <c r="AG25" s="31">
        <v>17631.444756461467</v>
      </c>
      <c r="AH25" s="36">
        <f t="shared" si="17"/>
        <v>-20.59711774465336</v>
      </c>
      <c r="AJ25" s="77">
        <v>-20</v>
      </c>
      <c r="AK25" s="78">
        <f t="shared" si="18"/>
        <v>-10.298558872326646</v>
      </c>
      <c r="AL25" s="78">
        <f t="shared" si="10"/>
        <v>-6.7798293594864667</v>
      </c>
      <c r="AM25" s="79">
        <f t="shared" si="8"/>
        <v>-4.3955206993672942</v>
      </c>
      <c r="AN25" s="79">
        <f t="shared" si="9"/>
        <v>-11.175350058853727</v>
      </c>
      <c r="AO25" s="53">
        <f t="shared" si="11"/>
        <v>6.7798293594864667</v>
      </c>
    </row>
    <row r="26" spans="1:4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/>
      <c r="J26" s="39"/>
      <c r="K26" s="39"/>
      <c r="L26" s="40"/>
      <c r="M26" s="2"/>
      <c r="N26" s="11">
        <f t="shared" si="7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0">
        <f t="shared" si="5"/>
        <v>0</v>
      </c>
      <c r="U26" s="17">
        <f t="shared" si="0"/>
        <v>0</v>
      </c>
      <c r="V26" s="3"/>
      <c r="W26" s="6">
        <f t="shared" si="6"/>
        <v>0</v>
      </c>
      <c r="X26" s="2"/>
      <c r="Y26" s="2"/>
      <c r="Z26" s="28">
        <f t="shared" si="12"/>
        <v>-30</v>
      </c>
      <c r="AA26" s="30">
        <f t="shared" si="13"/>
        <v>0.45161290322580638</v>
      </c>
      <c r="AB26" s="31">
        <v>19946.84765142094</v>
      </c>
      <c r="AC26" s="36">
        <f t="shared" si="14"/>
        <v>-10.169744039229725</v>
      </c>
      <c r="AD26" s="2"/>
      <c r="AE26" s="28">
        <f t="shared" si="15"/>
        <v>-30</v>
      </c>
      <c r="AF26" s="32">
        <f t="shared" si="16"/>
        <v>6737.3419354838697</v>
      </c>
      <c r="AG26" s="31">
        <v>18774.844508907907</v>
      </c>
      <c r="AH26" s="36">
        <f t="shared" si="17"/>
        <v>-15.447838308490011</v>
      </c>
      <c r="AJ26" s="77">
        <v>-10</v>
      </c>
      <c r="AK26" s="78">
        <f t="shared" si="18"/>
        <v>-5.1492794361633152</v>
      </c>
      <c r="AL26" s="78">
        <f t="shared" si="10"/>
        <v>-3.3899146797432418</v>
      </c>
      <c r="AM26" s="79">
        <f t="shared" si="8"/>
        <v>-2.1977603496836391</v>
      </c>
      <c r="AN26" s="79">
        <f t="shared" si="9"/>
        <v>-5.5876750294268804</v>
      </c>
      <c r="AO26" s="53">
        <f t="shared" si="11"/>
        <v>3.3899146797432418</v>
      </c>
    </row>
    <row r="27" spans="1:4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7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0">
        <f t="shared" si="5"/>
        <v>0</v>
      </c>
      <c r="U27" s="17">
        <f t="shared" si="0"/>
        <v>0</v>
      </c>
      <c r="V27" s="3"/>
      <c r="W27" s="6">
        <f t="shared" si="6"/>
        <v>0</v>
      </c>
      <c r="X27" s="2"/>
      <c r="Y27" s="2"/>
      <c r="Z27" s="28">
        <f t="shared" si="12"/>
        <v>-20</v>
      </c>
      <c r="AA27" s="30">
        <f t="shared" si="13"/>
        <v>0.5161290322580645</v>
      </c>
      <c r="AB27" s="31">
        <v>20699.579689696369</v>
      </c>
      <c r="AC27" s="36">
        <f t="shared" si="14"/>
        <v>-6.7798293594864667</v>
      </c>
      <c r="AD27" s="2"/>
      <c r="AE27" s="28">
        <f t="shared" si="15"/>
        <v>-20</v>
      </c>
      <c r="AF27" s="32">
        <f t="shared" si="16"/>
        <v>7699.8193548387098</v>
      </c>
      <c r="AG27" s="31">
        <v>19918.24426135435</v>
      </c>
      <c r="AH27" s="36">
        <f t="shared" si="17"/>
        <v>-10.298558872326646</v>
      </c>
      <c r="AJ27" s="77">
        <v>0</v>
      </c>
      <c r="AK27" s="78">
        <f t="shared" si="18"/>
        <v>0</v>
      </c>
      <c r="AL27" s="78">
        <f t="shared" si="10"/>
        <v>0</v>
      </c>
      <c r="AM27" s="79">
        <f t="shared" si="8"/>
        <v>0</v>
      </c>
      <c r="AN27" s="79">
        <f t="shared" si="9"/>
        <v>0</v>
      </c>
      <c r="AO27" s="53">
        <f t="shared" si="11"/>
        <v>0</v>
      </c>
    </row>
    <row r="28" spans="1:4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7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0">
        <f t="shared" si="5"/>
        <v>0</v>
      </c>
      <c r="U28" s="17">
        <f t="shared" si="0"/>
        <v>0</v>
      </c>
      <c r="V28" s="3"/>
      <c r="W28" s="6">
        <f t="shared" si="6"/>
        <v>0</v>
      </c>
      <c r="X28" s="2"/>
      <c r="Y28" s="2"/>
      <c r="Z28" s="28">
        <f t="shared" si="12"/>
        <v>-10</v>
      </c>
      <c r="AA28" s="30">
        <f t="shared" si="13"/>
        <v>0.58064516129032262</v>
      </c>
      <c r="AB28" s="31">
        <v>21452.311727971792</v>
      </c>
      <c r="AC28" s="36">
        <f t="shared" si="14"/>
        <v>-3.3899146797432418</v>
      </c>
      <c r="AD28" s="2"/>
      <c r="AE28" s="28">
        <f t="shared" si="15"/>
        <v>-10</v>
      </c>
      <c r="AF28" s="32">
        <f t="shared" si="16"/>
        <v>8662.2967741935481</v>
      </c>
      <c r="AG28" s="31">
        <v>21061.644013800786</v>
      </c>
      <c r="AH28" s="36">
        <f t="shared" si="17"/>
        <v>-5.1492794361633152</v>
      </c>
      <c r="AJ28" s="77">
        <v>10</v>
      </c>
      <c r="AK28" s="78">
        <f t="shared" si="18"/>
        <v>5.149279436163348</v>
      </c>
      <c r="AL28" s="78">
        <f t="shared" si="10"/>
        <v>3.3899146797432418</v>
      </c>
      <c r="AM28" s="79">
        <f t="shared" si="8"/>
        <v>2.1977603496836391</v>
      </c>
      <c r="AN28" s="79">
        <f t="shared" si="9"/>
        <v>5.5876750294268964</v>
      </c>
      <c r="AO28" s="53">
        <f t="shared" si="11"/>
        <v>-3.3899146797432418</v>
      </c>
    </row>
    <row r="29" spans="1:4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7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0">
        <f t="shared" si="5"/>
        <v>0</v>
      </c>
      <c r="U29" s="17">
        <f t="shared" si="0"/>
        <v>0</v>
      </c>
      <c r="V29" s="3"/>
      <c r="W29" s="6">
        <f t="shared" si="6"/>
        <v>0</v>
      </c>
      <c r="X29" s="2"/>
      <c r="Y29" s="2"/>
      <c r="Z29" s="41">
        <v>0</v>
      </c>
      <c r="AA29" s="55">
        <f t="shared" si="13"/>
        <v>0.64516129032258063</v>
      </c>
      <c r="AB29" s="42">
        <v>22205.043766247218</v>
      </c>
      <c r="AC29" s="56">
        <f t="shared" si="14"/>
        <v>0</v>
      </c>
      <c r="AD29" s="2"/>
      <c r="AE29" s="41">
        <v>0</v>
      </c>
      <c r="AF29" s="47">
        <f t="shared" si="16"/>
        <v>9624.7741935483864</v>
      </c>
      <c r="AG29" s="42">
        <v>22205.043766247218</v>
      </c>
      <c r="AH29" s="56">
        <f t="shared" si="17"/>
        <v>0</v>
      </c>
      <c r="AJ29" s="77">
        <v>20</v>
      </c>
      <c r="AK29" s="78">
        <f t="shared" si="18"/>
        <v>10.29855887232668</v>
      </c>
      <c r="AL29" s="78">
        <f t="shared" si="10"/>
        <v>6.7798293594864667</v>
      </c>
      <c r="AM29" s="79">
        <f t="shared" si="8"/>
        <v>4.3955206993672782</v>
      </c>
      <c r="AN29" s="79">
        <f t="shared" si="9"/>
        <v>11.175350058853745</v>
      </c>
      <c r="AO29" s="53">
        <f t="shared" si="11"/>
        <v>-6.7798293594864667</v>
      </c>
    </row>
    <row r="30" spans="1:4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/>
      <c r="J30" s="43"/>
      <c r="K30" s="8"/>
      <c r="L30" s="9"/>
      <c r="M30" s="2"/>
      <c r="N30" s="11">
        <f t="shared" si="7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0">
        <f t="shared" si="5"/>
        <v>0</v>
      </c>
      <c r="U30" s="17">
        <f t="shared" si="0"/>
        <v>0</v>
      </c>
      <c r="V30" s="3"/>
      <c r="W30" s="6">
        <f t="shared" si="6"/>
        <v>0</v>
      </c>
      <c r="X30" s="2"/>
      <c r="Y30" s="2"/>
      <c r="Z30" s="28">
        <f t="shared" ref="Z30:Z34" si="19">Z29+10</f>
        <v>10</v>
      </c>
      <c r="AA30" s="30">
        <f t="shared" si="13"/>
        <v>0.70967741935483875</v>
      </c>
      <c r="AB30" s="31">
        <v>22957.775804522644</v>
      </c>
      <c r="AC30" s="36">
        <f t="shared" si="14"/>
        <v>3.3899146797432418</v>
      </c>
      <c r="AD30" s="2"/>
      <c r="AE30" s="28">
        <f t="shared" ref="AE30:AE34" si="20">AE29+10</f>
        <v>10</v>
      </c>
      <c r="AF30" s="32">
        <f t="shared" si="16"/>
        <v>10587.251612903226</v>
      </c>
      <c r="AG30" s="31">
        <v>23348.443518693657</v>
      </c>
      <c r="AH30" s="36">
        <f t="shared" si="17"/>
        <v>5.149279436163348</v>
      </c>
      <c r="AJ30" s="77">
        <v>30</v>
      </c>
      <c r="AK30" s="78">
        <f t="shared" si="18"/>
        <v>15.447838308490027</v>
      </c>
      <c r="AL30" s="78">
        <f t="shared" si="10"/>
        <v>10.169744039229691</v>
      </c>
      <c r="AM30" s="79">
        <f t="shared" si="8"/>
        <v>6.5932810490509004</v>
      </c>
      <c r="AN30" s="79">
        <f t="shared" si="9"/>
        <v>16.763025088280624</v>
      </c>
      <c r="AO30" s="53">
        <f t="shared" si="11"/>
        <v>-10.169744039229725</v>
      </c>
    </row>
    <row r="31" spans="1:41" ht="15.75" customHeight="1" x14ac:dyDescent="0.25">
      <c r="A31" s="24" t="s">
        <v>171</v>
      </c>
      <c r="B31" s="6">
        <f t="shared" ref="B31:B32" si="21">IF(B11=0,0,-(B11/100)*$B$45)</f>
        <v>0</v>
      </c>
      <c r="C31" s="2" t="s">
        <v>3</v>
      </c>
      <c r="D31" s="2"/>
      <c r="E31" s="15" t="s">
        <v>95</v>
      </c>
      <c r="F31" s="23">
        <f>(J16/100)*B47</f>
        <v>2887.4322580645157</v>
      </c>
      <c r="G31" s="2" t="s">
        <v>3</v>
      </c>
      <c r="H31" s="2"/>
      <c r="I31" s="1" t="s">
        <v>106</v>
      </c>
      <c r="J31" s="45">
        <f>SUM(J32:J36)</f>
        <v>656.12903225806463</v>
      </c>
      <c r="K31" s="1" t="s">
        <v>49</v>
      </c>
      <c r="L31" s="14"/>
      <c r="M31" s="2"/>
      <c r="N31" s="11">
        <f t="shared" si="7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0">
        <f t="shared" si="5"/>
        <v>0</v>
      </c>
      <c r="U31" s="17">
        <f t="shared" si="0"/>
        <v>0</v>
      </c>
      <c r="V31" s="3"/>
      <c r="W31" s="6">
        <f t="shared" si="6"/>
        <v>0</v>
      </c>
      <c r="X31" s="2"/>
      <c r="Y31" s="2"/>
      <c r="Z31" s="28">
        <f t="shared" si="19"/>
        <v>20</v>
      </c>
      <c r="AA31" s="30">
        <f t="shared" si="13"/>
        <v>0.77419354838709675</v>
      </c>
      <c r="AB31" s="31">
        <v>23710.507842798066</v>
      </c>
      <c r="AC31" s="36">
        <f t="shared" si="14"/>
        <v>6.7798293594864667</v>
      </c>
      <c r="AD31" s="2"/>
      <c r="AE31" s="28">
        <f t="shared" si="20"/>
        <v>20</v>
      </c>
      <c r="AF31" s="32">
        <f t="shared" si="16"/>
        <v>11549.729032258063</v>
      </c>
      <c r="AG31" s="31">
        <v>24491.843271140093</v>
      </c>
      <c r="AH31" s="36">
        <f t="shared" si="17"/>
        <v>10.29855887232668</v>
      </c>
      <c r="AJ31" s="77">
        <v>40</v>
      </c>
      <c r="AK31" s="78">
        <f t="shared" si="18"/>
        <v>20.597117744653342</v>
      </c>
      <c r="AL31" s="78">
        <f t="shared" si="10"/>
        <v>13.559658718972933</v>
      </c>
      <c r="AM31" s="79">
        <f t="shared" si="8"/>
        <v>8.7910413987345226</v>
      </c>
      <c r="AN31" s="79">
        <f t="shared" si="9"/>
        <v>22.350700117707522</v>
      </c>
      <c r="AO31" s="53">
        <f t="shared" si="11"/>
        <v>-13.559658718972933</v>
      </c>
    </row>
    <row r="32" spans="1:41" ht="15.75" customHeight="1" x14ac:dyDescent="0.25">
      <c r="A32" s="24" t="s">
        <v>44</v>
      </c>
      <c r="B32" s="6">
        <f t="shared" si="21"/>
        <v>0</v>
      </c>
      <c r="C32" s="2" t="s">
        <v>3</v>
      </c>
      <c r="D32" s="2"/>
      <c r="E32" s="15" t="s">
        <v>97</v>
      </c>
      <c r="F32" s="6">
        <f>B47-F31</f>
        <v>6737.3419354838707</v>
      </c>
      <c r="G32" s="2" t="s">
        <v>3</v>
      </c>
      <c r="H32" s="2"/>
      <c r="I32" s="15" t="s">
        <v>110</v>
      </c>
      <c r="J32" s="26">
        <f>F16/$B$8</f>
        <v>11.225806451612904</v>
      </c>
      <c r="K32" s="2" t="s">
        <v>49</v>
      </c>
      <c r="L32" s="14"/>
      <c r="M32" s="2"/>
      <c r="N32" s="11">
        <f t="shared" si="7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0">
        <f t="shared" si="5"/>
        <v>0</v>
      </c>
      <c r="U32" s="17">
        <f t="shared" si="0"/>
        <v>0</v>
      </c>
      <c r="V32" s="3"/>
      <c r="W32" s="6">
        <f t="shared" si="6"/>
        <v>0</v>
      </c>
      <c r="X32" s="2"/>
      <c r="Y32" s="2"/>
      <c r="Z32" s="28">
        <f t="shared" si="19"/>
        <v>30</v>
      </c>
      <c r="AA32" s="30">
        <f t="shared" si="13"/>
        <v>0.83870967741935487</v>
      </c>
      <c r="AB32" s="31">
        <v>24463.239881073489</v>
      </c>
      <c r="AC32" s="36">
        <f t="shared" si="14"/>
        <v>10.169744039229691</v>
      </c>
      <c r="AD32" s="2"/>
      <c r="AE32" s="28">
        <f t="shared" si="20"/>
        <v>30</v>
      </c>
      <c r="AF32" s="32">
        <f t="shared" si="16"/>
        <v>12512.206451612903</v>
      </c>
      <c r="AG32" s="31">
        <v>25635.243023586532</v>
      </c>
      <c r="AH32" s="36">
        <f t="shared" si="17"/>
        <v>15.447838308490027</v>
      </c>
      <c r="AJ32" s="77">
        <v>50</v>
      </c>
      <c r="AK32" s="78">
        <f t="shared" si="18"/>
        <v>25.74639718081669</v>
      </c>
      <c r="AL32" s="78">
        <f t="shared" si="10"/>
        <v>16.949573398716176</v>
      </c>
      <c r="AM32" s="79">
        <f t="shared" si="8"/>
        <v>10.988801748418194</v>
      </c>
      <c r="AN32" s="79">
        <f t="shared" si="9"/>
        <v>27.938375147134387</v>
      </c>
      <c r="AO32" s="53">
        <f t="shared" si="11"/>
        <v>-16.949573398716158</v>
      </c>
    </row>
    <row r="33" spans="1:34" ht="15.75" customHeight="1" x14ac:dyDescent="0.25">
      <c r="A33" s="24" t="s">
        <v>50</v>
      </c>
      <c r="B33" s="6">
        <f t="shared" ref="B33:B35" si="22">IF(B13=0,0,(B13/100)*$B$44)</f>
        <v>715.35483870967744</v>
      </c>
      <c r="C33" s="2" t="s">
        <v>3</v>
      </c>
      <c r="D33" s="2"/>
      <c r="E33" s="15" t="s">
        <v>98</v>
      </c>
      <c r="F33" s="23">
        <f>F32*(F21/100)*J15</f>
        <v>3132.864</v>
      </c>
      <c r="G33" s="2" t="s">
        <v>3</v>
      </c>
      <c r="H33" s="2"/>
      <c r="I33" s="15" t="s">
        <v>74</v>
      </c>
      <c r="J33" s="26">
        <f>F19/$B$8</f>
        <v>9.0322580645161299</v>
      </c>
      <c r="K33" s="2" t="s">
        <v>49</v>
      </c>
      <c r="L33" s="14"/>
      <c r="M33" s="2"/>
      <c r="N33" s="11">
        <f t="shared" si="7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0">
        <f t="shared" si="5"/>
        <v>0</v>
      </c>
      <c r="U33" s="17">
        <f t="shared" si="0"/>
        <v>0</v>
      </c>
      <c r="V33" s="3"/>
      <c r="W33" s="6">
        <f t="shared" si="6"/>
        <v>0</v>
      </c>
      <c r="X33" s="2"/>
      <c r="Y33" s="2"/>
      <c r="Z33" s="28">
        <f t="shared" si="19"/>
        <v>40</v>
      </c>
      <c r="AA33" s="30">
        <f t="shared" si="13"/>
        <v>0.90322580645161277</v>
      </c>
      <c r="AB33" s="31">
        <v>25215.971919348915</v>
      </c>
      <c r="AC33" s="36">
        <f t="shared" si="14"/>
        <v>13.559658718972933</v>
      </c>
      <c r="AD33" s="2"/>
      <c r="AE33" s="28">
        <f t="shared" si="20"/>
        <v>40</v>
      </c>
      <c r="AF33" s="32">
        <f t="shared" si="16"/>
        <v>13474.683870967739</v>
      </c>
      <c r="AG33" s="31">
        <v>26778.642776032964</v>
      </c>
      <c r="AH33" s="36">
        <f t="shared" si="17"/>
        <v>20.597117744653342</v>
      </c>
    </row>
    <row r="34" spans="1:34" ht="15.75" customHeight="1" x14ac:dyDescent="0.25">
      <c r="A34" s="24" t="s">
        <v>54</v>
      </c>
      <c r="B34" s="6">
        <f t="shared" si="22"/>
        <v>487.74193548387092</v>
      </c>
      <c r="C34" s="2" t="s">
        <v>3</v>
      </c>
      <c r="D34" s="2"/>
      <c r="E34" s="2"/>
      <c r="F34" s="35"/>
      <c r="G34" s="2"/>
      <c r="H34" s="2"/>
      <c r="I34" s="15" t="s">
        <v>63</v>
      </c>
      <c r="J34" s="26">
        <f>F15/$B$8</f>
        <v>0</v>
      </c>
      <c r="K34" s="2" t="s">
        <v>49</v>
      </c>
      <c r="L34" s="14"/>
      <c r="M34" s="2"/>
      <c r="N34" s="11">
        <f t="shared" si="7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0">
        <f t="shared" si="5"/>
        <v>0</v>
      </c>
      <c r="U34" s="17">
        <f t="shared" si="0"/>
        <v>0</v>
      </c>
      <c r="V34" s="3"/>
      <c r="W34" s="6">
        <f t="shared" si="6"/>
        <v>0</v>
      </c>
      <c r="X34" s="2"/>
      <c r="Y34" s="2"/>
      <c r="Z34" s="28">
        <f t="shared" si="19"/>
        <v>50</v>
      </c>
      <c r="AA34" s="30">
        <f t="shared" si="13"/>
        <v>0.967741935483871</v>
      </c>
      <c r="AB34" s="31">
        <v>25968.703957624341</v>
      </c>
      <c r="AC34" s="36">
        <f t="shared" si="14"/>
        <v>16.949573398716176</v>
      </c>
      <c r="AD34" s="2"/>
      <c r="AE34" s="28">
        <f t="shared" si="20"/>
        <v>50</v>
      </c>
      <c r="AF34" s="32">
        <f t="shared" si="16"/>
        <v>14437.16129032258</v>
      </c>
      <c r="AG34" s="31">
        <v>27922.042528479404</v>
      </c>
      <c r="AH34" s="36">
        <f t="shared" si="17"/>
        <v>25.74639718081669</v>
      </c>
    </row>
    <row r="35" spans="1:34" ht="15.75" customHeight="1" x14ac:dyDescent="0.25">
      <c r="A35" s="2" t="s">
        <v>58</v>
      </c>
      <c r="B35" s="5">
        <f t="shared" si="22"/>
        <v>1430.7096774193549</v>
      </c>
      <c r="C35" s="2" t="s">
        <v>3</v>
      </c>
      <c r="D35" s="2"/>
      <c r="E35" s="1" t="s">
        <v>103</v>
      </c>
      <c r="F35" s="2"/>
      <c r="G35" s="2"/>
      <c r="H35" s="2"/>
      <c r="I35" s="2" t="s">
        <v>88</v>
      </c>
      <c r="J35" s="35">
        <f>F22/B8</f>
        <v>3.870967741935484</v>
      </c>
      <c r="K35" s="2" t="s">
        <v>49</v>
      </c>
      <c r="L35" s="14"/>
      <c r="M35" s="2"/>
      <c r="N35" s="11">
        <f t="shared" si="7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0">
        <f t="shared" si="5"/>
        <v>0</v>
      </c>
      <c r="U35" s="17">
        <f t="shared" si="0"/>
        <v>0</v>
      </c>
      <c r="V35" s="3"/>
      <c r="W35" s="6">
        <f t="shared" si="6"/>
        <v>0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5.75" customHeight="1" x14ac:dyDescent="0.25">
      <c r="A36" s="24" t="s">
        <v>179</v>
      </c>
      <c r="B36" s="6">
        <f t="shared" ref="B36:B40" si="23">IF(B18=0,0,(B18/100)*$B$44)</f>
        <v>487.74193548387092</v>
      </c>
      <c r="C36" s="2" t="s">
        <v>3</v>
      </c>
      <c r="D36" s="2"/>
      <c r="E36" s="15" t="s">
        <v>177</v>
      </c>
      <c r="F36" s="26">
        <f>F13/$B$8</f>
        <v>0.64516129032258063</v>
      </c>
      <c r="G36" s="2" t="s">
        <v>130</v>
      </c>
      <c r="H36" s="2"/>
      <c r="I36" s="15" t="s">
        <v>48</v>
      </c>
      <c r="J36" s="19">
        <f>F20*F12/$B$8</f>
        <v>632.00000000000011</v>
      </c>
      <c r="K36" s="2" t="s">
        <v>49</v>
      </c>
      <c r="L36" s="14"/>
      <c r="M36" s="2"/>
      <c r="N36" s="11">
        <f t="shared" si="7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0">
        <f t="shared" si="5"/>
        <v>0</v>
      </c>
      <c r="U36" s="17">
        <f t="shared" si="0"/>
        <v>0</v>
      </c>
      <c r="V36" s="3"/>
      <c r="W36" s="6">
        <f t="shared" si="6"/>
        <v>0</v>
      </c>
      <c r="X36" s="2"/>
      <c r="Y36" s="2"/>
      <c r="Z36" s="27" t="s">
        <v>48</v>
      </c>
      <c r="AA36" s="28"/>
      <c r="AB36" s="28"/>
      <c r="AC36" s="28"/>
      <c r="AD36" s="2"/>
      <c r="AE36" s="27" t="s">
        <v>104</v>
      </c>
      <c r="AF36" s="28"/>
      <c r="AG36" s="28"/>
      <c r="AH36" s="28"/>
    </row>
    <row r="37" spans="1:34" ht="15.75" customHeight="1" x14ac:dyDescent="0.25">
      <c r="A37" s="24" t="s">
        <v>180</v>
      </c>
      <c r="B37" s="6">
        <f t="shared" si="23"/>
        <v>0</v>
      </c>
      <c r="C37" s="2" t="s">
        <v>3</v>
      </c>
      <c r="D37" s="2"/>
      <c r="E37" s="15" t="s">
        <v>178</v>
      </c>
      <c r="F37" s="26">
        <f>F36*J10</f>
        <v>4.6774193548387091E-2</v>
      </c>
      <c r="G37" s="2" t="s">
        <v>4</v>
      </c>
      <c r="H37" s="2"/>
      <c r="I37" s="2"/>
      <c r="J37" s="2"/>
      <c r="K37" s="2"/>
      <c r="L37" s="14"/>
      <c r="M37" s="2"/>
      <c r="N37" s="11">
        <f t="shared" si="7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0">
        <f t="shared" si="5"/>
        <v>0</v>
      </c>
      <c r="U37" s="17">
        <f t="shared" si="0"/>
        <v>0</v>
      </c>
      <c r="V37" s="3"/>
      <c r="W37" s="6">
        <f t="shared" si="6"/>
        <v>0</v>
      </c>
      <c r="X37" s="2"/>
      <c r="Y37" s="2"/>
      <c r="Z37" s="28" t="s">
        <v>80</v>
      </c>
      <c r="AA37" s="28" t="s">
        <v>121</v>
      </c>
      <c r="AB37" s="28" t="s">
        <v>23</v>
      </c>
      <c r="AC37" s="28" t="s">
        <v>82</v>
      </c>
      <c r="AD37" s="2"/>
      <c r="AE37" s="28" t="s">
        <v>80</v>
      </c>
      <c r="AF37" s="28" t="s">
        <v>108</v>
      </c>
      <c r="AG37" s="28" t="s">
        <v>23</v>
      </c>
      <c r="AH37" s="28" t="s">
        <v>82</v>
      </c>
    </row>
    <row r="38" spans="1:34" ht="15.75" customHeight="1" x14ac:dyDescent="0.25">
      <c r="A38" s="24" t="s">
        <v>73</v>
      </c>
      <c r="B38" s="6">
        <f t="shared" si="23"/>
        <v>0</v>
      </c>
      <c r="C38" s="2" t="s">
        <v>3</v>
      </c>
      <c r="D38" s="2"/>
      <c r="E38" s="15" t="s">
        <v>137</v>
      </c>
      <c r="F38" s="35">
        <f>F37*F12</f>
        <v>935.48387096774184</v>
      </c>
      <c r="G38" s="25" t="s">
        <v>49</v>
      </c>
      <c r="H38" s="2"/>
      <c r="I38" s="2"/>
      <c r="J38" s="2"/>
      <c r="K38" s="2"/>
      <c r="L38" s="14"/>
      <c r="M38" s="2"/>
      <c r="N38" s="11">
        <f t="shared" si="7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0">
        <f t="shared" si="5"/>
        <v>0</v>
      </c>
      <c r="U38" s="17">
        <f t="shared" si="0"/>
        <v>0</v>
      </c>
      <c r="V38" s="3"/>
      <c r="W38" s="6">
        <f t="shared" si="6"/>
        <v>0</v>
      </c>
      <c r="X38" s="2"/>
      <c r="Y38" s="2"/>
      <c r="Z38" s="28" t="s">
        <v>87</v>
      </c>
      <c r="AA38" s="30">
        <v>632.00000000000011</v>
      </c>
      <c r="AB38" s="31">
        <f>U49</f>
        <v>22205.043766247218</v>
      </c>
      <c r="AC38" s="28"/>
      <c r="AD38" s="2"/>
      <c r="AE38" s="28" t="s">
        <v>87</v>
      </c>
      <c r="AF38" s="32">
        <v>20000</v>
      </c>
      <c r="AG38" s="31">
        <f>U49</f>
        <v>22205.043766247218</v>
      </c>
      <c r="AH38" s="28"/>
    </row>
    <row r="39" spans="1:34" ht="15.75" customHeight="1" x14ac:dyDescent="0.25">
      <c r="A39" s="24" t="s">
        <v>75</v>
      </c>
      <c r="B39" s="6">
        <f t="shared" si="23"/>
        <v>0</v>
      </c>
      <c r="C39" s="2" t="s">
        <v>3</v>
      </c>
      <c r="D39" s="2"/>
      <c r="E39" s="2"/>
      <c r="F39" s="2"/>
      <c r="G39" s="2"/>
      <c r="H39" s="2"/>
      <c r="I39" s="2"/>
      <c r="J39" s="2"/>
      <c r="K39" s="2"/>
      <c r="L39" s="14"/>
      <c r="M39" s="2"/>
      <c r="N39" s="11">
        <f t="shared" si="7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0">
        <f t="shared" si="5"/>
        <v>0</v>
      </c>
      <c r="U39" s="17">
        <f t="shared" si="0"/>
        <v>0</v>
      </c>
      <c r="V39" s="3"/>
      <c r="W39" s="6">
        <f t="shared" si="6"/>
        <v>0</v>
      </c>
      <c r="X39" s="2"/>
      <c r="Y39" s="2"/>
      <c r="Z39" s="28">
        <f t="shared" ref="Z39:Z43" si="24">Z40-10</f>
        <v>-50</v>
      </c>
      <c r="AA39" s="30">
        <f t="shared" ref="AA39:AA49" si="25">$AA$38*(1+(Z39/100))</f>
        <v>316.00000000000006</v>
      </c>
      <c r="AB39" s="31">
        <f t="dataTable" ref="AB39:AB49" dt2D="0" dtr="0" r1="J36" ca="1"/>
        <v>19764.975528624815</v>
      </c>
      <c r="AC39" s="36">
        <f t="shared" ref="AC39:AC49" si="26">100*((AB39-$AB$44)/$AB$44)</f>
        <v>-10.98880174841821</v>
      </c>
      <c r="AD39" s="2"/>
      <c r="AE39" s="28">
        <f t="shared" ref="AE39:AE43" si="27">AE40-10</f>
        <v>-50</v>
      </c>
      <c r="AF39" s="32">
        <f t="shared" ref="AF39:AF49" si="28">$AF$38*(1+(AE39/100))</f>
        <v>10000</v>
      </c>
      <c r="AG39" s="31">
        <f t="dataTable" ref="AG39:AG49" dt2D="0" dtr="0" r1="F12" ca="1"/>
        <v>16001.315337247699</v>
      </c>
      <c r="AH39" s="36">
        <f t="shared" ref="AH39:AH49" si="29">100*((AG39-$AG$44)/$AG$44)</f>
        <v>-27.938375147134352</v>
      </c>
    </row>
    <row r="40" spans="1:34" ht="15.75" customHeight="1" x14ac:dyDescent="0.25">
      <c r="A40" s="24" t="s">
        <v>78</v>
      </c>
      <c r="B40" s="6">
        <f t="shared" si="23"/>
        <v>0</v>
      </c>
      <c r="C40" s="2" t="s">
        <v>3</v>
      </c>
      <c r="D40" s="2"/>
      <c r="E40" s="2"/>
      <c r="F40" s="2"/>
      <c r="G40" s="2"/>
      <c r="H40" s="2"/>
      <c r="I40" s="2"/>
      <c r="J40" s="2"/>
      <c r="K40" s="2"/>
      <c r="L40" s="14"/>
      <c r="M40" s="2"/>
      <c r="N40" s="11">
        <f t="shared" si="7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0">
        <f t="shared" si="5"/>
        <v>0</v>
      </c>
      <c r="U40" s="17">
        <f t="shared" si="0"/>
        <v>0</v>
      </c>
      <c r="V40" s="3"/>
      <c r="W40" s="6">
        <f t="shared" si="6"/>
        <v>0</v>
      </c>
      <c r="X40" s="2"/>
      <c r="Y40" s="2"/>
      <c r="Z40" s="28">
        <f t="shared" si="24"/>
        <v>-40</v>
      </c>
      <c r="AA40" s="30">
        <f t="shared" si="25"/>
        <v>379.20000000000005</v>
      </c>
      <c r="AB40" s="31">
        <v>20252.989176149295</v>
      </c>
      <c r="AC40" s="36">
        <f t="shared" si="26"/>
        <v>-8.7910413987345706</v>
      </c>
      <c r="AD40" s="2"/>
      <c r="AE40" s="28">
        <f t="shared" si="27"/>
        <v>-40</v>
      </c>
      <c r="AF40" s="32">
        <f t="shared" si="28"/>
        <v>12000</v>
      </c>
      <c r="AG40" s="31">
        <v>17242.061023047598</v>
      </c>
      <c r="AH40" s="36">
        <f t="shared" si="29"/>
        <v>-22.350700117707508</v>
      </c>
    </row>
    <row r="41" spans="1:34" ht="15.75" customHeight="1" x14ac:dyDescent="0.25">
      <c r="A41" s="2"/>
      <c r="B41" s="2"/>
      <c r="C41" s="2"/>
      <c r="D41" s="2"/>
      <c r="E41" s="15" t="s">
        <v>100</v>
      </c>
      <c r="F41" s="6">
        <f>F12*B5</f>
        <v>200000</v>
      </c>
      <c r="G41" s="2" t="s">
        <v>101</v>
      </c>
      <c r="H41" s="2"/>
      <c r="I41" s="2"/>
      <c r="J41" s="2"/>
      <c r="K41" s="2"/>
      <c r="L41" s="14"/>
      <c r="M41" s="2"/>
      <c r="N41" s="11">
        <f t="shared" si="7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0">
        <f t="shared" si="5"/>
        <v>0</v>
      </c>
      <c r="U41" s="17">
        <f t="shared" si="0"/>
        <v>0</v>
      </c>
      <c r="V41" s="3"/>
      <c r="W41" s="6">
        <f t="shared" si="6"/>
        <v>0</v>
      </c>
      <c r="X41" s="2"/>
      <c r="Y41" s="2"/>
      <c r="Z41" s="28">
        <f t="shared" si="24"/>
        <v>-30</v>
      </c>
      <c r="AA41" s="30">
        <f t="shared" si="25"/>
        <v>442.40000000000003</v>
      </c>
      <c r="AB41" s="31">
        <v>20741.002823673774</v>
      </c>
      <c r="AC41" s="36">
        <f t="shared" si="26"/>
        <v>-6.5932810490509324</v>
      </c>
      <c r="AD41" s="2"/>
      <c r="AE41" s="28">
        <f t="shared" si="27"/>
        <v>-30</v>
      </c>
      <c r="AF41" s="32">
        <f t="shared" si="28"/>
        <v>14000</v>
      </c>
      <c r="AG41" s="31">
        <v>18482.8067088475</v>
      </c>
      <c r="AH41" s="36">
        <f t="shared" si="29"/>
        <v>-16.763025088280642</v>
      </c>
    </row>
    <row r="42" spans="1:34" ht="15.75" customHeight="1" x14ac:dyDescent="0.25">
      <c r="A42" s="22" t="s">
        <v>113</v>
      </c>
      <c r="B42" s="3"/>
      <c r="C42" s="1"/>
      <c r="D42" s="2"/>
      <c r="E42" s="15"/>
      <c r="F42" s="26"/>
      <c r="G42" s="2"/>
      <c r="H42" s="2"/>
      <c r="I42" s="1"/>
      <c r="J42" s="2"/>
      <c r="K42" s="2"/>
      <c r="L42" s="14"/>
      <c r="M42" s="2"/>
      <c r="N42" s="11">
        <f t="shared" si="7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0">
        <f t="shared" si="5"/>
        <v>0</v>
      </c>
      <c r="U42" s="17">
        <f t="shared" si="0"/>
        <v>0</v>
      </c>
      <c r="V42" s="3"/>
      <c r="W42" s="6">
        <f t="shared" si="6"/>
        <v>0</v>
      </c>
      <c r="X42" s="2"/>
      <c r="Y42" s="2"/>
      <c r="Z42" s="28">
        <f t="shared" si="24"/>
        <v>-20</v>
      </c>
      <c r="AA42" s="30">
        <f t="shared" si="25"/>
        <v>505.60000000000014</v>
      </c>
      <c r="AB42" s="31">
        <v>21229.016471198254</v>
      </c>
      <c r="AC42" s="36">
        <f t="shared" si="26"/>
        <v>-4.3955206993672942</v>
      </c>
      <c r="AD42" s="2"/>
      <c r="AE42" s="28">
        <f t="shared" si="27"/>
        <v>-20</v>
      </c>
      <c r="AF42" s="32">
        <f t="shared" si="28"/>
        <v>16000</v>
      </c>
      <c r="AG42" s="31">
        <v>19723.552394647413</v>
      </c>
      <c r="AH42" s="36">
        <f t="shared" si="29"/>
        <v>-11.175350058853727</v>
      </c>
    </row>
    <row r="43" spans="1:34" ht="15.75" customHeight="1" x14ac:dyDescent="0.25">
      <c r="A43" s="15" t="s">
        <v>173</v>
      </c>
      <c r="B43" s="6">
        <f>J8/B8</f>
        <v>4645.1612903225805</v>
      </c>
      <c r="C43" s="2" t="s">
        <v>3</v>
      </c>
      <c r="D43" s="2"/>
      <c r="E43" s="2"/>
      <c r="F43" s="2"/>
      <c r="G43" s="2"/>
      <c r="H43" s="2"/>
      <c r="I43" s="15"/>
      <c r="J43" s="19"/>
      <c r="K43" s="2"/>
      <c r="L43" s="14"/>
      <c r="M43" s="2"/>
      <c r="N43" s="11">
        <f t="shared" si="7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0">
        <f t="shared" si="5"/>
        <v>0</v>
      </c>
      <c r="U43" s="17">
        <f t="shared" si="0"/>
        <v>0</v>
      </c>
      <c r="V43" s="3"/>
      <c r="W43" s="6">
        <f t="shared" si="6"/>
        <v>0</v>
      </c>
      <c r="X43" s="2"/>
      <c r="Y43" s="2"/>
      <c r="Z43" s="28">
        <f t="shared" si="24"/>
        <v>-10</v>
      </c>
      <c r="AA43" s="30">
        <f t="shared" si="25"/>
        <v>568.80000000000007</v>
      </c>
      <c r="AB43" s="31">
        <v>21717.030118722738</v>
      </c>
      <c r="AC43" s="36">
        <f t="shared" si="26"/>
        <v>-2.1977603496836391</v>
      </c>
      <c r="AD43" s="2"/>
      <c r="AE43" s="28">
        <f t="shared" si="27"/>
        <v>-10</v>
      </c>
      <c r="AF43" s="32">
        <f t="shared" si="28"/>
        <v>18000</v>
      </c>
      <c r="AG43" s="31">
        <v>20964.298080447312</v>
      </c>
      <c r="AH43" s="36">
        <f t="shared" si="29"/>
        <v>-5.5876750294268804</v>
      </c>
    </row>
    <row r="44" spans="1:34" ht="15.75" customHeight="1" x14ac:dyDescent="0.25">
      <c r="A44" s="2" t="s">
        <v>117</v>
      </c>
      <c r="B44" s="23">
        <f>(1+B16/100)*B43</f>
        <v>6503.2258064516127</v>
      </c>
      <c r="C44" s="2" t="s">
        <v>3</v>
      </c>
      <c r="D44" s="2"/>
      <c r="E44" s="2"/>
      <c r="F44" s="2"/>
      <c r="G44" s="2"/>
      <c r="H44" s="2"/>
      <c r="I44" s="2"/>
      <c r="J44" s="2"/>
      <c r="K44" s="2"/>
      <c r="L44" s="14"/>
      <c r="M44" s="2"/>
      <c r="N44" s="11">
        <f t="shared" si="7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0">
        <f t="shared" si="5"/>
        <v>0</v>
      </c>
      <c r="U44" s="17">
        <f t="shared" si="0"/>
        <v>0</v>
      </c>
      <c r="V44" s="3"/>
      <c r="W44" s="6">
        <f t="shared" si="6"/>
        <v>0</v>
      </c>
      <c r="X44" s="2"/>
      <c r="Y44" s="2"/>
      <c r="Z44" s="41">
        <v>0</v>
      </c>
      <c r="AA44" s="55">
        <f t="shared" si="25"/>
        <v>632.00000000000011</v>
      </c>
      <c r="AB44" s="42">
        <v>22205.043766247218</v>
      </c>
      <c r="AC44" s="62">
        <f t="shared" si="26"/>
        <v>0</v>
      </c>
      <c r="AD44" s="2"/>
      <c r="AE44" s="41">
        <v>0</v>
      </c>
      <c r="AF44" s="47">
        <f t="shared" si="28"/>
        <v>20000</v>
      </c>
      <c r="AG44" s="42">
        <v>22205.043766247218</v>
      </c>
      <c r="AH44" s="56">
        <f t="shared" si="29"/>
        <v>0</v>
      </c>
    </row>
    <row r="45" spans="1:34" ht="15.75" customHeight="1" x14ac:dyDescent="0.25">
      <c r="A45" s="24" t="s">
        <v>138</v>
      </c>
      <c r="B45" s="6">
        <f>SUM(B33:B40)+B44</f>
        <v>9624.7741935483864</v>
      </c>
      <c r="C45" s="2" t="s">
        <v>3</v>
      </c>
      <c r="D45" s="2"/>
      <c r="E45" s="2"/>
      <c r="F45" s="2"/>
      <c r="G45" s="2"/>
      <c r="H45" s="2"/>
      <c r="I45" s="2"/>
      <c r="J45" s="2"/>
      <c r="K45" s="2"/>
      <c r="L45" s="14"/>
      <c r="M45" s="2"/>
      <c r="N45" s="11">
        <f t="shared" si="7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0">
        <f t="shared" si="5"/>
        <v>0</v>
      </c>
      <c r="U45" s="17">
        <f t="shared" si="0"/>
        <v>0</v>
      </c>
      <c r="V45" s="3"/>
      <c r="W45" s="6">
        <f t="shared" si="6"/>
        <v>0</v>
      </c>
      <c r="X45" s="2"/>
      <c r="Y45" s="2"/>
      <c r="Z45" s="28">
        <f t="shared" ref="Z45:Z49" si="30">Z44+10</f>
        <v>10</v>
      </c>
      <c r="AA45" s="30">
        <f t="shared" si="25"/>
        <v>695.20000000000016</v>
      </c>
      <c r="AB45" s="31">
        <v>22693.057413771698</v>
      </c>
      <c r="AC45" s="36">
        <f t="shared" si="26"/>
        <v>2.1977603496836391</v>
      </c>
      <c r="AD45" s="2"/>
      <c r="AE45" s="28">
        <f t="shared" ref="AE45:AE49" si="31">AE44+10</f>
        <v>10</v>
      </c>
      <c r="AF45" s="32">
        <f t="shared" si="28"/>
        <v>22000</v>
      </c>
      <c r="AG45" s="31">
        <v>23445.789452047127</v>
      </c>
      <c r="AH45" s="36">
        <f t="shared" si="29"/>
        <v>5.5876750294268964</v>
      </c>
    </row>
    <row r="46" spans="1:34" ht="15.75" customHeight="1" x14ac:dyDescent="0.25">
      <c r="A46" s="24" t="s">
        <v>172</v>
      </c>
      <c r="B46" s="6">
        <f>SUM(B31:B32)</f>
        <v>0</v>
      </c>
      <c r="C46" s="2" t="s">
        <v>3</v>
      </c>
      <c r="D46" s="2"/>
      <c r="E46" s="2"/>
      <c r="F46" s="2"/>
      <c r="G46" s="2"/>
      <c r="H46" s="2"/>
      <c r="I46" s="2"/>
      <c r="J46" s="2"/>
      <c r="K46" s="2"/>
      <c r="L46" s="14"/>
      <c r="M46" s="2"/>
      <c r="N46" s="11">
        <f t="shared" si="7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0">
        <f t="shared" si="5"/>
        <v>0</v>
      </c>
      <c r="U46" s="17">
        <f t="shared" si="0"/>
        <v>0</v>
      </c>
      <c r="V46" s="3"/>
      <c r="W46" s="6">
        <f t="shared" si="6"/>
        <v>0</v>
      </c>
      <c r="X46" s="2"/>
      <c r="Y46" s="2"/>
      <c r="Z46" s="28">
        <f t="shared" si="30"/>
        <v>20</v>
      </c>
      <c r="AA46" s="30">
        <f t="shared" si="25"/>
        <v>758.40000000000009</v>
      </c>
      <c r="AB46" s="31">
        <v>23181.071061296178</v>
      </c>
      <c r="AC46" s="36">
        <f t="shared" si="26"/>
        <v>4.3955206993672782</v>
      </c>
      <c r="AD46" s="2"/>
      <c r="AE46" s="28">
        <f t="shared" si="31"/>
        <v>20</v>
      </c>
      <c r="AF46" s="32">
        <f t="shared" si="28"/>
        <v>24000</v>
      </c>
      <c r="AG46" s="31">
        <v>24686.535137847026</v>
      </c>
      <c r="AH46" s="36">
        <f t="shared" si="29"/>
        <v>11.175350058853745</v>
      </c>
    </row>
    <row r="47" spans="1:34" ht="15.75" customHeight="1" x14ac:dyDescent="0.25">
      <c r="A47" s="24" t="s">
        <v>174</v>
      </c>
      <c r="B47" s="6">
        <f>SUM(B45:B46)</f>
        <v>9624.7741935483864</v>
      </c>
      <c r="C47" s="2" t="s">
        <v>3</v>
      </c>
      <c r="D47" s="2"/>
      <c r="E47" s="2"/>
      <c r="F47" s="2"/>
      <c r="G47" s="2"/>
      <c r="H47" s="2"/>
      <c r="I47" s="2"/>
      <c r="J47" s="2"/>
      <c r="K47" s="2"/>
      <c r="L47" s="14"/>
      <c r="M47" s="2"/>
      <c r="N47" s="11">
        <f t="shared" si="7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0">
        <f t="shared" si="5"/>
        <v>0</v>
      </c>
      <c r="U47" s="17">
        <f t="shared" si="0"/>
        <v>0</v>
      </c>
      <c r="V47" s="3"/>
      <c r="W47" s="6">
        <f t="shared" si="6"/>
        <v>0</v>
      </c>
      <c r="X47" s="2"/>
      <c r="Y47" s="2"/>
      <c r="Z47" s="28">
        <f t="shared" si="30"/>
        <v>30</v>
      </c>
      <c r="AA47" s="30">
        <f t="shared" si="25"/>
        <v>821.60000000000014</v>
      </c>
      <c r="AB47" s="31">
        <v>23669.084708820654</v>
      </c>
      <c r="AC47" s="36">
        <f t="shared" si="26"/>
        <v>6.5932810490509004</v>
      </c>
      <c r="AD47" s="2"/>
      <c r="AE47" s="28">
        <f t="shared" si="31"/>
        <v>30</v>
      </c>
      <c r="AF47" s="32">
        <f t="shared" si="28"/>
        <v>26000</v>
      </c>
      <c r="AG47" s="31">
        <v>25927.280823646932</v>
      </c>
      <c r="AH47" s="36">
        <f t="shared" si="29"/>
        <v>16.763025088280624</v>
      </c>
    </row>
    <row r="48" spans="1:34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4"/>
      <c r="M48" s="2"/>
      <c r="N48" s="11">
        <f t="shared" si="7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0">
        <f t="shared" si="5"/>
        <v>0</v>
      </c>
      <c r="U48" s="17">
        <f t="shared" si="0"/>
        <v>0</v>
      </c>
      <c r="V48" s="3"/>
      <c r="W48" s="6">
        <f t="shared" si="6"/>
        <v>0</v>
      </c>
      <c r="X48" s="2"/>
      <c r="Y48" s="2"/>
      <c r="Z48" s="28">
        <f t="shared" si="30"/>
        <v>40</v>
      </c>
      <c r="AA48" s="30">
        <f t="shared" si="25"/>
        <v>884.80000000000007</v>
      </c>
      <c r="AB48" s="31">
        <v>24157.09835634513</v>
      </c>
      <c r="AC48" s="36">
        <f t="shared" si="26"/>
        <v>8.7910413987345226</v>
      </c>
      <c r="AD48" s="2"/>
      <c r="AE48" s="28">
        <f t="shared" si="31"/>
        <v>40</v>
      </c>
      <c r="AF48" s="32">
        <f t="shared" si="28"/>
        <v>28000</v>
      </c>
      <c r="AG48" s="31">
        <v>27168.026509446841</v>
      </c>
      <c r="AH48" s="36">
        <f t="shared" si="29"/>
        <v>22.350700117707522</v>
      </c>
    </row>
    <row r="49" spans="1:34" ht="15.75" customHeight="1" x14ac:dyDescent="0.25">
      <c r="A49" s="13"/>
      <c r="B49" s="5"/>
      <c r="C49" s="2"/>
      <c r="D49" s="2"/>
      <c r="E49" s="2"/>
      <c r="F49" s="2"/>
      <c r="G49" s="2"/>
      <c r="H49" s="2"/>
      <c r="I49" s="2"/>
      <c r="J49" s="2"/>
      <c r="K49" s="2"/>
      <c r="L49" s="14"/>
      <c r="M49" s="2"/>
      <c r="N49" s="12" t="s">
        <v>119</v>
      </c>
      <c r="O49" s="17">
        <f t="shared" ref="O49:U49" si="32">SUM(O8:O48)</f>
        <v>2887.4322580645157</v>
      </c>
      <c r="P49" s="17">
        <f t="shared" si="32"/>
        <v>8546.5652663998517</v>
      </c>
      <c r="Q49" s="17">
        <f t="shared" si="32"/>
        <v>7527.320382754242</v>
      </c>
      <c r="R49" s="17">
        <f t="shared" si="32"/>
        <v>5066.4544664393261</v>
      </c>
      <c r="S49" s="17">
        <f t="shared" si="32"/>
        <v>92.97295976662032</v>
      </c>
      <c r="T49" s="17">
        <f t="shared" si="32"/>
        <v>-1915.701567177339</v>
      </c>
      <c r="U49" s="17">
        <f t="shared" si="32"/>
        <v>22205.043766247218</v>
      </c>
      <c r="V49" s="3"/>
      <c r="W49" s="3"/>
      <c r="X49" s="2"/>
      <c r="Y49" s="2"/>
      <c r="Z49" s="28">
        <f t="shared" si="30"/>
        <v>50</v>
      </c>
      <c r="AA49" s="30">
        <f t="shared" si="25"/>
        <v>948.00000000000023</v>
      </c>
      <c r="AB49" s="31">
        <v>24645.112003869617</v>
      </c>
      <c r="AC49" s="36">
        <f t="shared" si="26"/>
        <v>10.988801748418194</v>
      </c>
      <c r="AD49" s="2"/>
      <c r="AE49" s="28">
        <f t="shared" si="31"/>
        <v>50</v>
      </c>
      <c r="AF49" s="32">
        <f t="shared" si="28"/>
        <v>30000</v>
      </c>
      <c r="AG49" s="31">
        <v>28408.772195246744</v>
      </c>
      <c r="AH49" s="36">
        <f t="shared" si="29"/>
        <v>27.938375147134387</v>
      </c>
    </row>
    <row r="50" spans="1:34" ht="15.75" customHeight="1" x14ac:dyDescent="0.25">
      <c r="A50" s="2"/>
      <c r="B50" s="35"/>
      <c r="C50" s="2"/>
      <c r="D50" s="2"/>
      <c r="E50" s="2"/>
      <c r="F50" s="2"/>
      <c r="G50" s="2"/>
      <c r="H50" s="2"/>
      <c r="I50" s="2"/>
      <c r="J50" s="2"/>
      <c r="K50" s="2"/>
      <c r="L50" s="14"/>
      <c r="M50" s="2"/>
      <c r="N50" s="2"/>
      <c r="O50" s="2"/>
      <c r="P50" s="2"/>
      <c r="Q50" s="2"/>
      <c r="R50" s="23">
        <f>SUM(R49:S49)</f>
        <v>5159.4274262059462</v>
      </c>
      <c r="S50" s="2"/>
      <c r="T50" s="2"/>
      <c r="U50" s="2"/>
      <c r="V50" s="2"/>
      <c r="W50" s="2"/>
      <c r="X50" s="23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7" t="s">
        <v>197</v>
      </c>
      <c r="AA51" s="28"/>
      <c r="AB51" s="28"/>
      <c r="AC51" s="28"/>
      <c r="AD51" s="2"/>
      <c r="AE51" s="2"/>
      <c r="AF51" s="2"/>
      <c r="AG51" s="2"/>
      <c r="AH51" s="2"/>
    </row>
    <row r="52" spans="1:34" ht="15.75" customHeight="1" x14ac:dyDescent="0.25">
      <c r="A52" s="13"/>
      <c r="B52" s="2"/>
      <c r="C52" s="2"/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8" t="s">
        <v>80</v>
      </c>
      <c r="AA52" s="28" t="s">
        <v>197</v>
      </c>
      <c r="AB52" s="28" t="s">
        <v>23</v>
      </c>
      <c r="AC52" s="28" t="s">
        <v>82</v>
      </c>
      <c r="AD52" s="2"/>
      <c r="AE52" s="2"/>
      <c r="AF52" s="2"/>
      <c r="AG52" s="2"/>
      <c r="AH52" s="2"/>
    </row>
    <row r="53" spans="1:34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35"/>
      <c r="Y53" s="2"/>
      <c r="Z53" s="28" t="s">
        <v>87</v>
      </c>
      <c r="AA53" s="30">
        <v>7.2499999999999995E-2</v>
      </c>
      <c r="AB53" s="31">
        <f>U49</f>
        <v>22205.043766247218</v>
      </c>
      <c r="AC53" s="28"/>
      <c r="AD53" s="2"/>
      <c r="AE53" s="2"/>
      <c r="AF53" s="2"/>
      <c r="AG53" s="2"/>
      <c r="AH53" s="2"/>
    </row>
    <row r="54" spans="1:34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2"/>
      <c r="V54" s="2"/>
      <c r="W54" s="2"/>
      <c r="X54" s="35"/>
      <c r="Y54" s="2"/>
      <c r="Z54" s="28">
        <f t="shared" ref="Z54:Z58" si="33">Z55-10</f>
        <v>-50</v>
      </c>
      <c r="AA54" s="30">
        <f>$AA$53*(1-(Z54/100))</f>
        <v>0.10874999999999999</v>
      </c>
      <c r="AB54" s="31">
        <f t="dataTable" ref="AB54:AB64" dt2D="0" dtr="0" r1="J10"/>
        <v>25968.703957624341</v>
      </c>
      <c r="AC54" s="36">
        <f>100*((AB54-$AB$59)/$AB$59)</f>
        <v>16.949573398716176</v>
      </c>
      <c r="AD54" s="2"/>
      <c r="AE54" s="2"/>
      <c r="AF54" s="2"/>
      <c r="AG54" s="2"/>
      <c r="AH54" s="2"/>
    </row>
    <row r="55" spans="1:34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11433.997524464368</v>
      </c>
      <c r="Q55" s="2" t="s">
        <v>3</v>
      </c>
      <c r="R55" s="52">
        <f t="shared" ref="R55:R58" si="34">P55/$F$41</f>
        <v>5.7169987622321838E-2</v>
      </c>
      <c r="S55" s="2" t="s">
        <v>4</v>
      </c>
      <c r="T55" s="2"/>
      <c r="U55" s="2"/>
      <c r="V55" s="2"/>
      <c r="W55" s="2"/>
      <c r="X55" s="35"/>
      <c r="Y55" s="2"/>
      <c r="Z55" s="28">
        <f t="shared" si="33"/>
        <v>-40</v>
      </c>
      <c r="AA55" s="30">
        <f t="shared" ref="AA55:AA58" si="35">$AA$53*(1-(Z55/100))</f>
        <v>0.10149999999999999</v>
      </c>
      <c r="AB55" s="31">
        <v>25215.971919348915</v>
      </c>
      <c r="AC55" s="36">
        <f t="shared" ref="AC55:AC64" si="36">100*((AB55-$AB$59)/$AB$59)</f>
        <v>13.559658718972933</v>
      </c>
      <c r="AD55" s="2"/>
      <c r="AE55" s="2"/>
      <c r="AF55" s="2"/>
      <c r="AG55" s="2"/>
      <c r="AH55" s="2"/>
    </row>
    <row r="56" spans="1:34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SUM(Q49)</f>
        <v>7527.320382754242</v>
      </c>
      <c r="Q56" s="2" t="s">
        <v>3</v>
      </c>
      <c r="R56" s="52">
        <f t="shared" si="34"/>
        <v>3.763660191377121E-2</v>
      </c>
      <c r="S56" s="2" t="s">
        <v>4</v>
      </c>
      <c r="T56" s="2"/>
      <c r="U56" s="2"/>
      <c r="V56" s="2"/>
      <c r="W56" s="2"/>
      <c r="X56" s="35"/>
      <c r="Y56" s="2"/>
      <c r="Z56" s="28">
        <f t="shared" si="33"/>
        <v>-30</v>
      </c>
      <c r="AA56" s="30">
        <f t="shared" si="35"/>
        <v>9.425E-2</v>
      </c>
      <c r="AB56" s="31">
        <v>24463.239881073489</v>
      </c>
      <c r="AC56" s="36">
        <f t="shared" si="36"/>
        <v>10.169744039229691</v>
      </c>
      <c r="AD56" s="2"/>
      <c r="AE56" s="2"/>
      <c r="AF56" s="2"/>
      <c r="AG56" s="2"/>
      <c r="AH56" s="2"/>
    </row>
    <row r="57" spans="1:34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SUM(R49:S49)</f>
        <v>5159.4274262059462</v>
      </c>
      <c r="Q57" s="2" t="s">
        <v>3</v>
      </c>
      <c r="R57" s="52">
        <f t="shared" si="34"/>
        <v>2.579713713102973E-2</v>
      </c>
      <c r="S57" s="2" t="s">
        <v>4</v>
      </c>
      <c r="T57" s="2"/>
      <c r="U57" s="2"/>
      <c r="V57" s="2"/>
      <c r="W57" s="2"/>
      <c r="X57" s="35"/>
      <c r="Y57" s="2"/>
      <c r="Z57" s="28">
        <f t="shared" si="33"/>
        <v>-20</v>
      </c>
      <c r="AA57" s="30">
        <f t="shared" si="35"/>
        <v>8.6999999999999994E-2</v>
      </c>
      <c r="AB57" s="31">
        <v>23710.507842798066</v>
      </c>
      <c r="AC57" s="36">
        <f t="shared" si="36"/>
        <v>6.7798293594864667</v>
      </c>
      <c r="AD57" s="2"/>
      <c r="AE57" s="2"/>
      <c r="AF57" s="2"/>
      <c r="AG57" s="2"/>
      <c r="AH57" s="2"/>
    </row>
    <row r="58" spans="1:34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126</v>
      </c>
      <c r="P58" s="23">
        <f>T49</f>
        <v>-1915.701567177339</v>
      </c>
      <c r="Q58" s="2" t="s">
        <v>3</v>
      </c>
      <c r="R58" s="52">
        <f t="shared" si="34"/>
        <v>-9.5785078358866949E-3</v>
      </c>
      <c r="S58" s="2" t="s">
        <v>4</v>
      </c>
      <c r="T58" s="2"/>
      <c r="U58" s="2"/>
      <c r="V58" s="2"/>
      <c r="W58" s="2"/>
      <c r="X58" s="35"/>
      <c r="Y58" s="2"/>
      <c r="Z58" s="28">
        <f t="shared" si="33"/>
        <v>-10</v>
      </c>
      <c r="AA58" s="30">
        <f t="shared" si="35"/>
        <v>7.9750000000000001E-2</v>
      </c>
      <c r="AB58" s="31">
        <v>22957.775804522644</v>
      </c>
      <c r="AC58" s="36">
        <f t="shared" si="36"/>
        <v>3.3899146797432418</v>
      </c>
      <c r="AD58" s="2"/>
      <c r="AE58" s="2"/>
      <c r="AF58" s="2"/>
      <c r="AG58" s="2"/>
      <c r="AH58" s="2"/>
    </row>
    <row r="59" spans="1:34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5"/>
      <c r="Y59" s="2"/>
      <c r="Z59" s="41">
        <v>0</v>
      </c>
      <c r="AA59" s="60">
        <f t="shared" ref="AA59" si="37">$AA$53*(1+(Z59/100))</f>
        <v>7.2499999999999995E-2</v>
      </c>
      <c r="AB59" s="42">
        <v>22205.043766247218</v>
      </c>
      <c r="AC59" s="62">
        <f t="shared" si="36"/>
        <v>0</v>
      </c>
      <c r="AD59" s="2"/>
      <c r="AE59" s="2"/>
      <c r="AF59" s="2"/>
      <c r="AG59" s="2"/>
      <c r="AH59" s="2"/>
    </row>
    <row r="60" spans="1:34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SUM(P55:P58)</f>
        <v>22205.043766247218</v>
      </c>
      <c r="Q60" s="1" t="s">
        <v>3</v>
      </c>
      <c r="R60" s="46">
        <f>SUM(R55:R58)</f>
        <v>0.11102521883123609</v>
      </c>
      <c r="S60" s="1" t="s">
        <v>4</v>
      </c>
      <c r="T60" s="2"/>
      <c r="U60" s="2"/>
      <c r="V60" s="2"/>
      <c r="W60" s="2"/>
      <c r="X60" s="35"/>
      <c r="Y60" s="2"/>
      <c r="Z60" s="28">
        <f t="shared" ref="Z60:Z64" si="38">Z59+10</f>
        <v>10</v>
      </c>
      <c r="AA60" s="30">
        <f t="shared" ref="AA60:AA64" si="39">$AA$53*(1-(Z60/100))</f>
        <v>6.5250000000000002E-2</v>
      </c>
      <c r="AB60" s="31">
        <v>21452.311727971792</v>
      </c>
      <c r="AC60" s="36">
        <f t="shared" si="36"/>
        <v>-3.3899146797432418</v>
      </c>
      <c r="AD60" s="2"/>
      <c r="AE60" s="2"/>
      <c r="AF60" s="2"/>
      <c r="AG60" s="2"/>
      <c r="AH60" s="2"/>
    </row>
    <row r="61" spans="1:34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5"/>
      <c r="Y61" s="2"/>
      <c r="Z61" s="28">
        <f t="shared" si="38"/>
        <v>20</v>
      </c>
      <c r="AA61" s="30">
        <f t="shared" si="39"/>
        <v>5.7999999999999996E-2</v>
      </c>
      <c r="AB61" s="31">
        <v>20699.579689696369</v>
      </c>
      <c r="AC61" s="36">
        <f t="shared" si="36"/>
        <v>-6.7798293594864667</v>
      </c>
      <c r="AD61" s="2"/>
      <c r="AE61" s="2"/>
      <c r="AF61" s="2"/>
      <c r="AG61" s="2"/>
      <c r="AH61" s="2"/>
    </row>
    <row r="62" spans="1:34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5"/>
      <c r="Y62" s="2"/>
      <c r="Z62" s="28">
        <f t="shared" si="38"/>
        <v>30</v>
      </c>
      <c r="AA62" s="30">
        <f t="shared" si="39"/>
        <v>5.0749999999999997E-2</v>
      </c>
      <c r="AB62" s="31">
        <v>19946.84765142094</v>
      </c>
      <c r="AC62" s="36">
        <f t="shared" si="36"/>
        <v>-10.169744039229725</v>
      </c>
      <c r="AD62" s="2"/>
      <c r="AE62" s="2"/>
      <c r="AF62" s="2"/>
      <c r="AG62" s="2"/>
      <c r="AH62" s="2"/>
    </row>
    <row r="63" spans="1:34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35"/>
      <c r="Y63" s="2"/>
      <c r="Z63" s="28">
        <f t="shared" si="38"/>
        <v>40</v>
      </c>
      <c r="AA63" s="30">
        <f t="shared" si="39"/>
        <v>4.3499999999999997E-2</v>
      </c>
      <c r="AB63" s="31">
        <v>19194.115613145521</v>
      </c>
      <c r="AC63" s="36">
        <f t="shared" si="36"/>
        <v>-13.559658718972933</v>
      </c>
      <c r="AD63" s="2"/>
      <c r="AE63" s="2"/>
      <c r="AF63" s="2"/>
      <c r="AG63" s="2"/>
      <c r="AH63" s="2"/>
    </row>
    <row r="64" spans="1:34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5"/>
      <c r="Y64" s="2"/>
      <c r="Z64" s="28">
        <f t="shared" si="38"/>
        <v>50</v>
      </c>
      <c r="AA64" s="30">
        <f t="shared" si="39"/>
        <v>3.6249999999999998E-2</v>
      </c>
      <c r="AB64" s="31">
        <v>18441.383574870099</v>
      </c>
      <c r="AC64" s="36">
        <f t="shared" si="36"/>
        <v>-16.949573398716158</v>
      </c>
      <c r="AD64" s="2"/>
      <c r="AE64" s="2"/>
      <c r="AF64" s="2"/>
      <c r="AG64" s="2"/>
      <c r="AH64" s="2"/>
    </row>
    <row r="65" spans="1:34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35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5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35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spans="1:34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spans="1:34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spans="1:34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spans="1:34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spans="1:34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34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spans="1:34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spans="1:34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spans="1:34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spans="1:34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spans="1:34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spans="1:34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spans="1:34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spans="1:34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spans="1:34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spans="1:34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spans="1:34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spans="1:34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spans="1:34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spans="1:34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4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spans="1:34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spans="1:34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spans="1:34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spans="1:34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spans="1:34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spans="1:34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spans="1:34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spans="1:34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spans="1:34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spans="1:34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spans="1:34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spans="1:34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spans="1:34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spans="1:34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spans="1:34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spans="1:34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spans="1:34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spans="1:34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spans="1:34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spans="1:34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spans="1:34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spans="1:34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spans="1:34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spans="1:34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spans="1:34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spans="1:34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spans="1:34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spans="1:34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spans="1:34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spans="1:34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spans="1:34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spans="1:34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spans="1:34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4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</sheetData>
  <pageMargins left="0.7" right="0.7" top="0.75" bottom="0.75" header="0" footer="0"/>
  <pageSetup orientation="landscape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4BD44-8A3A-4BA9-AEDF-7355601FE2CE}">
  <dimension ref="A2:U45"/>
  <sheetViews>
    <sheetView tabSelected="1" topLeftCell="M23" zoomScale="85" zoomScaleNormal="85" workbookViewId="0">
      <selection activeCell="AE36" sqref="AE36"/>
    </sheetView>
  </sheetViews>
  <sheetFormatPr defaultRowHeight="15" x14ac:dyDescent="0.25"/>
  <cols>
    <col min="1" max="1" width="22" customWidth="1"/>
    <col min="2" max="2" width="21.7109375" customWidth="1"/>
    <col min="3" max="8" width="19.140625" style="84" customWidth="1"/>
    <col min="9" max="9" width="10.140625" customWidth="1"/>
    <col min="15" max="15" width="21.140625" customWidth="1"/>
    <col min="16" max="20" width="18.42578125" customWidth="1"/>
  </cols>
  <sheetData>
    <row r="2" spans="1:21" ht="18.75" x14ac:dyDescent="0.3">
      <c r="A2" s="80" t="s">
        <v>186</v>
      </c>
      <c r="B2" t="s">
        <v>187</v>
      </c>
      <c r="O2" s="90" t="s">
        <v>194</v>
      </c>
    </row>
    <row r="3" spans="1:21" x14ac:dyDescent="0.25">
      <c r="B3" s="95" t="s">
        <v>191</v>
      </c>
      <c r="C3" s="96" t="s">
        <v>190</v>
      </c>
      <c r="D3" s="96"/>
      <c r="E3" s="96"/>
      <c r="F3" s="96"/>
      <c r="G3" s="96"/>
      <c r="H3" s="88"/>
      <c r="O3" s="95" t="s">
        <v>191</v>
      </c>
      <c r="P3" s="94" t="s">
        <v>190</v>
      </c>
      <c r="Q3" s="94"/>
      <c r="R3" s="94"/>
      <c r="S3" s="94"/>
      <c r="T3" s="87"/>
      <c r="U3" s="89"/>
    </row>
    <row r="4" spans="1:21" x14ac:dyDescent="0.25">
      <c r="B4" s="95"/>
      <c r="C4" s="87" t="s">
        <v>183</v>
      </c>
      <c r="D4" s="87" t="s">
        <v>184</v>
      </c>
      <c r="E4" s="87" t="s">
        <v>33</v>
      </c>
      <c r="F4" s="87" t="s">
        <v>188</v>
      </c>
      <c r="G4" s="87" t="s">
        <v>189</v>
      </c>
      <c r="H4" s="87" t="str">
        <f>'E-Bus ID'!AR21</f>
        <v>Energy Efficiency</v>
      </c>
      <c r="O4" s="95"/>
      <c r="P4" s="86" t="s">
        <v>183</v>
      </c>
      <c r="Q4" s="86" t="s">
        <v>129</v>
      </c>
      <c r="R4" s="86" t="s">
        <v>189</v>
      </c>
      <c r="S4" s="86" t="s">
        <v>188</v>
      </c>
      <c r="T4" s="86" t="str">
        <f>'ICE-Bus ID'!AO21</f>
        <v>Energy Efficiency</v>
      </c>
    </row>
    <row r="5" spans="1:21" x14ac:dyDescent="0.25">
      <c r="B5" s="82">
        <f>'E-Bus ID'!AL22</f>
        <v>-50</v>
      </c>
      <c r="C5" s="85">
        <f>'E-Bus ID'!AM22</f>
        <v>-33.5379719852859</v>
      </c>
      <c r="D5" s="85">
        <f>'E-Bus ID'!AN22</f>
        <v>-2.3735690285054289</v>
      </c>
      <c r="E5" s="85">
        <f>'E-Bus ID'!AO22</f>
        <v>-3.9754144887849709</v>
      </c>
      <c r="F5" s="85">
        <f>'E-Bus ID'!AP22</f>
        <v>-17.520313924637801</v>
      </c>
      <c r="G5" s="85">
        <f>'E-Bus ID'!AQ22</f>
        <v>-15.14674489613242</v>
      </c>
      <c r="H5" s="85">
        <f>'E-Bus ID'!AR22</f>
        <v>2.3735690285053921</v>
      </c>
      <c r="O5" s="82">
        <f>'ICE-Bus ID'!AJ22</f>
        <v>-50</v>
      </c>
      <c r="P5" s="83">
        <f>'ICE-Bus ID'!AK22</f>
        <v>-23.668691030215587</v>
      </c>
      <c r="Q5" s="83">
        <f>'ICE-Bus ID'!AL22</f>
        <v>-15.703490614221607</v>
      </c>
      <c r="R5" s="83">
        <f>'ICE-Bus ID'!AM22</f>
        <v>-14.581326402226397</v>
      </c>
      <c r="S5" s="83">
        <f>'ICE-Bus ID'!AN22</f>
        <v>-30.284817016447992</v>
      </c>
      <c r="T5" s="83">
        <f>'ICE-Bus ID'!AO22</f>
        <v>15.703490614221579</v>
      </c>
    </row>
    <row r="6" spans="1:21" x14ac:dyDescent="0.25">
      <c r="B6" s="82">
        <f>'E-Bus ID'!AL23</f>
        <v>-40</v>
      </c>
      <c r="C6" s="85">
        <f>'E-Bus ID'!AM23</f>
        <v>-26.830377588228714</v>
      </c>
      <c r="D6" s="85">
        <f>'E-Bus ID'!AN23</f>
        <v>-1.8988552228043247</v>
      </c>
      <c r="E6" s="85">
        <f>'E-Bus ID'!AO23</f>
        <v>-3.1803315910279841</v>
      </c>
      <c r="F6" s="85">
        <f>'E-Bus ID'!AP23</f>
        <v>-14.016251139710231</v>
      </c>
      <c r="G6" s="85">
        <f>'E-Bus ID'!AQ23</f>
        <v>-12.117395916905942</v>
      </c>
      <c r="H6" s="85">
        <f>'E-Bus ID'!AR23</f>
        <v>1.8988552228042879</v>
      </c>
      <c r="O6" s="82">
        <f>'ICE-Bus ID'!AJ23</f>
        <v>-40</v>
      </c>
      <c r="P6" s="83">
        <f>'ICE-Bus ID'!AK23</f>
        <v>-18.934952824172456</v>
      </c>
      <c r="Q6" s="83">
        <f>'ICE-Bus ID'!AL23</f>
        <v>-12.562792491377287</v>
      </c>
      <c r="R6" s="83">
        <f>'ICE-Bus ID'!AM23</f>
        <v>-11.665061121781127</v>
      </c>
      <c r="S6" s="83">
        <f>'ICE-Bus ID'!AN23</f>
        <v>-24.227853613158398</v>
      </c>
      <c r="T6" s="83">
        <f>'ICE-Bus ID'!AO23</f>
        <v>12.562792491377243</v>
      </c>
    </row>
    <row r="7" spans="1:21" x14ac:dyDescent="0.25">
      <c r="B7" s="82">
        <f>'E-Bus ID'!AL24</f>
        <v>-30</v>
      </c>
      <c r="C7" s="85">
        <f>'E-Bus ID'!AM24</f>
        <v>-20.122783191171564</v>
      </c>
      <c r="D7" s="85">
        <f>'E-Bus ID'!AN24</f>
        <v>-1.4241414171032574</v>
      </c>
      <c r="E7" s="85">
        <f>'E-Bus ID'!AO24</f>
        <v>-2.3852486932709969</v>
      </c>
      <c r="F7" s="85">
        <f>'E-Bus ID'!AP24</f>
        <v>-10.512188354782687</v>
      </c>
      <c r="G7" s="85">
        <f>'E-Bus ID'!AQ24</f>
        <v>-9.088046937679465</v>
      </c>
      <c r="H7" s="85">
        <f>'E-Bus ID'!AR24</f>
        <v>1.4241414171032019</v>
      </c>
      <c r="O7" s="82">
        <f>'ICE-Bus ID'!AJ24</f>
        <v>-30</v>
      </c>
      <c r="P7" s="83">
        <f>'ICE-Bus ID'!AK24</f>
        <v>-14.201214618129351</v>
      </c>
      <c r="Q7" s="83">
        <f>'ICE-Bus ID'!AL24</f>
        <v>-9.4220943685329495</v>
      </c>
      <c r="R7" s="83">
        <f>'ICE-Bus ID'!AM24</f>
        <v>-8.7487958413358413</v>
      </c>
      <c r="S7" s="83">
        <f>'ICE-Bus ID'!AN24</f>
        <v>-18.170890209868805</v>
      </c>
      <c r="T7" s="83">
        <f>'ICE-Bus ID'!AO24</f>
        <v>9.4220943685329654</v>
      </c>
    </row>
    <row r="8" spans="1:21" x14ac:dyDescent="0.25">
      <c r="B8" s="82">
        <f>'E-Bus ID'!AL25</f>
        <v>-20</v>
      </c>
      <c r="C8" s="85">
        <f>'E-Bus ID'!AM25</f>
        <v>-13.415188794114345</v>
      </c>
      <c r="D8" s="85">
        <f>'E-Bus ID'!AN25</f>
        <v>-0.94942761140219023</v>
      </c>
      <c r="E8" s="85">
        <f>'E-Bus ID'!AO25</f>
        <v>-1.5901657955139921</v>
      </c>
      <c r="F8" s="85">
        <f>'E-Bus ID'!AP25</f>
        <v>-7.0081255698551237</v>
      </c>
      <c r="G8" s="85">
        <f>'E-Bus ID'!AQ25</f>
        <v>-6.058697958452953</v>
      </c>
      <c r="H8" s="85">
        <f>'E-Bus ID'!AR25</f>
        <v>0.94942761140215315</v>
      </c>
      <c r="O8" s="82">
        <f>'ICE-Bus ID'!AJ25</f>
        <v>-20</v>
      </c>
      <c r="P8" s="83">
        <f>'ICE-Bus ID'!AK25</f>
        <v>-9.4674764120862349</v>
      </c>
      <c r="Q8" s="83">
        <f>'ICE-Bus ID'!AL25</f>
        <v>-6.2813962456886436</v>
      </c>
      <c r="R8" s="83">
        <f>'ICE-Bus ID'!AM25</f>
        <v>-5.8325305608905555</v>
      </c>
      <c r="S8" s="83">
        <f>'ICE-Bus ID'!AN25</f>
        <v>-12.113926806579199</v>
      </c>
      <c r="T8" s="83">
        <f>'ICE-Bus ID'!AO25</f>
        <v>6.2813962456886436</v>
      </c>
    </row>
    <row r="9" spans="1:21" x14ac:dyDescent="0.25">
      <c r="B9" s="82">
        <f>'E-Bus ID'!AL26</f>
        <v>-10</v>
      </c>
      <c r="C9" s="85">
        <f>'E-Bus ID'!AM26</f>
        <v>-6.7075943970571821</v>
      </c>
      <c r="D9" s="85">
        <f>'E-Bus ID'!AN26</f>
        <v>-0.47471380570110433</v>
      </c>
      <c r="E9" s="85">
        <f>'E-Bus ID'!AO26</f>
        <v>-0.79508289775700525</v>
      </c>
      <c r="F9" s="85">
        <f>'E-Bus ID'!AP26</f>
        <v>-3.5040627849275432</v>
      </c>
      <c r="G9" s="85">
        <f>'E-Bus ID'!AQ26</f>
        <v>-3.0293489792264947</v>
      </c>
      <c r="H9" s="85">
        <f>'E-Bus ID'!AR26</f>
        <v>0.47471380570104882</v>
      </c>
      <c r="O9" s="82">
        <f>'ICE-Bus ID'!AJ26</f>
        <v>-10</v>
      </c>
      <c r="P9" s="83">
        <f>'ICE-Bus ID'!AK26</f>
        <v>-4.7337382060431175</v>
      </c>
      <c r="Q9" s="83">
        <f>'ICE-Bus ID'!AL26</f>
        <v>-3.1406981228443218</v>
      </c>
      <c r="R9" s="83">
        <f>'ICE-Bus ID'!AM26</f>
        <v>-2.9162652804452858</v>
      </c>
      <c r="S9" s="83">
        <f>'ICE-Bus ID'!AN26</f>
        <v>-6.0569634032895916</v>
      </c>
      <c r="T9" s="83">
        <f>'ICE-Bus ID'!AO26</f>
        <v>3.1406981228443072</v>
      </c>
    </row>
    <row r="10" spans="1:21" x14ac:dyDescent="0.25">
      <c r="B10" s="82">
        <f>'E-Bus ID'!AL27</f>
        <v>0</v>
      </c>
      <c r="C10" s="85">
        <f>'E-Bus ID'!AM27</f>
        <v>0</v>
      </c>
      <c r="D10" s="85">
        <f>'E-Bus ID'!AN27</f>
        <v>0</v>
      </c>
      <c r="E10" s="85">
        <f>'E-Bus ID'!AO27</f>
        <v>0</v>
      </c>
      <c r="F10" s="85">
        <f>'E-Bus ID'!AP27</f>
        <v>0</v>
      </c>
      <c r="G10" s="85">
        <f>'E-Bus ID'!AQ27</f>
        <v>0</v>
      </c>
      <c r="H10" s="85">
        <f>'E-Bus ID'!AR27</f>
        <v>0</v>
      </c>
      <c r="O10" s="82">
        <f>'ICE-Bus ID'!AJ27</f>
        <v>0</v>
      </c>
      <c r="P10" s="83">
        <f>'ICE-Bus ID'!AK27</f>
        <v>0</v>
      </c>
      <c r="Q10" s="83">
        <f>'ICE-Bus ID'!AL27</f>
        <v>0</v>
      </c>
      <c r="R10" s="83">
        <f>'ICE-Bus ID'!AM27</f>
        <v>0</v>
      </c>
      <c r="S10" s="83">
        <f>'ICE-Bus ID'!AN27</f>
        <v>0</v>
      </c>
      <c r="T10" s="83">
        <f>'ICE-Bus ID'!AO27</f>
        <v>0</v>
      </c>
    </row>
    <row r="11" spans="1:21" x14ac:dyDescent="0.25">
      <c r="B11" s="82">
        <f>'E-Bus ID'!AL28</f>
        <v>10</v>
      </c>
      <c r="C11" s="85">
        <f>'E-Bus ID'!AM28</f>
        <v>6.7075943970571634</v>
      </c>
      <c r="D11" s="85">
        <f>'E-Bus ID'!AN28</f>
        <v>0.47471380570104882</v>
      </c>
      <c r="E11" s="85">
        <f>'E-Bus ID'!AO28</f>
        <v>0.79508289775698671</v>
      </c>
      <c r="F11" s="85">
        <f>'E-Bus ID'!AP28</f>
        <v>3.5040627849275432</v>
      </c>
      <c r="G11" s="85">
        <f>'E-Bus ID'!AQ28</f>
        <v>3.0293489792264947</v>
      </c>
      <c r="H11" s="85">
        <f>'E-Bus ID'!AR28</f>
        <v>-0.47471380570110433</v>
      </c>
      <c r="O11" s="82">
        <f>'ICE-Bus ID'!AJ28</f>
        <v>10</v>
      </c>
      <c r="P11" s="83">
        <f>'ICE-Bus ID'!AK28</f>
        <v>4.7337382060431175</v>
      </c>
      <c r="Q11" s="83">
        <f>'ICE-Bus ID'!AL28</f>
        <v>3.1406981228443072</v>
      </c>
      <c r="R11" s="83">
        <f>'ICE-Bus ID'!AM28</f>
        <v>2.9162652804452702</v>
      </c>
      <c r="S11" s="83">
        <f>'ICE-Bus ID'!AN28</f>
        <v>6.0569634032895916</v>
      </c>
      <c r="T11" s="83">
        <f>'ICE-Bus ID'!AO28</f>
        <v>-3.1406981228443218</v>
      </c>
    </row>
    <row r="12" spans="1:21" x14ac:dyDescent="0.25">
      <c r="B12" s="82">
        <f>'E-Bus ID'!AL29</f>
        <v>20</v>
      </c>
      <c r="C12" s="85">
        <f>'E-Bus ID'!AM29</f>
        <v>13.415188794114327</v>
      </c>
      <c r="D12" s="85">
        <f>'E-Bus ID'!AN29</f>
        <v>0.94942761140215315</v>
      </c>
      <c r="E12" s="85">
        <f>'E-Bus ID'!AO29</f>
        <v>1.5901657955139734</v>
      </c>
      <c r="F12" s="85">
        <f>'E-Bus ID'!AP29</f>
        <v>7.0081255698550864</v>
      </c>
      <c r="G12" s="85">
        <f>'E-Bus ID'!AQ29</f>
        <v>6.0586979584529344</v>
      </c>
      <c r="H12" s="85">
        <f>'E-Bus ID'!AR29</f>
        <v>-0.94942761140219023</v>
      </c>
      <c r="O12" s="82">
        <f>'ICE-Bus ID'!AJ29</f>
        <v>20</v>
      </c>
      <c r="P12" s="83">
        <f>'ICE-Bus ID'!AK29</f>
        <v>9.4674764120862349</v>
      </c>
      <c r="Q12" s="83">
        <f>'ICE-Bus ID'!AL29</f>
        <v>6.2813962456886436</v>
      </c>
      <c r="R12" s="83">
        <f>'ICE-Bus ID'!AM29</f>
        <v>5.8325305608905404</v>
      </c>
      <c r="S12" s="83">
        <f>'ICE-Bus ID'!AN29</f>
        <v>12.113926806579169</v>
      </c>
      <c r="T12" s="83">
        <f>'ICE-Bus ID'!AO29</f>
        <v>-6.2813962456886436</v>
      </c>
    </row>
    <row r="13" spans="1:21" x14ac:dyDescent="0.25">
      <c r="B13" s="82">
        <f>'E-Bus ID'!AL30</f>
        <v>30</v>
      </c>
      <c r="C13" s="85">
        <f>'E-Bus ID'!AM30</f>
        <v>20.122783191171528</v>
      </c>
      <c r="D13" s="85">
        <f>'E-Bus ID'!AN30</f>
        <v>1.4241414171032019</v>
      </c>
      <c r="E13" s="85">
        <f>'E-Bus ID'!AO30</f>
        <v>2.3852486932709787</v>
      </c>
      <c r="F13" s="85">
        <f>'E-Bus ID'!AP30</f>
        <v>13.815426451871929</v>
      </c>
      <c r="G13" s="85">
        <f>'E-Bus ID'!AQ30</f>
        <v>9.08804693767941</v>
      </c>
      <c r="H13" s="85">
        <f>'E-Bus ID'!AR30</f>
        <v>-1.4241414171032574</v>
      </c>
      <c r="O13" s="82">
        <f>'ICE-Bus ID'!AJ30</f>
        <v>30</v>
      </c>
      <c r="P13" s="83">
        <f>'ICE-Bus ID'!AK30</f>
        <v>14.201214618129351</v>
      </c>
      <c r="Q13" s="83">
        <f>'ICE-Bus ID'!AL30</f>
        <v>9.4220943685329654</v>
      </c>
      <c r="R13" s="83">
        <f>'ICE-Bus ID'!AM30</f>
        <v>8.7487958413358271</v>
      </c>
      <c r="S13" s="83">
        <f>'ICE-Bus ID'!AN30</f>
        <v>18.170890209868805</v>
      </c>
      <c r="T13" s="83">
        <f>'ICE-Bus ID'!AO30</f>
        <v>-9.4220943685329495</v>
      </c>
    </row>
    <row r="14" spans="1:21" x14ac:dyDescent="0.25">
      <c r="B14" s="82">
        <f>'E-Bus ID'!AL31</f>
        <v>40</v>
      </c>
      <c r="C14" s="85">
        <f>'E-Bus ID'!AM31</f>
        <v>26.830377588228689</v>
      </c>
      <c r="D14" s="85">
        <f>'E-Bus ID'!AN31</f>
        <v>1.8988552228042879</v>
      </c>
      <c r="E14" s="85">
        <f>'E-Bus ID'!AO31</f>
        <v>3.1803315910279655</v>
      </c>
      <c r="F14" s="85">
        <f>'E-Bus ID'!AP31</f>
        <v>17.484651141653977</v>
      </c>
      <c r="G14" s="85">
        <f>'E-Bus ID'!AQ31</f>
        <v>12.117395916905906</v>
      </c>
      <c r="H14" s="85">
        <f>'E-Bus ID'!AR31</f>
        <v>-1.8988552228043247</v>
      </c>
      <c r="O14" s="82">
        <f>'ICE-Bus ID'!AJ31</f>
        <v>40</v>
      </c>
      <c r="P14" s="83">
        <f>'ICE-Bus ID'!AK31</f>
        <v>18.934952824172456</v>
      </c>
      <c r="Q14" s="83">
        <f>'ICE-Bus ID'!AL31</f>
        <v>12.562792491377243</v>
      </c>
      <c r="R14" s="83">
        <f>'ICE-Bus ID'!AM31</f>
        <v>11.665061121781127</v>
      </c>
      <c r="S14" s="83">
        <f>'ICE-Bus ID'!AN31</f>
        <v>24.227853613158384</v>
      </c>
      <c r="T14" s="83">
        <f>'ICE-Bus ID'!AO31</f>
        <v>-12.562792491377287</v>
      </c>
    </row>
    <row r="15" spans="1:21" x14ac:dyDescent="0.25">
      <c r="B15" s="82">
        <f>'E-Bus ID'!AL32</f>
        <v>50</v>
      </c>
      <c r="C15" s="85">
        <f>'E-Bus ID'!AM32</f>
        <v>33.537971985285871</v>
      </c>
      <c r="D15" s="85">
        <f>'E-Bus ID'!AN32</f>
        <v>2.3735690285053921</v>
      </c>
      <c r="E15" s="85">
        <f>'E-Bus ID'!AO32</f>
        <v>3.9754144887849523</v>
      </c>
      <c r="F15" s="85">
        <f>'E-Bus ID'!AP32</f>
        <v>21.16213392667871</v>
      </c>
      <c r="G15" s="85">
        <f>'E-Bus ID'!AQ32</f>
        <v>15.1467448961324</v>
      </c>
      <c r="H15" s="85">
        <f>'E-Bus ID'!AR32</f>
        <v>-2.3735690285054289</v>
      </c>
      <c r="O15" s="82">
        <f>'ICE-Bus ID'!AJ32</f>
        <v>50</v>
      </c>
      <c r="P15" s="83">
        <f>'ICE-Bus ID'!AK32</f>
        <v>23.668691030215602</v>
      </c>
      <c r="Q15" s="83">
        <f>'ICE-Bus ID'!AL32</f>
        <v>15.703490614221579</v>
      </c>
      <c r="R15" s="83">
        <f>'ICE-Bus ID'!AM32</f>
        <v>14.581326402226383</v>
      </c>
      <c r="S15" s="83">
        <f>'ICE-Bus ID'!AN32</f>
        <v>30.284817016447974</v>
      </c>
      <c r="T15" s="83">
        <f>'ICE-Bus ID'!AO32</f>
        <v>-15.703490614221607</v>
      </c>
    </row>
    <row r="17" spans="2:20" x14ac:dyDescent="0.25">
      <c r="B17" s="90" t="s">
        <v>192</v>
      </c>
      <c r="O17" s="90" t="s">
        <v>195</v>
      </c>
    </row>
    <row r="18" spans="2:20" x14ac:dyDescent="0.25">
      <c r="B18" s="95" t="s">
        <v>191</v>
      </c>
      <c r="C18" s="96" t="s">
        <v>190</v>
      </c>
      <c r="D18" s="96"/>
      <c r="E18" s="96"/>
      <c r="F18" s="96"/>
      <c r="G18" s="96"/>
      <c r="H18" s="88"/>
      <c r="O18" s="95" t="s">
        <v>191</v>
      </c>
      <c r="P18" s="94" t="s">
        <v>190</v>
      </c>
      <c r="Q18" s="94"/>
      <c r="R18" s="94"/>
      <c r="S18" s="94"/>
      <c r="T18" s="87"/>
    </row>
    <row r="19" spans="2:20" x14ac:dyDescent="0.25">
      <c r="B19" s="95"/>
      <c r="C19" s="87" t="s">
        <v>183</v>
      </c>
      <c r="D19" s="87" t="s">
        <v>184</v>
      </c>
      <c r="E19" s="87" t="s">
        <v>33</v>
      </c>
      <c r="F19" s="87" t="s">
        <v>188</v>
      </c>
      <c r="G19" s="87" t="s">
        <v>189</v>
      </c>
      <c r="H19" s="87" t="str">
        <f>'E-Truck ID'!AR21</f>
        <v>Energy Efficiency</v>
      </c>
      <c r="O19" s="95"/>
      <c r="P19" s="86" t="s">
        <v>183</v>
      </c>
      <c r="Q19" s="86" t="s">
        <v>129</v>
      </c>
      <c r="R19" s="86" t="s">
        <v>189</v>
      </c>
      <c r="S19" s="86" t="s">
        <v>188</v>
      </c>
      <c r="T19" s="86" t="str">
        <f>'ICE-Truck ID'!AO21</f>
        <v>Energy Efficiency</v>
      </c>
    </row>
    <row r="20" spans="2:20" x14ac:dyDescent="0.25">
      <c r="B20" s="82">
        <f>'E-Truck ID'!AL22</f>
        <v>-50</v>
      </c>
      <c r="C20" s="85">
        <f>'E-Truck ID'!AM22</f>
        <v>-26.987900890202525</v>
      </c>
      <c r="D20" s="85">
        <f>'E-Truck ID'!AN22</f>
        <v>-5.6631322276038034</v>
      </c>
      <c r="E20" s="85">
        <f>'E-Truck ID'!AO22</f>
        <v>-3.9777750169354844</v>
      </c>
      <c r="F20" s="85">
        <f>'E-Truck ID'!AP22</f>
        <v>-29.501702815804347</v>
      </c>
      <c r="G20" s="85">
        <f>'E-Truck ID'!AQ22</f>
        <v>-10.78270421800414</v>
      </c>
      <c r="H20" s="85">
        <f>'E-Truck ID'!AR22</f>
        <v>6.5130234567873995</v>
      </c>
      <c r="O20" s="82">
        <f>'ICE-Truck ID'!AJ22</f>
        <v>-50</v>
      </c>
      <c r="P20" s="83">
        <f>'ICE-Truck ID'!AK22</f>
        <v>-10.056351262795037</v>
      </c>
      <c r="Q20" s="83">
        <f>'ICE-Truck ID'!AL22</f>
        <v>-17.533154900832038</v>
      </c>
      <c r="R20" s="83">
        <f>'ICE-Truck ID'!AM22</f>
        <v>-23.97031076708457</v>
      </c>
      <c r="S20" s="83">
        <f>'ICE-Truck ID'!AN22</f>
        <v>-41.503465667916593</v>
      </c>
      <c r="T20" s="83">
        <f>'ICE-Truck ID'!AO22</f>
        <v>17.533154900832017</v>
      </c>
    </row>
    <row r="21" spans="2:20" x14ac:dyDescent="0.25">
      <c r="B21" s="82">
        <f>'E-Truck ID'!AL23</f>
        <v>-40</v>
      </c>
      <c r="C21" s="85">
        <f>'E-Truck ID'!AM23</f>
        <v>-21.590320712162004</v>
      </c>
      <c r="D21" s="85">
        <f>'E-Truck ID'!AN23</f>
        <v>-4.530505782083039</v>
      </c>
      <c r="E21" s="85">
        <f>'E-Truck ID'!AO23</f>
        <v>-3.1822200135483909</v>
      </c>
      <c r="F21" s="85">
        <f>'E-Truck ID'!AP23</f>
        <v>-26.042557280846033</v>
      </c>
      <c r="G21" s="85">
        <f>'E-Truck ID'!AQ23</f>
        <v>-8.6261633744033386</v>
      </c>
      <c r="H21" s="85">
        <f>'E-Truck ID'!AR23</f>
        <v>5.2104187654299228</v>
      </c>
      <c r="O21" s="82">
        <f>'ICE-Truck ID'!AJ23</f>
        <v>-40</v>
      </c>
      <c r="P21" s="83">
        <f>'ICE-Truck ID'!AK23</f>
        <v>-8.0450810102360268</v>
      </c>
      <c r="Q21" s="83">
        <f>'ICE-Truck ID'!AL23</f>
        <v>-14.026523920665637</v>
      </c>
      <c r="R21" s="83">
        <f>'ICE-Truck ID'!AM23</f>
        <v>-19.176248613667667</v>
      </c>
      <c r="S21" s="83">
        <f>'ICE-Truck ID'!AN23</f>
        <v>-33.20277253433327</v>
      </c>
      <c r="T21" s="83">
        <f>'ICE-Truck ID'!AO23</f>
        <v>14.026523920665577</v>
      </c>
    </row>
    <row r="22" spans="2:20" x14ac:dyDescent="0.25">
      <c r="B22" s="82">
        <f>'E-Truck ID'!AL24</f>
        <v>-30</v>
      </c>
      <c r="C22" s="85">
        <f>'E-Truck ID'!AM24</f>
        <v>-16.192740534121491</v>
      </c>
      <c r="D22" s="85">
        <f>'E-Truck ID'!AN24</f>
        <v>-3.3978793365622746</v>
      </c>
      <c r="E22" s="85">
        <f>'E-Truck ID'!AO24</f>
        <v>-2.3866650101612978</v>
      </c>
      <c r="F22" s="85">
        <f>'E-Truck ID'!AP24</f>
        <v>-18.517979898762142</v>
      </c>
      <c r="G22" s="85">
        <f>'E-Truck ID'!AQ24</f>
        <v>-6.469622530802499</v>
      </c>
      <c r="H22" s="85">
        <f>'E-Truck ID'!AR24</f>
        <v>3.9078140740724283</v>
      </c>
      <c r="O22" s="82">
        <f>'ICE-Truck ID'!AJ24</f>
        <v>-30</v>
      </c>
      <c r="P22" s="83">
        <f>'ICE-Truck ID'!AK24</f>
        <v>-6.033810757677017</v>
      </c>
      <c r="Q22" s="83">
        <f>'ICE-Truck ID'!AL24</f>
        <v>-10.519892940499226</v>
      </c>
      <c r="R22" s="83">
        <f>'ICE-Truck ID'!AM24</f>
        <v>-14.382186460250754</v>
      </c>
      <c r="S22" s="83">
        <f>'ICE-Truck ID'!AN24</f>
        <v>-24.902079400749955</v>
      </c>
      <c r="T22" s="83">
        <f>'ICE-Truck ID'!AO24</f>
        <v>10.519892940499213</v>
      </c>
    </row>
    <row r="23" spans="2:20" x14ac:dyDescent="0.25">
      <c r="B23" s="82">
        <f>'E-Truck ID'!AL25</f>
        <v>-20</v>
      </c>
      <c r="C23" s="85">
        <f>'E-Truck ID'!AM25</f>
        <v>-10.795160356080988</v>
      </c>
      <c r="D23" s="85">
        <f>'E-Truck ID'!AN25</f>
        <v>-2.2652528910415288</v>
      </c>
      <c r="E23" s="85">
        <f>'E-Truck ID'!AO25</f>
        <v>-1.591110006774205</v>
      </c>
      <c r="F23" s="85">
        <f>'E-Truck ID'!AP25</f>
        <v>-15.058834363803808</v>
      </c>
      <c r="G23" s="85">
        <f>'E-Truck ID'!AQ25</f>
        <v>-4.3130816872016409</v>
      </c>
      <c r="H23" s="85">
        <f>'E-Truck ID'!AR25</f>
        <v>2.6052093827149521</v>
      </c>
      <c r="O23" s="82">
        <f>'ICE-Truck ID'!AJ25</f>
        <v>-20</v>
      </c>
      <c r="P23" s="83">
        <f>'ICE-Truck ID'!AK25</f>
        <v>-4.0225405051180196</v>
      </c>
      <c r="Q23" s="83">
        <f>'ICE-Truck ID'!AL25</f>
        <v>-7.0132619603328257</v>
      </c>
      <c r="R23" s="83">
        <f>'ICE-Truck ID'!AM25</f>
        <v>-9.588124306833814</v>
      </c>
      <c r="S23" s="83">
        <f>'ICE-Truck ID'!AN25</f>
        <v>-16.601386267166639</v>
      </c>
      <c r="T23" s="83">
        <f>'ICE-Truck ID'!AO25</f>
        <v>7.0132619603328132</v>
      </c>
    </row>
    <row r="24" spans="2:20" x14ac:dyDescent="0.25">
      <c r="B24" s="82">
        <f>'E-Truck ID'!AL26</f>
        <v>-10</v>
      </c>
      <c r="C24" s="85">
        <f>'E-Truck ID'!AM26</f>
        <v>-5.3975801780404851</v>
      </c>
      <c r="D24" s="85">
        <f>'E-Truck ID'!AN26</f>
        <v>-1.1326264455207828</v>
      </c>
      <c r="E24" s="85">
        <f>'E-Truck ID'!AO26</f>
        <v>-0.79555500338709306</v>
      </c>
      <c r="F24" s="85">
        <f>'E-Truck ID'!AP26</f>
        <v>-3.4591455349583153</v>
      </c>
      <c r="G24" s="85">
        <f>'E-Truck ID'!AQ26</f>
        <v>-2.1565408436008573</v>
      </c>
      <c r="H24" s="85">
        <f>'E-Truck ID'!AR26</f>
        <v>1.3026046913574945</v>
      </c>
      <c r="O24" s="82">
        <f>'ICE-Truck ID'!AJ26</f>
        <v>-10</v>
      </c>
      <c r="P24" s="83">
        <f>'ICE-Truck ID'!AK26</f>
        <v>-2.0112702525589974</v>
      </c>
      <c r="Q24" s="83">
        <f>'ICE-Truck ID'!AL26</f>
        <v>-3.5066309801664004</v>
      </c>
      <c r="R24" s="83">
        <f>'ICE-Truck ID'!AM26</f>
        <v>-4.7940621534169257</v>
      </c>
      <c r="S24" s="83">
        <f>'ICE-Truck ID'!AN26</f>
        <v>-8.3006931335833389</v>
      </c>
      <c r="T24" s="83">
        <f>'ICE-Truck ID'!AO26</f>
        <v>3.5066309801664004</v>
      </c>
    </row>
    <row r="25" spans="2:20" x14ac:dyDescent="0.25">
      <c r="B25" s="82">
        <f>'E-Truck ID'!AL27</f>
        <v>0</v>
      </c>
      <c r="C25" s="85">
        <f>'E-Truck ID'!AM27</f>
        <v>0</v>
      </c>
      <c r="D25" s="85">
        <f>'E-Truck ID'!AN27</f>
        <v>0</v>
      </c>
      <c r="E25" s="85">
        <f>'E-Truck ID'!AO27</f>
        <v>0</v>
      </c>
      <c r="F25" s="85">
        <f>'E-Truck ID'!AP27</f>
        <v>0</v>
      </c>
      <c r="G25" s="85">
        <f>'E-Truck ID'!AQ27</f>
        <v>0</v>
      </c>
      <c r="H25" s="85">
        <f>'E-Truck ID'!AR27</f>
        <v>0</v>
      </c>
      <c r="O25" s="82">
        <f>'ICE-Truck ID'!AJ27</f>
        <v>0</v>
      </c>
      <c r="P25" s="83">
        <f>'ICE-Truck ID'!AK27</f>
        <v>0</v>
      </c>
      <c r="Q25" s="83">
        <f>'ICE-Truck ID'!AL27</f>
        <v>0</v>
      </c>
      <c r="R25" s="83">
        <f>'ICE-Truck ID'!AM27</f>
        <v>0</v>
      </c>
      <c r="S25" s="83">
        <f>'ICE-Truck ID'!AN27</f>
        <v>0</v>
      </c>
      <c r="T25" s="83">
        <f>'ICE-Truck ID'!AO27</f>
        <v>0</v>
      </c>
    </row>
    <row r="26" spans="2:20" x14ac:dyDescent="0.25">
      <c r="B26" s="82">
        <f>'E-Truck ID'!AL28</f>
        <v>10</v>
      </c>
      <c r="C26" s="85">
        <f>'E-Truck ID'!AM28</f>
        <v>5.3975801780405028</v>
      </c>
      <c r="D26" s="85">
        <f>'E-Truck ID'!AN28</f>
        <v>1.1326264455207276</v>
      </c>
      <c r="E26" s="85">
        <f>'E-Truck ID'!AO28</f>
        <v>0.7955550033871116</v>
      </c>
      <c r="F26" s="85">
        <f>'E-Truck ID'!AP28</f>
        <v>3.459145534958278</v>
      </c>
      <c r="G26" s="85">
        <f>'E-Truck ID'!AQ28</f>
        <v>2.1565408436008204</v>
      </c>
      <c r="H26" s="85">
        <f>'E-Truck ID'!AR28</f>
        <v>-1.3026046913574945</v>
      </c>
      <c r="O26" s="82">
        <f>'ICE-Truck ID'!AJ28</f>
        <v>10</v>
      </c>
      <c r="P26" s="83">
        <f>'ICE-Truck ID'!AK28</f>
        <v>2.0112702525590098</v>
      </c>
      <c r="Q26" s="83">
        <f>'ICE-Truck ID'!AL28</f>
        <v>3.5066309801664004</v>
      </c>
      <c r="R26" s="83">
        <f>'ICE-Truck ID'!AM28</f>
        <v>4.7940621534169132</v>
      </c>
      <c r="S26" s="83">
        <f>'ICE-Truck ID'!AN28</f>
        <v>8.3006931335833265</v>
      </c>
      <c r="T26" s="83">
        <f>'ICE-Truck ID'!AO28</f>
        <v>-3.5066309801664004</v>
      </c>
    </row>
    <row r="27" spans="2:20" x14ac:dyDescent="0.25">
      <c r="B27" s="82">
        <f>'E-Truck ID'!AL29</f>
        <v>20</v>
      </c>
      <c r="C27" s="85">
        <f>'E-Truck ID'!AM29</f>
        <v>10.795160356081006</v>
      </c>
      <c r="D27" s="85">
        <f>'E-Truck ID'!AN29</f>
        <v>2.265252891041492</v>
      </c>
      <c r="E27" s="85">
        <f>'E-Truck ID'!AO29</f>
        <v>1.591110006774205</v>
      </c>
      <c r="F27" s="85">
        <f>'E-Truck ID'!AP29</f>
        <v>6.9182910699165934</v>
      </c>
      <c r="G27" s="85">
        <f>'E-Truck ID'!AQ29</f>
        <v>4.3130816872016222</v>
      </c>
      <c r="H27" s="85">
        <f>'E-Truck ID'!AR29</f>
        <v>-2.6052093827149521</v>
      </c>
      <c r="O27" s="82">
        <f>'ICE-Truck ID'!AJ29</f>
        <v>20</v>
      </c>
      <c r="P27" s="83">
        <f>'ICE-Truck ID'!AK29</f>
        <v>4.0225405051180072</v>
      </c>
      <c r="Q27" s="83">
        <f>'ICE-Truck ID'!AL29</f>
        <v>7.0132619603328132</v>
      </c>
      <c r="R27" s="83">
        <f>'ICE-Truck ID'!AM29</f>
        <v>9.5881243068338264</v>
      </c>
      <c r="S27" s="83">
        <f>'ICE-Truck ID'!AN29</f>
        <v>16.601386267166628</v>
      </c>
      <c r="T27" s="83">
        <f>'ICE-Truck ID'!AO29</f>
        <v>-7.0132619603328257</v>
      </c>
    </row>
    <row r="28" spans="2:20" x14ac:dyDescent="0.25">
      <c r="B28" s="82">
        <f>'E-Truck ID'!AL30</f>
        <v>30</v>
      </c>
      <c r="C28" s="85">
        <f>'E-Truck ID'!AM30</f>
        <v>16.192740534121508</v>
      </c>
      <c r="D28" s="85">
        <f>'E-Truck ID'!AN30</f>
        <v>3.3978793365622746</v>
      </c>
      <c r="E28" s="85">
        <f>'E-Truck ID'!AO30</f>
        <v>2.386665010161316</v>
      </c>
      <c r="F28" s="85">
        <f>'E-Truck ID'!AP30</f>
        <v>31.670639685582032</v>
      </c>
      <c r="G28" s="85">
        <f>'E-Truck ID'!AQ30</f>
        <v>6.4696225308024617</v>
      </c>
      <c r="H28" s="85">
        <f>'E-Truck ID'!AR30</f>
        <v>-3.9078140740724465</v>
      </c>
      <c r="O28" s="82">
        <f>'ICE-Truck ID'!AJ30</f>
        <v>30</v>
      </c>
      <c r="P28" s="83">
        <f>'ICE-Truck ID'!AK30</f>
        <v>6.033810757677017</v>
      </c>
      <c r="Q28" s="83">
        <f>'ICE-Truck ID'!AL30</f>
        <v>10.519892940499213</v>
      </c>
      <c r="R28" s="83">
        <f>'ICE-Truck ID'!AM30</f>
        <v>14.38218646025074</v>
      </c>
      <c r="S28" s="83">
        <f>'ICE-Truck ID'!AN30</f>
        <v>24.902079400749979</v>
      </c>
      <c r="T28" s="83">
        <f>'ICE-Truck ID'!AO30</f>
        <v>-10.519892940499226</v>
      </c>
    </row>
    <row r="29" spans="2:20" x14ac:dyDescent="0.25">
      <c r="B29" s="82">
        <f>'E-Truck ID'!AL31</f>
        <v>40</v>
      </c>
      <c r="C29" s="85">
        <f>'E-Truck ID'!AM31</f>
        <v>21.590320712162033</v>
      </c>
      <c r="D29" s="85">
        <f>'E-Truck ID'!AN31</f>
        <v>4.5305057820830203</v>
      </c>
      <c r="E29" s="85">
        <f>'E-Truck ID'!AO31</f>
        <v>3.18222001354841</v>
      </c>
      <c r="F29" s="85">
        <f>'E-Truck ID'!AP31</f>
        <v>35.129785220540349</v>
      </c>
      <c r="G29" s="85">
        <f>'E-Truck ID'!AQ31</f>
        <v>8.626163374403319</v>
      </c>
      <c r="H29" s="85">
        <f>'E-Truck ID'!AR31</f>
        <v>-5.2104187654299228</v>
      </c>
      <c r="O29" s="82">
        <f>'ICE-Truck ID'!AJ31</f>
        <v>40</v>
      </c>
      <c r="P29" s="83">
        <f>'ICE-Truck ID'!AK31</f>
        <v>8.0450810102360268</v>
      </c>
      <c r="Q29" s="83">
        <f>'ICE-Truck ID'!AL31</f>
        <v>14.026523920665577</v>
      </c>
      <c r="R29" s="83">
        <f>'ICE-Truck ID'!AM31</f>
        <v>19.176248613667628</v>
      </c>
      <c r="S29" s="83">
        <f>'ICE-Truck ID'!AN31</f>
        <v>33.202772534333256</v>
      </c>
      <c r="T29" s="83">
        <f>'ICE-Truck ID'!AO31</f>
        <v>-14.026523920665637</v>
      </c>
    </row>
    <row r="30" spans="2:20" x14ac:dyDescent="0.25">
      <c r="B30" s="82">
        <f>'E-Truck ID'!AL32</f>
        <v>50</v>
      </c>
      <c r="C30" s="85">
        <f>'E-Truck ID'!AM32</f>
        <v>26.987900890202514</v>
      </c>
      <c r="D30" s="85">
        <f>'E-Truck ID'!AN32</f>
        <v>5.663132227603767</v>
      </c>
      <c r="E30" s="85">
        <f>'E-Truck ID'!AO32</f>
        <v>3.9777750169355399</v>
      </c>
      <c r="F30" s="85">
        <f>'E-Truck ID'!AP32</f>
        <v>38.58893075549868</v>
      </c>
      <c r="G30" s="85">
        <f>'E-Truck ID'!AQ32</f>
        <v>10.782704218004122</v>
      </c>
      <c r="H30" s="85">
        <f>'E-Truck ID'!AR32</f>
        <v>-6.5130234567873995</v>
      </c>
      <c r="O30" s="82">
        <f>'ICE-Truck ID'!AJ32</f>
        <v>50</v>
      </c>
      <c r="P30" s="83">
        <f>'ICE-Truck ID'!AK32</f>
        <v>10.056351262795024</v>
      </c>
      <c r="Q30" s="83">
        <f>'ICE-Truck ID'!AL32</f>
        <v>17.533154900832017</v>
      </c>
      <c r="R30" s="83">
        <f>'ICE-Truck ID'!AM32</f>
        <v>23.97031076708457</v>
      </c>
      <c r="S30" s="83">
        <f>'ICE-Truck ID'!AN32</f>
        <v>41.503465667916558</v>
      </c>
      <c r="T30" s="83">
        <f>'ICE-Truck ID'!AO32</f>
        <v>-17.533154900832038</v>
      </c>
    </row>
    <row r="32" spans="2:20" x14ac:dyDescent="0.25">
      <c r="B32" s="90" t="s">
        <v>193</v>
      </c>
      <c r="O32" s="90" t="s">
        <v>196</v>
      </c>
    </row>
    <row r="33" spans="2:20" x14ac:dyDescent="0.25">
      <c r="B33" s="95" t="s">
        <v>191</v>
      </c>
      <c r="C33" s="96" t="s">
        <v>190</v>
      </c>
      <c r="D33" s="96"/>
      <c r="E33" s="96"/>
      <c r="F33" s="96"/>
      <c r="G33" s="96"/>
      <c r="H33" s="88"/>
      <c r="O33" s="95" t="s">
        <v>191</v>
      </c>
      <c r="P33" s="94" t="s">
        <v>190</v>
      </c>
      <c r="Q33" s="94"/>
      <c r="R33" s="94"/>
      <c r="S33" s="94"/>
      <c r="T33" s="87"/>
    </row>
    <row r="34" spans="2:20" x14ac:dyDescent="0.25">
      <c r="B34" s="95"/>
      <c r="C34" s="87" t="s">
        <v>183</v>
      </c>
      <c r="D34" s="87" t="s">
        <v>184</v>
      </c>
      <c r="E34" s="87" t="s">
        <v>33</v>
      </c>
      <c r="F34" s="87" t="s">
        <v>188</v>
      </c>
      <c r="G34" s="87" t="s">
        <v>189</v>
      </c>
      <c r="H34" s="87" t="str">
        <f>'E-Cargo ID'!AR21</f>
        <v>Energy Efficiency</v>
      </c>
      <c r="O34" s="95"/>
      <c r="P34" s="86" t="s">
        <v>183</v>
      </c>
      <c r="Q34" s="86" t="s">
        <v>129</v>
      </c>
      <c r="R34" s="86" t="s">
        <v>189</v>
      </c>
      <c r="S34" s="86" t="s">
        <v>188</v>
      </c>
      <c r="T34" s="86" t="str">
        <f>'ICE-Cargo ID'!AO21</f>
        <v>Energy Efficiency</v>
      </c>
    </row>
    <row r="35" spans="2:20" x14ac:dyDescent="0.25">
      <c r="B35" s="81">
        <f>'E-Cargo ID'!AL22</f>
        <v>-50</v>
      </c>
      <c r="C35" s="85">
        <f>'E-Cargo ID'!AM22</f>
        <v>-39.227639563880047</v>
      </c>
      <c r="D35" s="85">
        <f>'E-Cargo ID'!AN22</f>
        <v>-5.2922898856258005</v>
      </c>
      <c r="E35" s="85">
        <f>'E-Cargo ID'!AO22</f>
        <v>-9.4820418578078804</v>
      </c>
      <c r="F35" s="85">
        <f>'E-Cargo ID'!AP22</f>
        <v>-21.10575445875897</v>
      </c>
      <c r="G35" s="85">
        <f>'E-Cargo ID'!AQ22</f>
        <v>-5.5953591532072453</v>
      </c>
      <c r="H35" s="85">
        <f>'E-Cargo ID'!AR22</f>
        <v>6.8240332179324197</v>
      </c>
      <c r="O35" s="82">
        <f>'ICE-Cargo ID'!AJ22</f>
        <v>-50</v>
      </c>
      <c r="P35" s="83">
        <f>'ICE-Cargo ID'!AK22</f>
        <v>-25.74639718081669</v>
      </c>
      <c r="Q35" s="83">
        <f>'ICE-Cargo ID'!AL22</f>
        <v>-16.949573398716158</v>
      </c>
      <c r="R35" s="83">
        <f>'ICE-Cargo ID'!AM22</f>
        <v>-10.98880174841821</v>
      </c>
      <c r="S35" s="83">
        <f>'ICE-Cargo ID'!AN22</f>
        <v>-27.938375147134352</v>
      </c>
      <c r="T35" s="83">
        <f>'ICE-Cargo ID'!AO22</f>
        <v>16.949573398716176</v>
      </c>
    </row>
    <row r="36" spans="2:20" x14ac:dyDescent="0.25">
      <c r="B36" s="81">
        <f>'E-Cargo ID'!AL23</f>
        <v>-40</v>
      </c>
      <c r="C36" s="85">
        <f>'E-Cargo ID'!AM23</f>
        <v>-31.382111651104051</v>
      </c>
      <c r="D36" s="85">
        <f>'E-Cargo ID'!AN23</f>
        <v>-4.2338319085006537</v>
      </c>
      <c r="E36" s="85">
        <f>'E-Cargo ID'!AO23</f>
        <v>-7.5856334862463166</v>
      </c>
      <c r="F36" s="85">
        <f>'E-Cargo ID'!AP23</f>
        <v>-18.621875984531037</v>
      </c>
      <c r="G36" s="85">
        <f>'E-Cargo ID'!AQ23</f>
        <v>-4.4762873225658177</v>
      </c>
      <c r="H36" s="85">
        <f>'E-Cargo ID'!AR23</f>
        <v>5.4592265743459265</v>
      </c>
      <c r="O36" s="82">
        <f>'ICE-Cargo ID'!AJ23</f>
        <v>-40</v>
      </c>
      <c r="P36" s="83">
        <f>'ICE-Cargo ID'!AK23</f>
        <v>-20.59711774465336</v>
      </c>
      <c r="Q36" s="83">
        <f>'ICE-Cargo ID'!AL23</f>
        <v>-13.559658718972933</v>
      </c>
      <c r="R36" s="83">
        <f>'ICE-Cargo ID'!AM23</f>
        <v>-8.7910413987345706</v>
      </c>
      <c r="S36" s="83">
        <f>'ICE-Cargo ID'!AN23</f>
        <v>-22.350700117707508</v>
      </c>
      <c r="T36" s="83">
        <f>'ICE-Cargo ID'!AO23</f>
        <v>13.559658718972933</v>
      </c>
    </row>
    <row r="37" spans="2:20" x14ac:dyDescent="0.25">
      <c r="B37" s="81">
        <f>'E-Cargo ID'!AL24</f>
        <v>-30</v>
      </c>
      <c r="C37" s="85">
        <f>'E-Cargo ID'!AM24</f>
        <v>-23.536583738328037</v>
      </c>
      <c r="D37" s="85">
        <f>'E-Cargo ID'!AN24</f>
        <v>-3.1753739313755061</v>
      </c>
      <c r="E37" s="85">
        <f>'E-Cargo ID'!AO24</f>
        <v>-5.6892251146847528</v>
      </c>
      <c r="F37" s="85">
        <f>'E-Cargo ID'!AP24</f>
        <v>-16.137997510303119</v>
      </c>
      <c r="G37" s="85">
        <f>'E-Cargo ID'!AQ24</f>
        <v>-3.357215491924336</v>
      </c>
      <c r="H37" s="85">
        <f>'E-Cargo ID'!AR24</f>
        <v>4.0944199307594555</v>
      </c>
      <c r="O37" s="82">
        <f>'ICE-Cargo ID'!AJ24</f>
        <v>-30</v>
      </c>
      <c r="P37" s="83">
        <f>'ICE-Cargo ID'!AK24</f>
        <v>-15.447838308490011</v>
      </c>
      <c r="Q37" s="83">
        <f>'ICE-Cargo ID'!AL24</f>
        <v>-10.169744039229725</v>
      </c>
      <c r="R37" s="83">
        <f>'ICE-Cargo ID'!AM24</f>
        <v>-6.5932810490509324</v>
      </c>
      <c r="S37" s="83">
        <f>'ICE-Cargo ID'!AN24</f>
        <v>-16.763025088280642</v>
      </c>
      <c r="T37" s="83">
        <f>'ICE-Cargo ID'!AO24</f>
        <v>10.169744039229691</v>
      </c>
    </row>
    <row r="38" spans="2:20" x14ac:dyDescent="0.25">
      <c r="B38" s="81">
        <f>'E-Cargo ID'!AL25</f>
        <v>-20</v>
      </c>
      <c r="C38" s="85">
        <f>'E-Cargo ID'!AM25</f>
        <v>-15.691055825552025</v>
      </c>
      <c r="D38" s="85">
        <f>'E-Cargo ID'!AN25</f>
        <v>-2.1169159542503371</v>
      </c>
      <c r="E38" s="85">
        <f>'E-Cargo ID'!AO25</f>
        <v>-3.7928167431231472</v>
      </c>
      <c r="F38" s="85">
        <f>'E-Cargo ID'!AP25</f>
        <v>-5.7753325620440759</v>
      </c>
      <c r="G38" s="85">
        <f>'E-Cargo ID'!AQ25</f>
        <v>-2.2381436612828978</v>
      </c>
      <c r="H38" s="85">
        <f>'E-Cargo ID'!AR25</f>
        <v>2.7296132871728997</v>
      </c>
      <c r="O38" s="82">
        <f>'ICE-Cargo ID'!AJ25</f>
        <v>-20</v>
      </c>
      <c r="P38" s="83">
        <f>'ICE-Cargo ID'!AK25</f>
        <v>-10.298558872326646</v>
      </c>
      <c r="Q38" s="83">
        <f>'ICE-Cargo ID'!AL25</f>
        <v>-6.7798293594864667</v>
      </c>
      <c r="R38" s="83">
        <f>'ICE-Cargo ID'!AM25</f>
        <v>-4.3955206993672942</v>
      </c>
      <c r="S38" s="83">
        <f>'ICE-Cargo ID'!AN25</f>
        <v>-11.175350058853727</v>
      </c>
      <c r="T38" s="83">
        <f>'ICE-Cargo ID'!AO25</f>
        <v>6.7798293594864667</v>
      </c>
    </row>
    <row r="39" spans="2:20" x14ac:dyDescent="0.25">
      <c r="B39" s="81">
        <f>'E-Cargo ID'!AL26</f>
        <v>-10</v>
      </c>
      <c r="C39" s="85">
        <f>'E-Cargo ID'!AM26</f>
        <v>-7.8455279127760127</v>
      </c>
      <c r="D39" s="85">
        <f>'E-Cargo ID'!AN26</f>
        <v>-1.0584579771251685</v>
      </c>
      <c r="E39" s="85">
        <f>'E-Cargo ID'!AO26</f>
        <v>-1.8964083715615632</v>
      </c>
      <c r="F39" s="85">
        <f>'E-Cargo ID'!AP26</f>
        <v>-2.4838784742279518</v>
      </c>
      <c r="G39" s="85">
        <f>'E-Cargo ID'!AQ26</f>
        <v>-1.1190718306414595</v>
      </c>
      <c r="H39" s="85">
        <f>'E-Cargo ID'!AR26</f>
        <v>1.3648066435864923</v>
      </c>
      <c r="O39" s="82">
        <f>'ICE-Cargo ID'!AJ26</f>
        <v>-10</v>
      </c>
      <c r="P39" s="83">
        <f>'ICE-Cargo ID'!AK26</f>
        <v>-5.1492794361633152</v>
      </c>
      <c r="Q39" s="83">
        <f>'ICE-Cargo ID'!AL26</f>
        <v>-3.3899146797432418</v>
      </c>
      <c r="R39" s="83">
        <f>'ICE-Cargo ID'!AM26</f>
        <v>-2.1977603496836391</v>
      </c>
      <c r="S39" s="83">
        <f>'ICE-Cargo ID'!AN26</f>
        <v>-5.5876750294268804</v>
      </c>
      <c r="T39" s="83">
        <f>'ICE-Cargo ID'!AO26</f>
        <v>3.3899146797432418</v>
      </c>
    </row>
    <row r="40" spans="2:20" x14ac:dyDescent="0.25">
      <c r="B40" s="81">
        <f>'E-Cargo ID'!AL27</f>
        <v>0</v>
      </c>
      <c r="C40" s="85">
        <f>'E-Cargo ID'!AM27</f>
        <v>0</v>
      </c>
      <c r="D40" s="85">
        <f>'E-Cargo ID'!AN27</f>
        <v>0</v>
      </c>
      <c r="E40" s="85">
        <f>'E-Cargo ID'!AO27</f>
        <v>0</v>
      </c>
      <c r="F40" s="85">
        <f>'E-Cargo ID'!AP27</f>
        <v>0</v>
      </c>
      <c r="G40" s="85">
        <f>'E-Cargo ID'!AQ27</f>
        <v>0</v>
      </c>
      <c r="H40" s="85">
        <f>'E-Cargo ID'!AR27</f>
        <v>0</v>
      </c>
      <c r="O40" s="82">
        <f>'ICE-Cargo ID'!AJ27</f>
        <v>0</v>
      </c>
      <c r="P40" s="83">
        <f>'ICE-Cargo ID'!AK27</f>
        <v>0</v>
      </c>
      <c r="Q40" s="83">
        <f>'ICE-Cargo ID'!AL27</f>
        <v>0</v>
      </c>
      <c r="R40" s="83">
        <f>'ICE-Cargo ID'!AM27</f>
        <v>0</v>
      </c>
      <c r="S40" s="83">
        <f>'ICE-Cargo ID'!AN27</f>
        <v>0</v>
      </c>
      <c r="T40" s="83">
        <f>'ICE-Cargo ID'!AO27</f>
        <v>0</v>
      </c>
    </row>
    <row r="41" spans="2:20" x14ac:dyDescent="0.25">
      <c r="B41" s="81">
        <f>'E-Cargo ID'!AL28</f>
        <v>10</v>
      </c>
      <c r="C41" s="85">
        <f>'E-Cargo ID'!AM28</f>
        <v>7.8455279127760127</v>
      </c>
      <c r="D41" s="85">
        <f>'E-Cargo ID'!AN28</f>
        <v>1.0584579771251263</v>
      </c>
      <c r="E41" s="85">
        <f>'E-Cargo ID'!AO28</f>
        <v>1.8964083715615845</v>
      </c>
      <c r="F41" s="85">
        <f>'E-Cargo ID'!AP28</f>
        <v>2.9181965786088901</v>
      </c>
      <c r="G41" s="85">
        <f>'E-Cargo ID'!AQ28</f>
        <v>1.1190718306414384</v>
      </c>
      <c r="H41" s="85">
        <f>'E-Cargo ID'!AR28</f>
        <v>-1.3648066435864712</v>
      </c>
      <c r="O41" s="82">
        <f>'ICE-Cargo ID'!AJ28</f>
        <v>10</v>
      </c>
      <c r="P41" s="83">
        <f>'ICE-Cargo ID'!AK28</f>
        <v>5.149279436163348</v>
      </c>
      <c r="Q41" s="83">
        <f>'ICE-Cargo ID'!AL28</f>
        <v>3.3899146797432418</v>
      </c>
      <c r="R41" s="83">
        <f>'ICE-Cargo ID'!AM28</f>
        <v>2.1977603496836391</v>
      </c>
      <c r="S41" s="83">
        <f>'ICE-Cargo ID'!AN28</f>
        <v>5.5876750294268964</v>
      </c>
      <c r="T41" s="83">
        <f>'ICE-Cargo ID'!AO28</f>
        <v>-3.3899146797432418</v>
      </c>
    </row>
    <row r="42" spans="2:20" x14ac:dyDescent="0.25">
      <c r="B42" s="81">
        <f>'E-Cargo ID'!AL29</f>
        <v>20</v>
      </c>
      <c r="C42" s="85">
        <f>'E-Cargo ID'!AM29</f>
        <v>15.691055825552006</v>
      </c>
      <c r="D42" s="85">
        <f>'E-Cargo ID'!AN29</f>
        <v>2.1169159542502949</v>
      </c>
      <c r="E42" s="85">
        <f>'E-Cargo ID'!AO29</f>
        <v>3.792816743123169</v>
      </c>
      <c r="F42" s="85">
        <f>'E-Cargo ID'!AP29</f>
        <v>5.8581090624368217</v>
      </c>
      <c r="G42" s="85">
        <f>'E-Cargo ID'!AQ29</f>
        <v>2.2381436612828769</v>
      </c>
      <c r="H42" s="85">
        <f>'E-Cargo ID'!AR29</f>
        <v>-2.7296132871729846</v>
      </c>
      <c r="O42" s="82">
        <f>'ICE-Cargo ID'!AJ29</f>
        <v>20</v>
      </c>
      <c r="P42" s="83">
        <f>'ICE-Cargo ID'!AK29</f>
        <v>10.29855887232668</v>
      </c>
      <c r="Q42" s="83">
        <f>'ICE-Cargo ID'!AL29</f>
        <v>6.7798293594864667</v>
      </c>
      <c r="R42" s="83">
        <f>'ICE-Cargo ID'!AM29</f>
        <v>4.3955206993672782</v>
      </c>
      <c r="S42" s="83">
        <f>'ICE-Cargo ID'!AN29</f>
        <v>11.175350058853745</v>
      </c>
      <c r="T42" s="83">
        <f>'ICE-Cargo ID'!AO29</f>
        <v>-6.7798293594864667</v>
      </c>
    </row>
    <row r="43" spans="2:20" x14ac:dyDescent="0.25">
      <c r="B43" s="81">
        <f>'E-Cargo ID'!AL30</f>
        <v>30</v>
      </c>
      <c r="C43" s="85">
        <f>'E-Cargo ID'!AM30</f>
        <v>23.536583738328019</v>
      </c>
      <c r="D43" s="85">
        <f>'E-Cargo ID'!AN30</f>
        <v>3.1753739313754634</v>
      </c>
      <c r="E43" s="85">
        <f>'E-Cargo ID'!AO30</f>
        <v>5.6892251146847315</v>
      </c>
      <c r="F43" s="85">
        <f>'E-Cargo ID'!AP30</f>
        <v>8.3419875366647744</v>
      </c>
      <c r="G43" s="85">
        <f>'E-Cargo ID'!AQ30</f>
        <v>3.3572154919243578</v>
      </c>
      <c r="H43" s="85">
        <f>'E-Cargo ID'!AR30</f>
        <v>-4.0944199307594769</v>
      </c>
      <c r="O43" s="82">
        <f>'ICE-Cargo ID'!AJ30</f>
        <v>30</v>
      </c>
      <c r="P43" s="83">
        <f>'ICE-Cargo ID'!AK30</f>
        <v>15.447838308490027</v>
      </c>
      <c r="Q43" s="83">
        <f>'ICE-Cargo ID'!AL30</f>
        <v>10.169744039229691</v>
      </c>
      <c r="R43" s="83">
        <f>'ICE-Cargo ID'!AM30</f>
        <v>6.5932810490509004</v>
      </c>
      <c r="S43" s="83">
        <f>'ICE-Cargo ID'!AN30</f>
        <v>16.763025088280624</v>
      </c>
      <c r="T43" s="83">
        <f>'ICE-Cargo ID'!AO30</f>
        <v>-10.169744039229725</v>
      </c>
    </row>
    <row r="44" spans="2:20" x14ac:dyDescent="0.25">
      <c r="B44" s="81">
        <f>'E-Cargo ID'!AL31</f>
        <v>40</v>
      </c>
      <c r="C44" s="85">
        <f>'E-Cargo ID'!AM31</f>
        <v>31.382111651104012</v>
      </c>
      <c r="D44" s="85">
        <f>'E-Cargo ID'!AN31</f>
        <v>4.2338319085006102</v>
      </c>
      <c r="E44" s="85">
        <f>'E-Cargo ID'!AO31</f>
        <v>7.5856334862463379</v>
      </c>
      <c r="F44" s="85">
        <f>'E-Cargo ID'!AP31</f>
        <v>19.183488195003829</v>
      </c>
      <c r="G44" s="85">
        <f>'E-Cargo ID'!AQ31</f>
        <v>4.4762873225657751</v>
      </c>
      <c r="H44" s="85">
        <f>'E-Cargo ID'!AR31</f>
        <v>-5.4592265743459585</v>
      </c>
      <c r="O44" s="82">
        <f>'ICE-Cargo ID'!AJ31</f>
        <v>40</v>
      </c>
      <c r="P44" s="83">
        <f>'ICE-Cargo ID'!AK31</f>
        <v>20.597117744653342</v>
      </c>
      <c r="Q44" s="83">
        <f>'ICE-Cargo ID'!AL31</f>
        <v>13.559658718972933</v>
      </c>
      <c r="R44" s="83">
        <f>'ICE-Cargo ID'!AM31</f>
        <v>8.7910413987345226</v>
      </c>
      <c r="S44" s="83">
        <f>'ICE-Cargo ID'!AN31</f>
        <v>22.350700117707522</v>
      </c>
      <c r="T44" s="83">
        <f>'ICE-Cargo ID'!AO31</f>
        <v>-13.559658718972933</v>
      </c>
    </row>
    <row r="45" spans="2:20" x14ac:dyDescent="0.25">
      <c r="B45" s="81">
        <f>'E-Cargo ID'!AL32</f>
        <v>50</v>
      </c>
      <c r="C45" s="85">
        <f>'E-Cargo ID'!AM32</f>
        <v>39.227639563880004</v>
      </c>
      <c r="D45" s="85">
        <f>'E-Cargo ID'!AN32</f>
        <v>5.2922898856258005</v>
      </c>
      <c r="E45" s="85">
        <f>'E-Cargo ID'!AO32</f>
        <v>9.4820418578079213</v>
      </c>
      <c r="F45" s="85">
        <f>'E-Cargo ID'!AP32</f>
        <v>21.667366669231779</v>
      </c>
      <c r="G45" s="85">
        <f>'E-Cargo ID'!AQ32</f>
        <v>5.5953591532071707</v>
      </c>
      <c r="H45" s="85">
        <f>'E-Cargo ID'!AR32</f>
        <v>-6.8240332179324401</v>
      </c>
      <c r="O45" s="82">
        <f>'ICE-Cargo ID'!AJ32</f>
        <v>50</v>
      </c>
      <c r="P45" s="83">
        <f>'ICE-Cargo ID'!AK32</f>
        <v>25.74639718081669</v>
      </c>
      <c r="Q45" s="83">
        <f>'ICE-Cargo ID'!AL32</f>
        <v>16.949573398716176</v>
      </c>
      <c r="R45" s="83">
        <f>'ICE-Cargo ID'!AM32</f>
        <v>10.988801748418194</v>
      </c>
      <c r="S45" s="83">
        <f>'ICE-Cargo ID'!AN32</f>
        <v>27.938375147134387</v>
      </c>
      <c r="T45" s="83">
        <f>'ICE-Cargo ID'!AO32</f>
        <v>-16.949573398716158</v>
      </c>
    </row>
  </sheetData>
  <mergeCells count="12">
    <mergeCell ref="C3:G3"/>
    <mergeCell ref="B3:B4"/>
    <mergeCell ref="B18:B19"/>
    <mergeCell ref="C18:G18"/>
    <mergeCell ref="B33:B34"/>
    <mergeCell ref="C33:G33"/>
    <mergeCell ref="P3:S3"/>
    <mergeCell ref="O3:O4"/>
    <mergeCell ref="O18:O19"/>
    <mergeCell ref="P18:S18"/>
    <mergeCell ref="O33:O34"/>
    <mergeCell ref="P33:S3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AY1000"/>
  <sheetViews>
    <sheetView topLeftCell="Q10" zoomScale="55" zoomScaleNormal="55" workbookViewId="0">
      <selection activeCell="AM37" sqref="AM37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7" customWidth="1"/>
    <col min="7" max="7" width="8.85546875" customWidth="1"/>
    <col min="8" max="8" width="19.28515625" customWidth="1"/>
    <col min="9" max="9" width="37.85546875" customWidth="1"/>
    <col min="10" max="10" width="17.710937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33.7109375" customWidth="1"/>
    <col min="19" max="19" width="16.5703125" customWidth="1"/>
    <col min="20" max="20" width="11.140625" customWidth="1"/>
    <col min="21" max="22" width="31.28515625" customWidth="1"/>
    <col min="23" max="23" width="23.85546875" customWidth="1"/>
    <col min="24" max="25" width="13.42578125" customWidth="1"/>
    <col min="26" max="26" width="19.5703125" customWidth="1"/>
    <col min="27" max="27" width="12.28515625" customWidth="1"/>
    <col min="28" max="28" width="20.140625" customWidth="1"/>
    <col min="29" max="29" width="25.28515625" customWidth="1"/>
    <col min="30" max="30" width="12.85546875" customWidth="1"/>
    <col min="31" max="31" width="19" customWidth="1"/>
    <col min="32" max="32" width="4.7109375" customWidth="1"/>
    <col min="33" max="33" width="20.140625" customWidth="1"/>
    <col min="34" max="34" width="19.28515625" customWidth="1"/>
    <col min="35" max="35" width="11.28515625" customWidth="1"/>
    <col min="36" max="36" width="17.85546875" customWidth="1"/>
    <col min="37" max="38" width="8.85546875" customWidth="1"/>
    <col min="39" max="39" width="17.5703125" customWidth="1"/>
    <col min="40" max="40" width="9.7109375" customWidth="1"/>
    <col min="41" max="41" width="15.5703125" customWidth="1"/>
    <col min="42" max="42" width="8.85546875" customWidth="1"/>
    <col min="43" max="44" width="12.7109375" customWidth="1"/>
    <col min="45" max="51" width="8.85546875" customWidth="1"/>
  </cols>
  <sheetData>
    <row r="1" spans="1:51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25">
      <c r="A2" s="1" t="s">
        <v>2</v>
      </c>
      <c r="B2" s="3">
        <f>X49</f>
        <v>1551.4369871118422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2"/>
      <c r="B3" s="4">
        <f>B2/J34</f>
        <v>1.1340913648478378E-2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 t="s">
        <v>7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16</v>
      </c>
      <c r="R7" s="11" t="s">
        <v>17</v>
      </c>
      <c r="S7" s="11" t="s">
        <v>18</v>
      </c>
      <c r="T7" s="11" t="s">
        <v>19</v>
      </c>
      <c r="U7" s="11" t="s">
        <v>20</v>
      </c>
      <c r="V7" s="11" t="s">
        <v>21</v>
      </c>
      <c r="W7" s="11" t="s">
        <v>22</v>
      </c>
      <c r="X7" s="12" t="s">
        <v>23</v>
      </c>
      <c r="Y7" s="1"/>
      <c r="Z7" s="2" t="s">
        <v>24</v>
      </c>
      <c r="AA7" s="2"/>
      <c r="AB7" s="2" t="s">
        <v>25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173</v>
      </c>
      <c r="J8" s="6">
        <v>0</v>
      </c>
      <c r="K8" s="2" t="s">
        <v>29</v>
      </c>
      <c r="L8" s="14"/>
      <c r="M8" s="2"/>
      <c r="N8" s="11">
        <v>0</v>
      </c>
      <c r="O8" s="16">
        <f>F31</f>
        <v>115.61839741935485</v>
      </c>
      <c r="P8" s="11"/>
      <c r="Q8" s="11"/>
      <c r="R8" s="11"/>
      <c r="S8" s="11"/>
      <c r="T8" s="11"/>
      <c r="U8" s="11"/>
      <c r="V8" s="11"/>
      <c r="W8" s="11"/>
      <c r="X8" s="17">
        <f t="shared" ref="X8:X48" si="0">SUM(O8:W8)</f>
        <v>115.61839741935485</v>
      </c>
      <c r="Y8" s="3"/>
      <c r="Z8" s="6"/>
      <c r="AA8" s="2"/>
      <c r="AB8" s="2" t="s">
        <v>30</v>
      </c>
      <c r="AC8" s="18">
        <f>F36</f>
        <v>9.290322580645162E-2</v>
      </c>
      <c r="AD8" s="2" t="s">
        <v>31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3"/>
      <c r="B9" s="2"/>
      <c r="C9" s="2"/>
      <c r="D9" s="2"/>
      <c r="E9" s="2"/>
      <c r="F9" s="19"/>
      <c r="G9" s="2"/>
      <c r="H9" s="14"/>
      <c r="I9" s="15" t="s">
        <v>141</v>
      </c>
      <c r="J9" s="6">
        <v>6365000</v>
      </c>
      <c r="K9" s="2" t="s">
        <v>29</v>
      </c>
      <c r="L9" s="14"/>
      <c r="M9" s="2"/>
      <c r="N9" s="11">
        <v>1</v>
      </c>
      <c r="O9" s="11"/>
      <c r="P9" s="20">
        <f t="shared" ref="P9:P48" si="1">IF(N9&gt;0,IF(N9&lt;=$J$23,(($F$32+$F$33)/$J$23)/((1+($F$11/100))^N9),0),0)</f>
        <v>75.280423208602159</v>
      </c>
      <c r="Q9" s="21">
        <f t="shared" ref="Q9:Q48" si="2">IF(N9&gt;0,($F$41*((1+($F$14/100))^(N9-1)))/((1+($F$11/100))^N9),0)</f>
        <v>24.207926267281106</v>
      </c>
      <c r="R9" s="21">
        <f t="shared" ref="R9:R48" si="3">IF(N9&gt;0,$F$40/((1+($F$11/100))^N9),0)</f>
        <v>0</v>
      </c>
      <c r="S9" s="21">
        <f t="shared" ref="S9:S48" si="4">IF(N9&gt;0,$J$37/((1+($F$11/100))^N9),0)</f>
        <v>46.513056835637478</v>
      </c>
      <c r="T9" s="21">
        <f t="shared" ref="T9:T48" si="5">IF(N9&gt;0,(($F$18/100)*($F$19/100)*$B$17*Z9)/((1+($F$11/100))^N9),0)</f>
        <v>0</v>
      </c>
      <c r="U9" s="21">
        <f t="shared" ref="U9:U48" si="6">IF(AND(MOD(N9,$J$31)=0,N9&gt;0),$B$46/((1+($F$11/100))^N9),0)</f>
        <v>0</v>
      </c>
      <c r="V9" s="21">
        <f t="shared" ref="V9:V48" si="7">IF(N9&gt;0,$J$32/((1+($F$11/100))^N9),0)</f>
        <v>0</v>
      </c>
      <c r="W9" s="20">
        <f t="shared" ref="W9:W18" si="8">IF(N9=$B$5,((((1-$J$16/100)^N9)*$B$47+((1-$J$17/100)^N9)*$B$48)/((1+($F$11/100))^N9))*-1,0)</f>
        <v>0</v>
      </c>
      <c r="X9" s="17">
        <f t="shared" si="0"/>
        <v>146.00140631152075</v>
      </c>
      <c r="Y9" s="3"/>
      <c r="Z9" s="6">
        <f t="shared" ref="Z9:Z48" si="9">IF(N9&gt;0,((((1-$J$16/100)^N9)*$B$47+((1-$J$17/100)^N9)*$B$48)/((1+($F$11/100))^N9)),0)</f>
        <v>773.51341321044538</v>
      </c>
      <c r="AA9" s="2"/>
      <c r="AB9" s="2" t="s">
        <v>33</v>
      </c>
      <c r="AC9" s="5">
        <f>B48</f>
        <v>483.84</v>
      </c>
      <c r="AD9" s="2" t="s">
        <v>3</v>
      </c>
      <c r="AE9" s="2"/>
      <c r="AF9" s="6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32</v>
      </c>
      <c r="J10" s="6">
        <v>336</v>
      </c>
      <c r="K10" s="2" t="s">
        <v>31</v>
      </c>
      <c r="L10" s="14"/>
      <c r="M10" s="2"/>
      <c r="N10" s="11">
        <f t="shared" ref="N10:N48" si="10">IF((N9+1)&gt;$B$5,,IF(N9=0,,N9+1))</f>
        <v>2</v>
      </c>
      <c r="O10" s="11"/>
      <c r="P10" s="20">
        <f t="shared" si="1"/>
        <v>71.695641151049685</v>
      </c>
      <c r="Q10" s="21">
        <f t="shared" si="2"/>
        <v>23.285719552337063</v>
      </c>
      <c r="R10" s="21">
        <f t="shared" si="3"/>
        <v>0</v>
      </c>
      <c r="S10" s="21">
        <f t="shared" si="4"/>
        <v>44.298149367273787</v>
      </c>
      <c r="T10" s="21">
        <f t="shared" si="5"/>
        <v>0</v>
      </c>
      <c r="U10" s="21">
        <f t="shared" si="6"/>
        <v>0</v>
      </c>
      <c r="V10" s="21">
        <f t="shared" si="7"/>
        <v>0</v>
      </c>
      <c r="W10" s="20">
        <f t="shared" si="8"/>
        <v>0</v>
      </c>
      <c r="X10" s="17">
        <f t="shared" si="0"/>
        <v>139.27951007066054</v>
      </c>
      <c r="Y10" s="3"/>
      <c r="Z10" s="6">
        <f t="shared" si="9"/>
        <v>669.21168871918667</v>
      </c>
      <c r="AA10" s="2"/>
      <c r="AB10" s="2" t="s">
        <v>174</v>
      </c>
      <c r="AC10" s="23">
        <f>B52</f>
        <v>385.39465806451619</v>
      </c>
      <c r="AD10" s="2" t="s">
        <v>3</v>
      </c>
      <c r="AE10" s="2"/>
      <c r="AF10" s="6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24" t="s">
        <v>171</v>
      </c>
      <c r="B11" s="57">
        <v>10000000</v>
      </c>
      <c r="C11" s="2" t="s">
        <v>29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36</v>
      </c>
      <c r="J11" s="6">
        <v>1.44</v>
      </c>
      <c r="K11" s="2" t="s">
        <v>37</v>
      </c>
      <c r="L11" s="14"/>
      <c r="M11" s="2"/>
      <c r="N11" s="11">
        <f t="shared" si="10"/>
        <v>3</v>
      </c>
      <c r="O11" s="11"/>
      <c r="P11" s="20">
        <f t="shared" si="1"/>
        <v>68.281563000999697</v>
      </c>
      <c r="Q11" s="21">
        <f t="shared" si="2"/>
        <v>22.398644521771843</v>
      </c>
      <c r="R11" s="21">
        <f t="shared" si="3"/>
        <v>0</v>
      </c>
      <c r="S11" s="21">
        <f t="shared" si="4"/>
        <v>42.188713683117889</v>
      </c>
      <c r="T11" s="21">
        <f t="shared" si="5"/>
        <v>0</v>
      </c>
      <c r="U11" s="21">
        <f t="shared" si="6"/>
        <v>0</v>
      </c>
      <c r="V11" s="21">
        <f t="shared" si="7"/>
        <v>0</v>
      </c>
      <c r="W11" s="20">
        <f t="shared" si="8"/>
        <v>0</v>
      </c>
      <c r="X11" s="17">
        <f t="shared" si="0"/>
        <v>132.86892120588942</v>
      </c>
      <c r="Y11" s="3"/>
      <c r="Z11" s="6">
        <f t="shared" si="9"/>
        <v>579.2427108932078</v>
      </c>
      <c r="AA11" s="2"/>
      <c r="AB11" s="2" t="s">
        <v>42</v>
      </c>
      <c r="AC11" s="6">
        <f>F12</f>
        <v>13680</v>
      </c>
      <c r="AD11" s="2" t="s">
        <v>43</v>
      </c>
      <c r="AE11" s="2"/>
      <c r="AF11" s="6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13680</v>
      </c>
      <c r="G12" s="2" t="s">
        <v>43</v>
      </c>
      <c r="H12" s="14"/>
      <c r="I12" s="15" t="s">
        <v>40</v>
      </c>
      <c r="J12" s="6">
        <v>1000</v>
      </c>
      <c r="K12" s="2" t="s">
        <v>140</v>
      </c>
      <c r="L12" s="14"/>
      <c r="M12" s="2"/>
      <c r="N12" s="11">
        <f t="shared" si="10"/>
        <v>4</v>
      </c>
      <c r="O12" s="11"/>
      <c r="P12" s="20">
        <f t="shared" si="1"/>
        <v>65.030060000952091</v>
      </c>
      <c r="Q12" s="21">
        <f t="shared" si="2"/>
        <v>21.545362825704341</v>
      </c>
      <c r="R12" s="21">
        <f t="shared" si="3"/>
        <v>0</v>
      </c>
      <c r="S12" s="21">
        <f t="shared" si="4"/>
        <v>40.179727317255136</v>
      </c>
      <c r="T12" s="21">
        <f t="shared" si="5"/>
        <v>0</v>
      </c>
      <c r="U12" s="21">
        <f t="shared" si="6"/>
        <v>398.05636540330414</v>
      </c>
      <c r="V12" s="21">
        <f t="shared" si="7"/>
        <v>0</v>
      </c>
      <c r="W12" s="20">
        <f t="shared" si="8"/>
        <v>0</v>
      </c>
      <c r="X12" s="17">
        <f t="shared" si="0"/>
        <v>524.81151554721578</v>
      </c>
      <c r="Y12" s="3"/>
      <c r="Z12" s="6">
        <f t="shared" si="9"/>
        <v>501.60201415806546</v>
      </c>
      <c r="AA12" s="2"/>
      <c r="AB12" s="15" t="s">
        <v>48</v>
      </c>
      <c r="AC12" s="23">
        <f>J42</f>
        <v>44.516129032258064</v>
      </c>
      <c r="AD12" s="2" t="s">
        <v>49</v>
      </c>
      <c r="AE12" s="2"/>
      <c r="AF12" s="6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24" t="s">
        <v>50</v>
      </c>
      <c r="B13" s="2">
        <v>11</v>
      </c>
      <c r="C13" s="2" t="s">
        <v>38</v>
      </c>
      <c r="D13" s="2"/>
      <c r="E13" s="15" t="s">
        <v>30</v>
      </c>
      <c r="F13" s="6">
        <v>1440</v>
      </c>
      <c r="G13" s="2" t="s">
        <v>51</v>
      </c>
      <c r="H13" s="14"/>
      <c r="I13" s="15" t="s">
        <v>46</v>
      </c>
      <c r="J13" s="6">
        <v>55</v>
      </c>
      <c r="K13" s="2" t="s">
        <v>47</v>
      </c>
      <c r="L13" s="14"/>
      <c r="M13" s="2"/>
      <c r="N13" s="11">
        <f t="shared" si="10"/>
        <v>5</v>
      </c>
      <c r="O13" s="11"/>
      <c r="P13" s="20">
        <f t="shared" si="1"/>
        <v>61.933390477097227</v>
      </c>
      <c r="Q13" s="21">
        <f t="shared" si="2"/>
        <v>20.724587099010847</v>
      </c>
      <c r="R13" s="21">
        <f t="shared" si="3"/>
        <v>0</v>
      </c>
      <c r="S13" s="21">
        <f t="shared" si="4"/>
        <v>38.266406968814415</v>
      </c>
      <c r="T13" s="21">
        <f t="shared" si="5"/>
        <v>0</v>
      </c>
      <c r="U13" s="21">
        <f t="shared" si="6"/>
        <v>0</v>
      </c>
      <c r="V13" s="21">
        <f t="shared" si="7"/>
        <v>0</v>
      </c>
      <c r="W13" s="20">
        <f t="shared" si="8"/>
        <v>0</v>
      </c>
      <c r="X13" s="17">
        <f t="shared" si="0"/>
        <v>120.92438454492248</v>
      </c>
      <c r="Y13" s="3"/>
      <c r="Z13" s="6">
        <f t="shared" si="9"/>
        <v>434.56991598006175</v>
      </c>
      <c r="AA13" s="2"/>
      <c r="AB13" s="2"/>
      <c r="AC13" s="2"/>
      <c r="AD13" s="2"/>
      <c r="AE13" s="2"/>
      <c r="AF13" s="6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24" t="s">
        <v>54</v>
      </c>
      <c r="B14" s="2">
        <v>0</v>
      </c>
      <c r="C14" s="2" t="s">
        <v>38</v>
      </c>
      <c r="D14" s="2"/>
      <c r="E14" s="15" t="s">
        <v>55</v>
      </c>
      <c r="F14" s="2">
        <v>1</v>
      </c>
      <c r="G14" s="2" t="s">
        <v>56</v>
      </c>
      <c r="H14" s="14"/>
      <c r="I14" s="15" t="s">
        <v>52</v>
      </c>
      <c r="J14" s="2">
        <v>10</v>
      </c>
      <c r="K14" s="2" t="s">
        <v>53</v>
      </c>
      <c r="L14" s="14"/>
      <c r="M14" s="2"/>
      <c r="N14" s="11">
        <f t="shared" si="10"/>
        <v>6</v>
      </c>
      <c r="O14" s="11"/>
      <c r="P14" s="20">
        <f t="shared" si="1"/>
        <v>0</v>
      </c>
      <c r="Q14" s="21">
        <f t="shared" si="2"/>
        <v>19.93507901904853</v>
      </c>
      <c r="R14" s="21">
        <f t="shared" si="3"/>
        <v>0</v>
      </c>
      <c r="S14" s="21">
        <f t="shared" si="4"/>
        <v>36.444197113156591</v>
      </c>
      <c r="T14" s="21">
        <f t="shared" si="5"/>
        <v>0</v>
      </c>
      <c r="U14" s="21">
        <f t="shared" si="6"/>
        <v>0</v>
      </c>
      <c r="V14" s="21">
        <f t="shared" si="7"/>
        <v>0</v>
      </c>
      <c r="W14" s="20">
        <f t="shared" si="8"/>
        <v>0</v>
      </c>
      <c r="X14" s="17">
        <f t="shared" si="0"/>
        <v>56.379276132205121</v>
      </c>
      <c r="Y14" s="3"/>
      <c r="Z14" s="6">
        <f t="shared" si="9"/>
        <v>376.67049816228996</v>
      </c>
      <c r="AA14" s="2"/>
      <c r="AB14" s="2"/>
      <c r="AC14" s="2"/>
      <c r="AD14" s="2"/>
      <c r="AE14" s="2"/>
      <c r="AF14" s="6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2" t="s">
        <v>58</v>
      </c>
      <c r="B15" s="2">
        <v>0</v>
      </c>
      <c r="C15" s="2" t="s">
        <v>38</v>
      </c>
      <c r="D15" s="2"/>
      <c r="E15" s="15" t="s">
        <v>59</v>
      </c>
      <c r="F15" s="2">
        <v>0</v>
      </c>
      <c r="G15" s="2" t="s">
        <v>29</v>
      </c>
      <c r="H15" s="14"/>
      <c r="I15" s="15" t="s">
        <v>57</v>
      </c>
      <c r="J15" s="5">
        <v>20</v>
      </c>
      <c r="K15" s="2" t="s">
        <v>38</v>
      </c>
      <c r="L15" s="14"/>
      <c r="M15" s="2"/>
      <c r="N15" s="11">
        <f t="shared" si="10"/>
        <v>7</v>
      </c>
      <c r="O15" s="11"/>
      <c r="P15" s="20">
        <f t="shared" si="1"/>
        <v>0</v>
      </c>
      <c r="Q15" s="21">
        <f t="shared" si="2"/>
        <v>19.17564743737049</v>
      </c>
      <c r="R15" s="21">
        <f t="shared" si="3"/>
        <v>0</v>
      </c>
      <c r="S15" s="21">
        <f t="shared" si="4"/>
        <v>34.70875915538722</v>
      </c>
      <c r="T15" s="21">
        <f t="shared" si="5"/>
        <v>0</v>
      </c>
      <c r="U15" s="21">
        <f t="shared" si="6"/>
        <v>0</v>
      </c>
      <c r="V15" s="21">
        <f t="shared" si="7"/>
        <v>0</v>
      </c>
      <c r="W15" s="20">
        <f t="shared" si="8"/>
        <v>0</v>
      </c>
      <c r="X15" s="17">
        <f t="shared" si="0"/>
        <v>53.884406592757713</v>
      </c>
      <c r="Y15" s="3"/>
      <c r="Z15" s="6">
        <f t="shared" si="9"/>
        <v>326.63656516386425</v>
      </c>
      <c r="AA15" s="2"/>
      <c r="AB15" s="2"/>
      <c r="AC15" s="2"/>
      <c r="AD15" s="2"/>
      <c r="AE15" s="2"/>
      <c r="AF15" s="6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24" t="s">
        <v>62</v>
      </c>
      <c r="B16" s="2">
        <v>0</v>
      </c>
      <c r="C16" s="2" t="s">
        <v>38</v>
      </c>
      <c r="D16" s="2"/>
      <c r="E16" s="15" t="s">
        <v>63</v>
      </c>
      <c r="F16" s="2">
        <v>0</v>
      </c>
      <c r="G16" s="2" t="s">
        <v>64</v>
      </c>
      <c r="H16" s="14"/>
      <c r="I16" s="15" t="s">
        <v>60</v>
      </c>
      <c r="J16" s="2">
        <v>7.08</v>
      </c>
      <c r="K16" s="2" t="s">
        <v>61</v>
      </c>
      <c r="L16" s="14"/>
      <c r="M16" s="2"/>
      <c r="N16" s="11">
        <f t="shared" si="10"/>
        <v>8</v>
      </c>
      <c r="O16" s="11"/>
      <c r="P16" s="20">
        <f t="shared" si="1"/>
        <v>0</v>
      </c>
      <c r="Q16" s="21">
        <f t="shared" si="2"/>
        <v>18.445146582613514</v>
      </c>
      <c r="R16" s="21">
        <f t="shared" si="3"/>
        <v>0</v>
      </c>
      <c r="S16" s="21">
        <f t="shared" si="4"/>
        <v>33.055961100368783</v>
      </c>
      <c r="T16" s="21">
        <f t="shared" si="5"/>
        <v>0</v>
      </c>
      <c r="U16" s="21">
        <f t="shared" si="6"/>
        <v>327.48195692396001</v>
      </c>
      <c r="V16" s="21">
        <f t="shared" si="7"/>
        <v>0</v>
      </c>
      <c r="W16" s="20">
        <f t="shared" si="8"/>
        <v>0</v>
      </c>
      <c r="X16" s="17">
        <f t="shared" si="0"/>
        <v>378.98306460694232</v>
      </c>
      <c r="Y16" s="3"/>
      <c r="Z16" s="6">
        <f t="shared" si="9"/>
        <v>283.37970011716203</v>
      </c>
      <c r="AA16" s="2"/>
      <c r="AB16" s="2"/>
      <c r="AC16" s="2"/>
      <c r="AD16" s="2"/>
      <c r="AE16" s="2"/>
      <c r="AF16" s="6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24" t="s">
        <v>66</v>
      </c>
      <c r="B17" s="2">
        <v>1</v>
      </c>
      <c r="C17" s="2"/>
      <c r="D17" s="2"/>
      <c r="E17" s="15" t="s">
        <v>67</v>
      </c>
      <c r="F17" s="6">
        <v>0</v>
      </c>
      <c r="G17" s="2" t="s">
        <v>64</v>
      </c>
      <c r="H17" s="14"/>
      <c r="I17" s="15" t="s">
        <v>65</v>
      </c>
      <c r="J17" s="2">
        <v>11</v>
      </c>
      <c r="K17" s="2" t="s">
        <v>61</v>
      </c>
      <c r="L17" s="14"/>
      <c r="M17" s="2"/>
      <c r="N17" s="11">
        <f t="shared" si="10"/>
        <v>9</v>
      </c>
      <c r="O17" s="11"/>
      <c r="P17" s="20">
        <f t="shared" si="1"/>
        <v>0</v>
      </c>
      <c r="Q17" s="21">
        <f t="shared" si="2"/>
        <v>17.742474331847291</v>
      </c>
      <c r="R17" s="21">
        <f t="shared" si="3"/>
        <v>0</v>
      </c>
      <c r="S17" s="21">
        <f t="shared" si="4"/>
        <v>31.481867714636937</v>
      </c>
      <c r="T17" s="21">
        <f t="shared" si="5"/>
        <v>0</v>
      </c>
      <c r="U17" s="21">
        <f t="shared" si="6"/>
        <v>0</v>
      </c>
      <c r="V17" s="21">
        <f t="shared" si="7"/>
        <v>0</v>
      </c>
      <c r="W17" s="20">
        <f t="shared" si="8"/>
        <v>0</v>
      </c>
      <c r="X17" s="17">
        <f t="shared" si="0"/>
        <v>49.224342046484225</v>
      </c>
      <c r="Y17" s="3"/>
      <c r="Z17" s="6">
        <f t="shared" si="9"/>
        <v>245.96466959098817</v>
      </c>
      <c r="AA17" s="2"/>
      <c r="AB17" s="2"/>
      <c r="AC17" s="2"/>
      <c r="AD17" s="2"/>
      <c r="AE17" s="2"/>
      <c r="AF17" s="6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24" t="s">
        <v>179</v>
      </c>
      <c r="B18" s="6">
        <v>160000</v>
      </c>
      <c r="C18" s="2" t="s">
        <v>29</v>
      </c>
      <c r="D18" s="2"/>
      <c r="E18" s="15" t="s">
        <v>70</v>
      </c>
      <c r="F18" s="2">
        <v>0</v>
      </c>
      <c r="G18" s="2" t="s">
        <v>38</v>
      </c>
      <c r="H18" s="14"/>
      <c r="I18" s="15" t="s">
        <v>68</v>
      </c>
      <c r="J18" s="26">
        <v>0.02</v>
      </c>
      <c r="K18" s="2" t="s">
        <v>69</v>
      </c>
      <c r="L18" s="14"/>
      <c r="M18" s="2"/>
      <c r="N18" s="11">
        <f t="shared" si="10"/>
        <v>10</v>
      </c>
      <c r="O18" s="11"/>
      <c r="P18" s="20">
        <f t="shared" si="1"/>
        <v>0</v>
      </c>
      <c r="Q18" s="21">
        <f t="shared" si="2"/>
        <v>17.066570547776919</v>
      </c>
      <c r="R18" s="21">
        <f t="shared" si="3"/>
        <v>0</v>
      </c>
      <c r="S18" s="21">
        <f t="shared" si="4"/>
        <v>29.982731156797083</v>
      </c>
      <c r="T18" s="21">
        <f t="shared" si="5"/>
        <v>0</v>
      </c>
      <c r="U18" s="21">
        <f t="shared" si="6"/>
        <v>0</v>
      </c>
      <c r="V18" s="21">
        <f t="shared" si="7"/>
        <v>0</v>
      </c>
      <c r="W18" s="20">
        <f t="shared" si="8"/>
        <v>-213.58753907068515</v>
      </c>
      <c r="X18" s="17">
        <f t="shared" si="0"/>
        <v>-166.53823736611116</v>
      </c>
      <c r="Y18" s="3"/>
      <c r="Z18" s="6">
        <f t="shared" si="9"/>
        <v>213.58753907068515</v>
      </c>
      <c r="AA18" s="2"/>
      <c r="AB18" s="2"/>
      <c r="AC18" s="2"/>
      <c r="AD18" s="2"/>
      <c r="AE18" s="2"/>
      <c r="AF18" s="6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24" t="s">
        <v>142</v>
      </c>
      <c r="B19" s="6">
        <v>424000</v>
      </c>
      <c r="C19" s="2" t="s">
        <v>29</v>
      </c>
      <c r="D19" s="2"/>
      <c r="E19" s="15" t="s">
        <v>71</v>
      </c>
      <c r="F19" s="2">
        <v>1.5</v>
      </c>
      <c r="G19" s="2" t="s">
        <v>38</v>
      </c>
      <c r="H19" s="14"/>
      <c r="I19" s="2"/>
      <c r="J19" s="2"/>
      <c r="K19" s="2"/>
      <c r="L19" s="14"/>
      <c r="M19" s="2"/>
      <c r="N19" s="11">
        <f t="shared" si="10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1">
        <f t="shared" si="5"/>
        <v>0</v>
      </c>
      <c r="U19" s="21">
        <f t="shared" si="6"/>
        <v>0</v>
      </c>
      <c r="V19" s="21">
        <f t="shared" si="7"/>
        <v>0</v>
      </c>
      <c r="W19" s="20">
        <f t="shared" ref="W19:W48" si="11">IF(N19=$B$5,((((1-$J$16/100)^N19)*$B$52+((1-$J$17/100)^N19)*$B$48)/((1+($F$11/100))^N19))*-1,0)</f>
        <v>0</v>
      </c>
      <c r="X19" s="17">
        <f t="shared" si="0"/>
        <v>0</v>
      </c>
      <c r="Y19" s="3"/>
      <c r="Z19" s="6">
        <f t="shared" si="9"/>
        <v>0</v>
      </c>
      <c r="AA19" s="2"/>
      <c r="AB19" s="2"/>
      <c r="AC19" s="2"/>
      <c r="AD19" s="2"/>
      <c r="AE19" s="2"/>
      <c r="AF19" s="6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24" t="s">
        <v>73</v>
      </c>
      <c r="B20" s="2">
        <v>0</v>
      </c>
      <c r="C20" s="2" t="s">
        <v>38</v>
      </c>
      <c r="D20" s="2"/>
      <c r="E20" s="15" t="s">
        <v>74</v>
      </c>
      <c r="F20" s="6">
        <v>35000</v>
      </c>
      <c r="G20" s="2" t="s">
        <v>64</v>
      </c>
      <c r="H20" s="14"/>
      <c r="I20" s="2"/>
      <c r="J20" s="2"/>
      <c r="K20" s="2"/>
      <c r="L20" s="14"/>
      <c r="M20" s="2"/>
      <c r="N20" s="11">
        <f t="shared" si="10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1">
        <f t="shared" si="5"/>
        <v>0</v>
      </c>
      <c r="U20" s="21">
        <f t="shared" si="6"/>
        <v>0</v>
      </c>
      <c r="V20" s="21">
        <f t="shared" si="7"/>
        <v>0</v>
      </c>
      <c r="W20" s="20">
        <f t="shared" si="11"/>
        <v>0</v>
      </c>
      <c r="X20" s="17">
        <f t="shared" si="0"/>
        <v>0</v>
      </c>
      <c r="Y20" s="3"/>
      <c r="Z20" s="6">
        <f t="shared" si="9"/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</row>
    <row r="21" spans="1:5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76</v>
      </c>
      <c r="F21" s="6">
        <v>0</v>
      </c>
      <c r="G21" s="2" t="s">
        <v>77</v>
      </c>
      <c r="H21" s="14"/>
      <c r="I21" s="2"/>
      <c r="J21" s="2"/>
      <c r="K21" s="2"/>
      <c r="L21" s="14"/>
      <c r="M21" s="2"/>
      <c r="N21" s="11">
        <f t="shared" si="10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1">
        <f t="shared" si="5"/>
        <v>0</v>
      </c>
      <c r="U21" s="21">
        <f t="shared" si="6"/>
        <v>0</v>
      </c>
      <c r="V21" s="21">
        <f t="shared" si="7"/>
        <v>0</v>
      </c>
      <c r="W21" s="20">
        <f t="shared" si="11"/>
        <v>0</v>
      </c>
      <c r="X21" s="17">
        <f t="shared" si="0"/>
        <v>0</v>
      </c>
      <c r="Y21" s="3"/>
      <c r="Z21" s="6">
        <f t="shared" si="9"/>
        <v>0</v>
      </c>
      <c r="AA21" s="2"/>
      <c r="AB21" s="27" t="s">
        <v>30</v>
      </c>
      <c r="AC21" s="28"/>
      <c r="AD21" s="28"/>
      <c r="AE21" s="28"/>
      <c r="AF21" s="2"/>
      <c r="AG21" s="27" t="s">
        <v>28</v>
      </c>
      <c r="AH21" s="28"/>
      <c r="AI21" s="28"/>
      <c r="AJ21" s="28"/>
      <c r="AK21" s="2"/>
      <c r="AL21" s="76" t="s">
        <v>191</v>
      </c>
      <c r="AM21" s="76" t="s">
        <v>183</v>
      </c>
      <c r="AN21" s="76" t="s">
        <v>184</v>
      </c>
      <c r="AO21" s="76" t="s">
        <v>33</v>
      </c>
      <c r="AP21" s="76" t="s">
        <v>188</v>
      </c>
      <c r="AQ21" s="76" t="s">
        <v>189</v>
      </c>
      <c r="AR21" s="2"/>
      <c r="AS21" s="2"/>
      <c r="AT21" s="2"/>
      <c r="AU21" s="2"/>
      <c r="AV21" s="2"/>
      <c r="AW21" s="2"/>
      <c r="AX21" s="2"/>
      <c r="AY21" s="2"/>
    </row>
    <row r="22" spans="1:51" ht="15.75" customHeight="1" x14ac:dyDescent="0.25">
      <c r="A22" s="24" t="s">
        <v>78</v>
      </c>
      <c r="B22" s="2">
        <v>0</v>
      </c>
      <c r="C22" s="2" t="s">
        <v>38</v>
      </c>
      <c r="D22" s="2"/>
      <c r="E22" s="15" t="s">
        <v>48</v>
      </c>
      <c r="F22" s="5">
        <v>690000</v>
      </c>
      <c r="G22" s="2" t="s">
        <v>64</v>
      </c>
      <c r="H22" s="14"/>
      <c r="I22" s="1" t="s">
        <v>79</v>
      </c>
      <c r="J22" s="2"/>
      <c r="K22" s="2"/>
      <c r="L22" s="14"/>
      <c r="M22" s="2"/>
      <c r="N22" s="11">
        <f t="shared" si="10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1">
        <f t="shared" si="5"/>
        <v>0</v>
      </c>
      <c r="U22" s="21">
        <f t="shared" si="6"/>
        <v>0</v>
      </c>
      <c r="V22" s="21">
        <f t="shared" si="7"/>
        <v>0</v>
      </c>
      <c r="W22" s="20">
        <f t="shared" si="11"/>
        <v>0</v>
      </c>
      <c r="X22" s="17">
        <f t="shared" si="0"/>
        <v>0</v>
      </c>
      <c r="Y22" s="3"/>
      <c r="Z22" s="6">
        <f t="shared" si="9"/>
        <v>0</v>
      </c>
      <c r="AA22" s="2"/>
      <c r="AB22" s="28" t="s">
        <v>80</v>
      </c>
      <c r="AC22" s="28" t="s">
        <v>81</v>
      </c>
      <c r="AD22" s="28" t="s">
        <v>23</v>
      </c>
      <c r="AE22" s="28" t="s">
        <v>82</v>
      </c>
      <c r="AF22" s="2"/>
      <c r="AG22" s="28" t="s">
        <v>80</v>
      </c>
      <c r="AH22" s="28" t="s">
        <v>83</v>
      </c>
      <c r="AI22" s="28" t="s">
        <v>23</v>
      </c>
      <c r="AJ22" s="28" t="s">
        <v>82</v>
      </c>
      <c r="AK22" s="2"/>
      <c r="AL22" s="77">
        <v>-50</v>
      </c>
      <c r="AM22" s="78">
        <f>AJ24</f>
        <v>-22.339321685590381</v>
      </c>
      <c r="AN22" s="78">
        <f>AE24</f>
        <v>-6.5915393239886235</v>
      </c>
      <c r="AO22" s="79">
        <f t="shared" ref="AO22:AO32" si="12">AE39</f>
        <v>-17.57713006409422</v>
      </c>
      <c r="AP22" s="79">
        <f t="shared" ref="AP22:AP32" si="13">AJ39</f>
        <v>-32.24880859821976</v>
      </c>
      <c r="AQ22" s="79">
        <f>AE54</f>
        <v>-11.078173052338899</v>
      </c>
      <c r="AR22" s="2"/>
      <c r="AS22" s="2"/>
      <c r="AT22" s="2"/>
      <c r="AU22" s="2"/>
      <c r="AV22" s="2"/>
      <c r="AW22" s="2"/>
      <c r="AX22" s="2"/>
      <c r="AY22" s="2"/>
    </row>
    <row r="23" spans="1:51" ht="15.75" customHeight="1" x14ac:dyDescent="0.25">
      <c r="A23" s="2"/>
      <c r="B23" s="2"/>
      <c r="C23" s="2"/>
      <c r="D23" s="2"/>
      <c r="E23" s="15" t="s">
        <v>84</v>
      </c>
      <c r="F23" s="2">
        <v>9.3000000000000007</v>
      </c>
      <c r="G23" s="2" t="s">
        <v>61</v>
      </c>
      <c r="H23" s="14"/>
      <c r="I23" s="15" t="s">
        <v>85</v>
      </c>
      <c r="J23" s="2">
        <v>5</v>
      </c>
      <c r="K23" s="2" t="s">
        <v>53</v>
      </c>
      <c r="L23" s="14"/>
      <c r="M23" s="2"/>
      <c r="N23" s="11">
        <f t="shared" si="10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1">
        <f t="shared" si="5"/>
        <v>0</v>
      </c>
      <c r="U23" s="21">
        <f t="shared" si="6"/>
        <v>0</v>
      </c>
      <c r="V23" s="21">
        <f t="shared" si="7"/>
        <v>0</v>
      </c>
      <c r="W23" s="20">
        <f t="shared" si="11"/>
        <v>0</v>
      </c>
      <c r="X23" s="17">
        <f t="shared" si="0"/>
        <v>0</v>
      </c>
      <c r="Y23" s="3"/>
      <c r="Z23" s="6">
        <f t="shared" si="9"/>
        <v>0</v>
      </c>
      <c r="AA23" s="2"/>
      <c r="AB23" s="28" t="s">
        <v>86</v>
      </c>
      <c r="AC23" s="30">
        <v>9.290322580645162E-2</v>
      </c>
      <c r="AD23" s="31">
        <f>X49</f>
        <v>1551.4369871118422</v>
      </c>
      <c r="AE23" s="28"/>
      <c r="AF23" s="2"/>
      <c r="AG23" s="28" t="s">
        <v>86</v>
      </c>
      <c r="AH23" s="32">
        <v>743.45917419354839</v>
      </c>
      <c r="AI23" s="31">
        <f>X49</f>
        <v>1551.4369871118422</v>
      </c>
      <c r="AJ23" s="28"/>
      <c r="AK23" s="2"/>
      <c r="AL23" s="77">
        <v>-40</v>
      </c>
      <c r="AM23" s="78">
        <f>AJ25</f>
        <v>-17.871457348472291</v>
      </c>
      <c r="AN23" s="78">
        <f t="shared" ref="AN23:AN32" si="14">AE25</f>
        <v>-5.2732314591909022</v>
      </c>
      <c r="AO23" s="79">
        <f t="shared" si="12"/>
        <v>-14.061704051275385</v>
      </c>
      <c r="AP23" s="79">
        <f t="shared" si="13"/>
        <v>-28.76690009327007</v>
      </c>
      <c r="AQ23" s="79">
        <f t="shared" ref="AQ23:AQ32" si="15">AE55</f>
        <v>-8.862538441871143</v>
      </c>
      <c r="AR23" s="35"/>
      <c r="AS23" s="35"/>
      <c r="AT23" s="35"/>
      <c r="AU23" s="35"/>
      <c r="AV23" s="35"/>
      <c r="AW23" s="35"/>
      <c r="AX23" s="35"/>
      <c r="AY23" s="35"/>
    </row>
    <row r="24" spans="1:51" ht="15.75" customHeight="1" x14ac:dyDescent="0.25">
      <c r="A24" s="13"/>
      <c r="B24" s="2"/>
      <c r="C24" s="2"/>
      <c r="D24" s="2"/>
      <c r="E24" s="2" t="s">
        <v>88</v>
      </c>
      <c r="F24" s="5">
        <f>(100000+60000)/5</f>
        <v>32000</v>
      </c>
      <c r="G24" s="2" t="s">
        <v>64</v>
      </c>
      <c r="H24" s="14"/>
      <c r="I24" s="15" t="s">
        <v>89</v>
      </c>
      <c r="J24" s="2">
        <v>30</v>
      </c>
      <c r="K24" s="2" t="s">
        <v>90</v>
      </c>
      <c r="L24" s="14"/>
      <c r="M24" s="2"/>
      <c r="N24" s="11">
        <f t="shared" si="10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1">
        <f t="shared" si="5"/>
        <v>0</v>
      </c>
      <c r="U24" s="21">
        <f t="shared" si="6"/>
        <v>0</v>
      </c>
      <c r="V24" s="21">
        <f t="shared" si="7"/>
        <v>0</v>
      </c>
      <c r="W24" s="20">
        <f t="shared" si="11"/>
        <v>0</v>
      </c>
      <c r="X24" s="17">
        <f t="shared" si="0"/>
        <v>0</v>
      </c>
      <c r="Y24" s="3"/>
      <c r="Z24" s="6">
        <f t="shared" si="9"/>
        <v>0</v>
      </c>
      <c r="AA24" s="2"/>
      <c r="AB24" s="28">
        <f t="shared" ref="AB24:AB28" si="16">AB25-10</f>
        <v>-50</v>
      </c>
      <c r="AC24" s="30">
        <f t="shared" ref="AC24:AC34" si="17">$AC$23*(1+(AB24/100))</f>
        <v>4.645161290322581E-2</v>
      </c>
      <c r="AD24" s="31">
        <f t="dataTable" ref="AD24:AD34" dt2D="0" dtr="0" r1="F36" ca="1"/>
        <v>1449.1734080194608</v>
      </c>
      <c r="AE24" s="36">
        <f t="shared" ref="AE24:AE34" si="18">100*((AD24-$AD$29)/$AD$29)</f>
        <v>-6.5915393239886235</v>
      </c>
      <c r="AF24" s="2"/>
      <c r="AG24" s="28">
        <f t="shared" ref="AG24:AG28" si="19">AG25-10</f>
        <v>-50</v>
      </c>
      <c r="AH24" s="32">
        <f t="shared" ref="AH24:AH34" si="20">$AH$23*(1+(AG24/100))</f>
        <v>371.7295870967742</v>
      </c>
      <c r="AI24" s="31">
        <f t="dataTable" ref="AI24:AI34" dt2D="0" dtr="0" r1="B52" ca="1"/>
        <v>1535.203215339666</v>
      </c>
      <c r="AJ24" s="36">
        <f t="shared" ref="AJ24:AJ34" si="21">100*((AI24-$AI$29)/$AI$29)</f>
        <v>-22.339321685590381</v>
      </c>
      <c r="AK24" s="2"/>
      <c r="AL24" s="77">
        <v>-30</v>
      </c>
      <c r="AM24" s="78">
        <f t="shared" ref="AM24:AM32" si="22">AJ26</f>
        <v>-13.403593011354214</v>
      </c>
      <c r="AN24" s="78">
        <f t="shared" si="14"/>
        <v>-3.9549235943931658</v>
      </c>
      <c r="AO24" s="79">
        <f t="shared" si="12"/>
        <v>-10.546278038456549</v>
      </c>
      <c r="AP24" s="79">
        <f t="shared" si="13"/>
        <v>-7.1391478819660374</v>
      </c>
      <c r="AQ24" s="79">
        <f t="shared" si="15"/>
        <v>-6.6469038314033568</v>
      </c>
      <c r="AR24" s="35"/>
      <c r="AS24" s="35"/>
      <c r="AT24" s="35"/>
      <c r="AU24" s="35"/>
      <c r="AV24" s="35"/>
      <c r="AW24" s="35"/>
      <c r="AX24" s="35"/>
      <c r="AY24" s="35"/>
    </row>
    <row r="25" spans="1:51" ht="15.75" customHeight="1" x14ac:dyDescent="0.25">
      <c r="A25" s="13"/>
      <c r="B25" s="2"/>
      <c r="C25" s="2"/>
      <c r="D25" s="2"/>
      <c r="E25" s="2"/>
      <c r="F25" s="2"/>
      <c r="G25" s="2"/>
      <c r="H25" s="14"/>
      <c r="I25" s="2"/>
      <c r="J25" s="2"/>
      <c r="K25" s="2"/>
      <c r="L25" s="14"/>
      <c r="M25" s="2"/>
      <c r="N25" s="11">
        <f t="shared" si="10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1">
        <f t="shared" si="5"/>
        <v>0</v>
      </c>
      <c r="U25" s="21">
        <f t="shared" si="6"/>
        <v>0</v>
      </c>
      <c r="V25" s="21">
        <f t="shared" si="7"/>
        <v>0</v>
      </c>
      <c r="W25" s="20">
        <f t="shared" si="11"/>
        <v>0</v>
      </c>
      <c r="X25" s="17">
        <f t="shared" si="0"/>
        <v>0</v>
      </c>
      <c r="Y25" s="3"/>
      <c r="Z25" s="6">
        <f t="shared" si="9"/>
        <v>0</v>
      </c>
      <c r="AA25" s="2"/>
      <c r="AB25" s="28">
        <f t="shared" si="16"/>
        <v>-40</v>
      </c>
      <c r="AC25" s="30">
        <f t="shared" si="17"/>
        <v>5.574193548387097E-2</v>
      </c>
      <c r="AD25" s="31">
        <v>1469.626123837937</v>
      </c>
      <c r="AE25" s="36">
        <f t="shared" si="18"/>
        <v>-5.2732314591909022</v>
      </c>
      <c r="AF25" s="2"/>
      <c r="AG25" s="28">
        <f t="shared" si="19"/>
        <v>-40</v>
      </c>
      <c r="AH25" s="32">
        <f t="shared" si="20"/>
        <v>446.075504516129</v>
      </c>
      <c r="AI25" s="31">
        <v>1623.5243560368424</v>
      </c>
      <c r="AJ25" s="36">
        <f t="shared" si="21"/>
        <v>-17.871457348472291</v>
      </c>
      <c r="AK25" s="2"/>
      <c r="AL25" s="77">
        <v>-20</v>
      </c>
      <c r="AM25" s="78">
        <f t="shared" si="22"/>
        <v>-8.9357286742361453</v>
      </c>
      <c r="AN25" s="78">
        <f t="shared" si="14"/>
        <v>-2.6366157295954293</v>
      </c>
      <c r="AO25" s="79">
        <f t="shared" si="12"/>
        <v>-7.0308520256376852</v>
      </c>
      <c r="AP25" s="79">
        <f t="shared" si="13"/>
        <v>-5.820840017168301</v>
      </c>
      <c r="AQ25" s="79">
        <f t="shared" si="15"/>
        <v>-4.4312692209355866</v>
      </c>
      <c r="AR25" s="35"/>
      <c r="AS25" s="35"/>
      <c r="AT25" s="35"/>
      <c r="AU25" s="35"/>
      <c r="AV25" s="35"/>
      <c r="AW25" s="35"/>
      <c r="AX25" s="35"/>
      <c r="AY25" s="35"/>
    </row>
    <row r="26" spans="1:5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/>
      <c r="J26" s="39"/>
      <c r="K26" s="39"/>
      <c r="L26" s="40"/>
      <c r="M26" s="2"/>
      <c r="N26" s="11">
        <f t="shared" si="10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1">
        <f t="shared" si="5"/>
        <v>0</v>
      </c>
      <c r="U26" s="21">
        <f t="shared" si="6"/>
        <v>0</v>
      </c>
      <c r="V26" s="21">
        <f t="shared" si="7"/>
        <v>0</v>
      </c>
      <c r="W26" s="20">
        <f t="shared" si="11"/>
        <v>0</v>
      </c>
      <c r="X26" s="17">
        <f t="shared" si="0"/>
        <v>0</v>
      </c>
      <c r="Y26" s="3"/>
      <c r="Z26" s="6">
        <f t="shared" si="9"/>
        <v>0</v>
      </c>
      <c r="AA26" s="2"/>
      <c r="AB26" s="28">
        <f t="shared" si="16"/>
        <v>-30</v>
      </c>
      <c r="AC26" s="30">
        <f t="shared" si="17"/>
        <v>6.5032258064516124E-2</v>
      </c>
      <c r="AD26" s="31">
        <v>1490.0788396564135</v>
      </c>
      <c r="AE26" s="36">
        <f t="shared" si="18"/>
        <v>-3.9549235943931658</v>
      </c>
      <c r="AF26" s="2"/>
      <c r="AG26" s="28">
        <f t="shared" si="19"/>
        <v>-30</v>
      </c>
      <c r="AH26" s="32">
        <f t="shared" si="20"/>
        <v>520.42142193548386</v>
      </c>
      <c r="AI26" s="31">
        <v>1711.8454967340183</v>
      </c>
      <c r="AJ26" s="36">
        <f t="shared" si="21"/>
        <v>-13.403593011354214</v>
      </c>
      <c r="AK26" s="2"/>
      <c r="AL26" s="77">
        <v>-10</v>
      </c>
      <c r="AM26" s="78">
        <f t="shared" si="22"/>
        <v>-4.4678643371180726</v>
      </c>
      <c r="AN26" s="78">
        <f t="shared" si="14"/>
        <v>-1.318307864797722</v>
      </c>
      <c r="AO26" s="79">
        <f t="shared" si="12"/>
        <v>-3.515426012818835</v>
      </c>
      <c r="AP26" s="79">
        <f t="shared" si="13"/>
        <v>-1.318307864797722</v>
      </c>
      <c r="AQ26" s="79">
        <f t="shared" si="15"/>
        <v>-2.2156346104678004</v>
      </c>
      <c r="AR26" s="35"/>
      <c r="AS26" s="35"/>
      <c r="AT26" s="35"/>
      <c r="AU26" s="35"/>
      <c r="AV26" s="35"/>
      <c r="AW26" s="35"/>
      <c r="AX26" s="35"/>
      <c r="AY26" s="35"/>
    </row>
    <row r="27" spans="1:5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10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1">
        <f t="shared" si="5"/>
        <v>0</v>
      </c>
      <c r="U27" s="21">
        <f t="shared" si="6"/>
        <v>0</v>
      </c>
      <c r="V27" s="21">
        <f t="shared" si="7"/>
        <v>0</v>
      </c>
      <c r="W27" s="20">
        <f t="shared" si="11"/>
        <v>0</v>
      </c>
      <c r="X27" s="17">
        <f t="shared" si="0"/>
        <v>0</v>
      </c>
      <c r="Y27" s="3"/>
      <c r="Z27" s="6">
        <f t="shared" si="9"/>
        <v>0</v>
      </c>
      <c r="AA27" s="2"/>
      <c r="AB27" s="28">
        <f t="shared" si="16"/>
        <v>-20</v>
      </c>
      <c r="AC27" s="30">
        <f t="shared" si="17"/>
        <v>7.4322580645161299E-2</v>
      </c>
      <c r="AD27" s="31">
        <v>1510.53155547489</v>
      </c>
      <c r="AE27" s="36">
        <f t="shared" si="18"/>
        <v>-2.6366157295954293</v>
      </c>
      <c r="AF27" s="2"/>
      <c r="AG27" s="28">
        <f t="shared" si="19"/>
        <v>-20</v>
      </c>
      <c r="AH27" s="32">
        <f t="shared" si="20"/>
        <v>594.76733935483878</v>
      </c>
      <c r="AI27" s="31">
        <v>1800.1666374311942</v>
      </c>
      <c r="AJ27" s="36">
        <f t="shared" si="21"/>
        <v>-8.9357286742361453</v>
      </c>
      <c r="AK27" s="2"/>
      <c r="AL27" s="77">
        <v>0</v>
      </c>
      <c r="AM27" s="78">
        <f t="shared" si="22"/>
        <v>0</v>
      </c>
      <c r="AN27" s="78">
        <f t="shared" si="14"/>
        <v>0</v>
      </c>
      <c r="AO27" s="79">
        <f t="shared" si="12"/>
        <v>0</v>
      </c>
      <c r="AP27" s="79">
        <f t="shared" si="13"/>
        <v>0</v>
      </c>
      <c r="AQ27" s="79">
        <f t="shared" si="15"/>
        <v>0</v>
      </c>
      <c r="AR27" s="35"/>
      <c r="AS27" s="35"/>
      <c r="AT27" s="35"/>
      <c r="AU27" s="35"/>
      <c r="AV27" s="35"/>
      <c r="AW27" s="35"/>
      <c r="AX27" s="35"/>
      <c r="AY27" s="35"/>
    </row>
    <row r="28" spans="1:5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10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1">
        <f t="shared" si="5"/>
        <v>0</v>
      </c>
      <c r="U28" s="21">
        <f t="shared" si="6"/>
        <v>0</v>
      </c>
      <c r="V28" s="21">
        <f t="shared" si="7"/>
        <v>0</v>
      </c>
      <c r="W28" s="20">
        <f t="shared" si="11"/>
        <v>0</v>
      </c>
      <c r="X28" s="17">
        <f t="shared" si="0"/>
        <v>0</v>
      </c>
      <c r="Y28" s="3"/>
      <c r="Z28" s="6">
        <f t="shared" si="9"/>
        <v>0</v>
      </c>
      <c r="AA28" s="2"/>
      <c r="AB28" s="28">
        <f t="shared" si="16"/>
        <v>-10</v>
      </c>
      <c r="AC28" s="30">
        <f t="shared" si="17"/>
        <v>8.3612903225806459E-2</v>
      </c>
      <c r="AD28" s="31">
        <v>1530.984271293366</v>
      </c>
      <c r="AE28" s="36">
        <f t="shared" si="18"/>
        <v>-1.318307864797722</v>
      </c>
      <c r="AF28" s="2"/>
      <c r="AG28" s="28">
        <f t="shared" si="19"/>
        <v>-10</v>
      </c>
      <c r="AH28" s="32">
        <f t="shared" si="20"/>
        <v>669.11325677419359</v>
      </c>
      <c r="AI28" s="31">
        <v>1888.4877781283701</v>
      </c>
      <c r="AJ28" s="36">
        <f t="shared" si="21"/>
        <v>-4.4678643371180726</v>
      </c>
      <c r="AK28" s="2"/>
      <c r="AL28" s="77">
        <v>10</v>
      </c>
      <c r="AM28" s="78">
        <f t="shared" si="22"/>
        <v>4.4678643371180833</v>
      </c>
      <c r="AN28" s="78">
        <f t="shared" si="14"/>
        <v>1.3183078647976927</v>
      </c>
      <c r="AO28" s="79">
        <f t="shared" si="12"/>
        <v>3.5154260128188057</v>
      </c>
      <c r="AP28" s="79">
        <f t="shared" si="13"/>
        <v>24.867913805148504</v>
      </c>
      <c r="AQ28" s="79">
        <f t="shared" si="15"/>
        <v>2.2156346104677711</v>
      </c>
      <c r="AR28" s="35"/>
      <c r="AS28" s="35"/>
      <c r="AT28" s="35"/>
      <c r="AU28" s="35"/>
      <c r="AV28" s="35"/>
      <c r="AW28" s="35"/>
      <c r="AX28" s="35"/>
      <c r="AY28" s="35"/>
    </row>
    <row r="29" spans="1:5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10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1">
        <f t="shared" si="5"/>
        <v>0</v>
      </c>
      <c r="U29" s="21">
        <f t="shared" si="6"/>
        <v>0</v>
      </c>
      <c r="V29" s="21">
        <f t="shared" si="7"/>
        <v>0</v>
      </c>
      <c r="W29" s="20">
        <f t="shared" si="11"/>
        <v>0</v>
      </c>
      <c r="X29" s="17">
        <f t="shared" si="0"/>
        <v>0</v>
      </c>
      <c r="Y29" s="3"/>
      <c r="Z29" s="6">
        <f t="shared" si="9"/>
        <v>0</v>
      </c>
      <c r="AA29" s="2"/>
      <c r="AB29" s="41">
        <v>0</v>
      </c>
      <c r="AC29" s="55">
        <f t="shared" si="17"/>
        <v>9.290322580645162E-2</v>
      </c>
      <c r="AD29" s="42">
        <v>1551.4369871118422</v>
      </c>
      <c r="AE29" s="56">
        <f t="shared" si="18"/>
        <v>0</v>
      </c>
      <c r="AF29" s="2"/>
      <c r="AG29" s="41">
        <v>0</v>
      </c>
      <c r="AH29" s="47">
        <f t="shared" si="20"/>
        <v>743.45917419354839</v>
      </c>
      <c r="AI29" s="42">
        <v>1976.808918825546</v>
      </c>
      <c r="AJ29" s="56">
        <f t="shared" si="21"/>
        <v>0</v>
      </c>
      <c r="AK29" s="2"/>
      <c r="AL29" s="77">
        <v>20</v>
      </c>
      <c r="AM29" s="78">
        <f t="shared" si="22"/>
        <v>8.9357286742361559</v>
      </c>
      <c r="AN29" s="78">
        <f t="shared" si="14"/>
        <v>2.6366157295954293</v>
      </c>
      <c r="AO29" s="79">
        <f t="shared" si="12"/>
        <v>7.0308520256376852</v>
      </c>
      <c r="AP29" s="79">
        <f t="shared" si="13"/>
        <v>26.186221669946242</v>
      </c>
      <c r="AQ29" s="79">
        <f t="shared" si="15"/>
        <v>4.431269220935528</v>
      </c>
      <c r="AR29" s="35"/>
      <c r="AS29" s="35"/>
      <c r="AT29" s="35"/>
      <c r="AU29" s="35"/>
      <c r="AV29" s="35"/>
      <c r="AW29" s="35"/>
      <c r="AX29" s="35"/>
      <c r="AY29" s="35"/>
    </row>
    <row r="30" spans="1:5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 t="s">
        <v>94</v>
      </c>
      <c r="J30" s="43"/>
      <c r="K30" s="8"/>
      <c r="L30" s="9"/>
      <c r="M30" s="2"/>
      <c r="N30" s="11">
        <f t="shared" si="10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1">
        <f t="shared" si="5"/>
        <v>0</v>
      </c>
      <c r="U30" s="21">
        <f t="shared" si="6"/>
        <v>0</v>
      </c>
      <c r="V30" s="21">
        <f t="shared" si="7"/>
        <v>0</v>
      </c>
      <c r="W30" s="20">
        <f t="shared" si="11"/>
        <v>0</v>
      </c>
      <c r="X30" s="17">
        <f t="shared" si="0"/>
        <v>0</v>
      </c>
      <c r="Y30" s="3"/>
      <c r="Z30" s="6">
        <f t="shared" si="9"/>
        <v>0</v>
      </c>
      <c r="AA30" s="2"/>
      <c r="AB30" s="28">
        <f t="shared" ref="AB30:AB34" si="23">AB29+10</f>
        <v>10</v>
      </c>
      <c r="AC30" s="30">
        <f t="shared" si="17"/>
        <v>0.10219354838709679</v>
      </c>
      <c r="AD30" s="31">
        <v>1571.889702930318</v>
      </c>
      <c r="AE30" s="36">
        <f t="shared" si="18"/>
        <v>1.3183078647976927</v>
      </c>
      <c r="AF30" s="2"/>
      <c r="AG30" s="28">
        <f t="shared" ref="AG30:AG34" si="24">AG29+10</f>
        <v>10</v>
      </c>
      <c r="AH30" s="32">
        <f t="shared" si="20"/>
        <v>817.80509161290331</v>
      </c>
      <c r="AI30" s="31">
        <v>2065.1300595227221</v>
      </c>
      <c r="AJ30" s="36">
        <f t="shared" si="21"/>
        <v>4.4678643371180833</v>
      </c>
      <c r="AK30" s="2"/>
      <c r="AL30" s="77">
        <v>30</v>
      </c>
      <c r="AM30" s="78">
        <f t="shared" si="22"/>
        <v>13.403593011354229</v>
      </c>
      <c r="AN30" s="78">
        <f t="shared" si="14"/>
        <v>3.9549235943931511</v>
      </c>
      <c r="AO30" s="79">
        <f t="shared" si="12"/>
        <v>10.546278038456492</v>
      </c>
      <c r="AP30" s="79">
        <f t="shared" si="13"/>
        <v>27.504529534743948</v>
      </c>
      <c r="AQ30" s="79">
        <f t="shared" si="15"/>
        <v>6.6469038314033284</v>
      </c>
      <c r="AR30" s="35"/>
      <c r="AS30" s="35"/>
      <c r="AT30" s="35"/>
      <c r="AU30" s="35"/>
      <c r="AV30" s="35"/>
      <c r="AW30" s="35"/>
      <c r="AX30" s="35"/>
      <c r="AY30" s="35"/>
    </row>
    <row r="31" spans="1:51" ht="15.75" customHeight="1" x14ac:dyDescent="0.25">
      <c r="A31" s="24" t="s">
        <v>171</v>
      </c>
      <c r="B31" s="6">
        <f>IF(B11=0,0,(B11/B8))</f>
        <v>645.16129032258061</v>
      </c>
      <c r="C31" s="2" t="s">
        <v>3</v>
      </c>
      <c r="D31" s="2"/>
      <c r="E31" s="15" t="s">
        <v>95</v>
      </c>
      <c r="F31" s="23">
        <f>(J24/100)*B52</f>
        <v>115.61839741935485</v>
      </c>
      <c r="G31" s="2" t="s">
        <v>3</v>
      </c>
      <c r="H31" s="2"/>
      <c r="I31" s="15" t="s">
        <v>96</v>
      </c>
      <c r="J31" s="35">
        <f>ROUNDDOWN(J12*J13/F12,0)</f>
        <v>4</v>
      </c>
      <c r="K31" s="2" t="s">
        <v>53</v>
      </c>
      <c r="L31" s="14"/>
      <c r="M31" s="2"/>
      <c r="N31" s="11">
        <f t="shared" si="10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1">
        <f t="shared" si="5"/>
        <v>0</v>
      </c>
      <c r="U31" s="21">
        <f t="shared" si="6"/>
        <v>0</v>
      </c>
      <c r="V31" s="21">
        <f t="shared" si="7"/>
        <v>0</v>
      </c>
      <c r="W31" s="20">
        <f t="shared" si="11"/>
        <v>0</v>
      </c>
      <c r="X31" s="17">
        <f t="shared" si="0"/>
        <v>0</v>
      </c>
      <c r="Y31" s="3"/>
      <c r="Z31" s="6">
        <f t="shared" si="9"/>
        <v>0</v>
      </c>
      <c r="AA31" s="2"/>
      <c r="AB31" s="28">
        <f t="shared" si="23"/>
        <v>20</v>
      </c>
      <c r="AC31" s="30">
        <f t="shared" si="17"/>
        <v>0.11148387096774194</v>
      </c>
      <c r="AD31" s="31">
        <v>1592.3424187487944</v>
      </c>
      <c r="AE31" s="36">
        <f t="shared" si="18"/>
        <v>2.6366157295954293</v>
      </c>
      <c r="AF31" s="2"/>
      <c r="AG31" s="28">
        <f t="shared" si="24"/>
        <v>20</v>
      </c>
      <c r="AH31" s="32">
        <f t="shared" si="20"/>
        <v>892.151009032258</v>
      </c>
      <c r="AI31" s="31">
        <v>2153.4512002198981</v>
      </c>
      <c r="AJ31" s="36">
        <f t="shared" si="21"/>
        <v>8.9357286742361559</v>
      </c>
      <c r="AK31" s="2"/>
      <c r="AL31" s="77">
        <v>40</v>
      </c>
      <c r="AM31" s="78">
        <f t="shared" si="22"/>
        <v>17.871457348472301</v>
      </c>
      <c r="AN31" s="78">
        <f t="shared" si="14"/>
        <v>5.2732314591908445</v>
      </c>
      <c r="AO31" s="79">
        <f t="shared" si="12"/>
        <v>14.06170405127537</v>
      </c>
      <c r="AP31" s="79">
        <f t="shared" si="13"/>
        <v>75.978119770577479</v>
      </c>
      <c r="AQ31" s="79">
        <f t="shared" si="15"/>
        <v>8.8625384418711288</v>
      </c>
      <c r="AR31" s="35"/>
      <c r="AS31" s="35"/>
      <c r="AT31" s="35"/>
      <c r="AU31" s="35"/>
      <c r="AV31" s="35"/>
      <c r="AW31" s="35"/>
      <c r="AX31" s="35"/>
      <c r="AY31" s="35"/>
    </row>
    <row r="32" spans="1:51" ht="15.75" customHeight="1" x14ac:dyDescent="0.25">
      <c r="A32" s="24" t="s">
        <v>44</v>
      </c>
      <c r="B32" s="6">
        <f>IF(B12=0,0,-(B12/100)*$B$50)</f>
        <v>0</v>
      </c>
      <c r="C32" s="2" t="s">
        <v>3</v>
      </c>
      <c r="D32" s="2"/>
      <c r="E32" s="15" t="s">
        <v>97</v>
      </c>
      <c r="F32" s="6">
        <f>B52-F31</f>
        <v>269.77626064516136</v>
      </c>
      <c r="G32" s="2" t="s">
        <v>3</v>
      </c>
      <c r="H32" s="2"/>
      <c r="I32" s="15" t="s">
        <v>59</v>
      </c>
      <c r="J32" s="26">
        <f>F15</f>
        <v>0</v>
      </c>
      <c r="K32" s="2" t="s">
        <v>49</v>
      </c>
      <c r="L32" s="14"/>
      <c r="M32" s="2"/>
      <c r="N32" s="11">
        <f t="shared" si="10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1">
        <f t="shared" si="5"/>
        <v>0</v>
      </c>
      <c r="U32" s="21">
        <f t="shared" si="6"/>
        <v>0</v>
      </c>
      <c r="V32" s="21">
        <f t="shared" si="7"/>
        <v>0</v>
      </c>
      <c r="W32" s="20">
        <f t="shared" si="11"/>
        <v>0</v>
      </c>
      <c r="X32" s="17">
        <f t="shared" si="0"/>
        <v>0</v>
      </c>
      <c r="Y32" s="3"/>
      <c r="Z32" s="6">
        <f t="shared" si="9"/>
        <v>0</v>
      </c>
      <c r="AA32" s="2"/>
      <c r="AB32" s="28">
        <f t="shared" si="23"/>
        <v>30</v>
      </c>
      <c r="AC32" s="30">
        <f t="shared" si="17"/>
        <v>0.12077419354838712</v>
      </c>
      <c r="AD32" s="31">
        <v>1612.7951345672707</v>
      </c>
      <c r="AE32" s="36">
        <f t="shared" si="18"/>
        <v>3.9549235943931511</v>
      </c>
      <c r="AF32" s="2"/>
      <c r="AG32" s="28">
        <f t="shared" si="24"/>
        <v>30</v>
      </c>
      <c r="AH32" s="32">
        <f t="shared" si="20"/>
        <v>966.49692645161292</v>
      </c>
      <c r="AI32" s="31">
        <v>2241.772340917074</v>
      </c>
      <c r="AJ32" s="36">
        <f t="shared" si="21"/>
        <v>13.403593011354229</v>
      </c>
      <c r="AK32" s="2"/>
      <c r="AL32" s="77">
        <v>50</v>
      </c>
      <c r="AM32" s="78">
        <f t="shared" si="22"/>
        <v>22.33932168559037</v>
      </c>
      <c r="AN32" s="78">
        <f t="shared" si="14"/>
        <v>6.5915393239885809</v>
      </c>
      <c r="AO32" s="79">
        <f t="shared" si="12"/>
        <v>17.577130064094206</v>
      </c>
      <c r="AP32" s="79">
        <f t="shared" si="13"/>
        <v>77.296427635375224</v>
      </c>
      <c r="AQ32" s="79">
        <f t="shared" si="15"/>
        <v>11.078173052338899</v>
      </c>
      <c r="AR32" s="35"/>
      <c r="AS32" s="35"/>
      <c r="AT32" s="35"/>
      <c r="AU32" s="35"/>
      <c r="AV32" s="35"/>
      <c r="AW32" s="35"/>
      <c r="AX32" s="35"/>
      <c r="AY32" s="35"/>
    </row>
    <row r="33" spans="1:51" ht="15.75" customHeight="1" x14ac:dyDescent="0.25">
      <c r="A33" s="24" t="s">
        <v>50</v>
      </c>
      <c r="B33" s="6">
        <f>IF(B13=0,0,(B13/100)*B49)</f>
        <v>98.393367741935492</v>
      </c>
      <c r="C33" s="2" t="s">
        <v>3</v>
      </c>
      <c r="D33" s="2"/>
      <c r="E33" s="15" t="s">
        <v>98</v>
      </c>
      <c r="F33" s="23">
        <f>F32*(F23/100)*J23</f>
        <v>125.44596120000006</v>
      </c>
      <c r="G33" s="2" t="s">
        <v>3</v>
      </c>
      <c r="H33" s="2"/>
      <c r="I33" s="2"/>
      <c r="J33" s="2"/>
      <c r="K33" s="2"/>
      <c r="L33" s="14"/>
      <c r="M33" s="2"/>
      <c r="N33" s="11">
        <f t="shared" si="10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1">
        <f t="shared" si="5"/>
        <v>0</v>
      </c>
      <c r="U33" s="21">
        <f t="shared" si="6"/>
        <v>0</v>
      </c>
      <c r="V33" s="21">
        <f t="shared" si="7"/>
        <v>0</v>
      </c>
      <c r="W33" s="20">
        <f t="shared" si="11"/>
        <v>0</v>
      </c>
      <c r="X33" s="17">
        <f t="shared" si="0"/>
        <v>0</v>
      </c>
      <c r="Y33" s="3"/>
      <c r="Z33" s="6">
        <f t="shared" si="9"/>
        <v>0</v>
      </c>
      <c r="AA33" s="2"/>
      <c r="AB33" s="28">
        <f t="shared" si="23"/>
        <v>40</v>
      </c>
      <c r="AC33" s="30">
        <f t="shared" si="17"/>
        <v>0.13006451612903225</v>
      </c>
      <c r="AD33" s="31">
        <v>1633.2478503857465</v>
      </c>
      <c r="AE33" s="36">
        <f t="shared" si="18"/>
        <v>5.2732314591908445</v>
      </c>
      <c r="AF33" s="2"/>
      <c r="AG33" s="28">
        <f t="shared" si="24"/>
        <v>40</v>
      </c>
      <c r="AH33" s="32">
        <f t="shared" si="20"/>
        <v>1040.8428438709677</v>
      </c>
      <c r="AI33" s="31">
        <v>2330.0934816142499</v>
      </c>
      <c r="AJ33" s="36">
        <f t="shared" si="21"/>
        <v>17.871457348472301</v>
      </c>
      <c r="AK33" s="2"/>
      <c r="AL33" s="29"/>
      <c r="AM33" s="33"/>
      <c r="AN33" s="34"/>
      <c r="AO33" s="37"/>
      <c r="AP33" s="2"/>
      <c r="AQ33" s="35"/>
      <c r="AR33" s="35"/>
      <c r="AS33" s="35"/>
      <c r="AT33" s="35"/>
      <c r="AU33" s="35"/>
      <c r="AV33" s="35"/>
      <c r="AW33" s="35"/>
      <c r="AX33" s="35"/>
      <c r="AY33" s="35"/>
    </row>
    <row r="34" spans="1:51" ht="15.75" customHeight="1" x14ac:dyDescent="0.25">
      <c r="A34" s="24" t="s">
        <v>99</v>
      </c>
      <c r="B34" s="6">
        <f t="shared" ref="B34:B35" si="25">IF(B14=0,0,(B14/100)*$B$49)</f>
        <v>0</v>
      </c>
      <c r="C34" s="2" t="s">
        <v>3</v>
      </c>
      <c r="D34" s="2"/>
      <c r="E34" s="2"/>
      <c r="F34" s="35"/>
      <c r="G34" s="2"/>
      <c r="H34" s="2"/>
      <c r="I34" s="15" t="s">
        <v>100</v>
      </c>
      <c r="J34" s="6">
        <f>F12*B5</f>
        <v>136800</v>
      </c>
      <c r="K34" s="2" t="s">
        <v>101</v>
      </c>
      <c r="L34" s="14"/>
      <c r="M34" s="2"/>
      <c r="N34" s="11">
        <f t="shared" si="10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1">
        <f t="shared" si="5"/>
        <v>0</v>
      </c>
      <c r="U34" s="21">
        <f t="shared" si="6"/>
        <v>0</v>
      </c>
      <c r="V34" s="21">
        <f t="shared" si="7"/>
        <v>0</v>
      </c>
      <c r="W34" s="20">
        <f t="shared" si="11"/>
        <v>0</v>
      </c>
      <c r="X34" s="17">
        <f t="shared" si="0"/>
        <v>0</v>
      </c>
      <c r="Y34" s="3"/>
      <c r="Z34" s="6">
        <f t="shared" si="9"/>
        <v>0</v>
      </c>
      <c r="AA34" s="2"/>
      <c r="AB34" s="28">
        <f t="shared" si="23"/>
        <v>50</v>
      </c>
      <c r="AC34" s="30">
        <f t="shared" si="17"/>
        <v>0.13935483870967744</v>
      </c>
      <c r="AD34" s="31">
        <v>1653.7005662042229</v>
      </c>
      <c r="AE34" s="36">
        <f t="shared" si="18"/>
        <v>6.5915393239885809</v>
      </c>
      <c r="AF34" s="2"/>
      <c r="AG34" s="28">
        <f t="shared" si="24"/>
        <v>50</v>
      </c>
      <c r="AH34" s="32">
        <f t="shared" si="20"/>
        <v>1115.1887612903226</v>
      </c>
      <c r="AI34" s="31">
        <v>2418.4146223114258</v>
      </c>
      <c r="AJ34" s="36">
        <f t="shared" si="21"/>
        <v>22.33932168559037</v>
      </c>
      <c r="AK34" s="2"/>
      <c r="AL34" s="29"/>
      <c r="AM34" s="33"/>
      <c r="AN34" s="34"/>
      <c r="AO34" s="37"/>
      <c r="AP34" s="2"/>
      <c r="AQ34" s="35"/>
      <c r="AR34" s="35"/>
      <c r="AS34" s="35"/>
      <c r="AT34" s="35"/>
      <c r="AU34" s="35"/>
      <c r="AV34" s="35"/>
      <c r="AW34" s="35"/>
      <c r="AX34" s="35"/>
      <c r="AY34" s="35"/>
    </row>
    <row r="35" spans="1:51" ht="15.75" customHeight="1" x14ac:dyDescent="0.25">
      <c r="A35" s="2" t="s">
        <v>102</v>
      </c>
      <c r="B35" s="5">
        <f t="shared" si="25"/>
        <v>0</v>
      </c>
      <c r="C35" s="2" t="s">
        <v>3</v>
      </c>
      <c r="D35" s="2"/>
      <c r="E35" s="1" t="s">
        <v>103</v>
      </c>
      <c r="F35" s="2"/>
      <c r="G35" s="2"/>
      <c r="H35" s="2"/>
      <c r="I35" s="2"/>
      <c r="J35" s="2"/>
      <c r="K35" s="2"/>
      <c r="L35" s="14"/>
      <c r="M35" s="2"/>
      <c r="N35" s="11">
        <f t="shared" si="10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1">
        <f t="shared" si="5"/>
        <v>0</v>
      </c>
      <c r="U35" s="21">
        <f t="shared" si="6"/>
        <v>0</v>
      </c>
      <c r="V35" s="21">
        <f t="shared" si="7"/>
        <v>0</v>
      </c>
      <c r="W35" s="20">
        <f t="shared" si="11"/>
        <v>0</v>
      </c>
      <c r="X35" s="17">
        <f t="shared" si="0"/>
        <v>0</v>
      </c>
      <c r="Y35" s="3"/>
      <c r="Z35" s="6">
        <f t="shared" si="9"/>
        <v>0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</row>
    <row r="36" spans="1:51" ht="15.75" customHeight="1" x14ac:dyDescent="0.25">
      <c r="A36" s="24" t="s">
        <v>179</v>
      </c>
      <c r="B36" s="6">
        <f>IF(B18=0,0,(B18/B8))</f>
        <v>10.32258064516129</v>
      </c>
      <c r="C36" s="2" t="s">
        <v>3</v>
      </c>
      <c r="D36" s="2"/>
      <c r="E36" s="15" t="s">
        <v>30</v>
      </c>
      <c r="F36" s="26">
        <f>F13/$B$8</f>
        <v>9.290322580645162E-2</v>
      </c>
      <c r="G36" s="2" t="s">
        <v>31</v>
      </c>
      <c r="H36" s="2"/>
      <c r="I36" s="2"/>
      <c r="J36" s="2"/>
      <c r="K36" s="2"/>
      <c r="L36" s="14"/>
      <c r="M36" s="2"/>
      <c r="N36" s="11">
        <f t="shared" si="10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1">
        <f t="shared" si="5"/>
        <v>0</v>
      </c>
      <c r="U36" s="21">
        <f t="shared" si="6"/>
        <v>0</v>
      </c>
      <c r="V36" s="21">
        <f t="shared" si="7"/>
        <v>0</v>
      </c>
      <c r="W36" s="20">
        <f t="shared" si="11"/>
        <v>0</v>
      </c>
      <c r="X36" s="17">
        <f t="shared" si="0"/>
        <v>0</v>
      </c>
      <c r="Y36" s="3"/>
      <c r="Z36" s="6">
        <f t="shared" si="9"/>
        <v>0</v>
      </c>
      <c r="AA36" s="2"/>
      <c r="AB36" s="27" t="s">
        <v>33</v>
      </c>
      <c r="AC36" s="28"/>
      <c r="AD36" s="28"/>
      <c r="AE36" s="28"/>
      <c r="AF36" s="2"/>
      <c r="AG36" s="27" t="s">
        <v>104</v>
      </c>
      <c r="AH36" s="28"/>
      <c r="AI36" s="28"/>
      <c r="AJ36" s="2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</row>
    <row r="37" spans="1:51" ht="15.75" customHeight="1" x14ac:dyDescent="0.25">
      <c r="A37" s="24" t="s">
        <v>180</v>
      </c>
      <c r="B37" s="6">
        <f>IF(B19=0,0,(B19/B8))</f>
        <v>27.35483870967742</v>
      </c>
      <c r="C37" s="2" t="s">
        <v>3</v>
      </c>
      <c r="D37" s="2"/>
      <c r="E37" s="15" t="s">
        <v>105</v>
      </c>
      <c r="F37" s="26">
        <f>(F21/((1-J15%)*J11))/B8</f>
        <v>0</v>
      </c>
      <c r="G37" s="2" t="s">
        <v>31</v>
      </c>
      <c r="H37" s="2"/>
      <c r="I37" s="1" t="s">
        <v>106</v>
      </c>
      <c r="J37" s="45">
        <f>SUM(J38:J42)</f>
        <v>48.838709677419352</v>
      </c>
      <c r="K37" s="1" t="s">
        <v>49</v>
      </c>
      <c r="L37" s="14"/>
      <c r="M37" s="2"/>
      <c r="N37" s="11">
        <f t="shared" si="10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1">
        <f t="shared" si="5"/>
        <v>0</v>
      </c>
      <c r="U37" s="21">
        <f t="shared" si="6"/>
        <v>0</v>
      </c>
      <c r="V37" s="21">
        <f t="shared" si="7"/>
        <v>0</v>
      </c>
      <c r="W37" s="20">
        <f t="shared" si="11"/>
        <v>0</v>
      </c>
      <c r="X37" s="17">
        <f t="shared" si="0"/>
        <v>0</v>
      </c>
      <c r="Y37" s="3"/>
      <c r="Z37" s="6">
        <f t="shared" si="9"/>
        <v>0</v>
      </c>
      <c r="AA37" s="2"/>
      <c r="AB37" s="28" t="s">
        <v>80</v>
      </c>
      <c r="AC37" s="28" t="s">
        <v>107</v>
      </c>
      <c r="AD37" s="28" t="s">
        <v>23</v>
      </c>
      <c r="AE37" s="28" t="s">
        <v>82</v>
      </c>
      <c r="AF37" s="2"/>
      <c r="AG37" s="28" t="s">
        <v>80</v>
      </c>
      <c r="AH37" s="28" t="s">
        <v>108</v>
      </c>
      <c r="AI37" s="28" t="s">
        <v>23</v>
      </c>
      <c r="AJ37" s="28" t="s">
        <v>82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</row>
    <row r="38" spans="1:51" ht="15.75" customHeight="1" x14ac:dyDescent="0.25">
      <c r="A38" s="24" t="s">
        <v>73</v>
      </c>
      <c r="B38" s="6">
        <f t="shared" ref="B38:B40" si="26">IF(B20=0,0,(B20/100)*$B$49)</f>
        <v>0</v>
      </c>
      <c r="C38" s="2" t="s">
        <v>3</v>
      </c>
      <c r="D38" s="2"/>
      <c r="E38" s="15" t="s">
        <v>109</v>
      </c>
      <c r="F38" s="58">
        <f>F36*J18</f>
        <v>1.8580645161290325E-3</v>
      </c>
      <c r="G38" s="2" t="s">
        <v>4</v>
      </c>
      <c r="H38" s="2"/>
      <c r="I38" s="15" t="s">
        <v>110</v>
      </c>
      <c r="J38" s="26">
        <f>F17/$B$8</f>
        <v>0</v>
      </c>
      <c r="K38" s="2" t="s">
        <v>49</v>
      </c>
      <c r="L38" s="14"/>
      <c r="M38" s="2"/>
      <c r="N38" s="11">
        <f t="shared" si="10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1">
        <f t="shared" si="5"/>
        <v>0</v>
      </c>
      <c r="U38" s="21">
        <f t="shared" si="6"/>
        <v>0</v>
      </c>
      <c r="V38" s="21">
        <f t="shared" si="7"/>
        <v>0</v>
      </c>
      <c r="W38" s="20">
        <f t="shared" si="11"/>
        <v>0</v>
      </c>
      <c r="X38" s="17">
        <f t="shared" si="0"/>
        <v>0</v>
      </c>
      <c r="Y38" s="3"/>
      <c r="Z38" s="6">
        <f t="shared" si="9"/>
        <v>0</v>
      </c>
      <c r="AA38" s="2"/>
      <c r="AB38" s="28" t="s">
        <v>86</v>
      </c>
      <c r="AC38" s="32">
        <v>483.84</v>
      </c>
      <c r="AD38" s="31">
        <f>X49</f>
        <v>1551.4369871118422</v>
      </c>
      <c r="AE38" s="28"/>
      <c r="AF38" s="2"/>
      <c r="AG38" s="28" t="s">
        <v>86</v>
      </c>
      <c r="AH38" s="32">
        <v>13680</v>
      </c>
      <c r="AI38" s="31">
        <f>X49</f>
        <v>1551.4369871118422</v>
      </c>
      <c r="AJ38" s="28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</row>
    <row r="39" spans="1:51" ht="15.75" customHeight="1" x14ac:dyDescent="0.25">
      <c r="A39" s="24" t="s">
        <v>75</v>
      </c>
      <c r="B39" s="6">
        <f t="shared" si="26"/>
        <v>0</v>
      </c>
      <c r="C39" s="2" t="s">
        <v>3</v>
      </c>
      <c r="D39" s="2"/>
      <c r="E39" s="2"/>
      <c r="F39" s="2"/>
      <c r="G39" s="2"/>
      <c r="H39" s="2"/>
      <c r="I39" s="15" t="s">
        <v>74</v>
      </c>
      <c r="J39" s="26">
        <f>F20/$B$8</f>
        <v>2.2580645161290325</v>
      </c>
      <c r="K39" s="2" t="s">
        <v>49</v>
      </c>
      <c r="L39" s="14"/>
      <c r="M39" s="2"/>
      <c r="N39" s="11">
        <f t="shared" si="10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1">
        <f t="shared" si="5"/>
        <v>0</v>
      </c>
      <c r="U39" s="21">
        <f t="shared" si="6"/>
        <v>0</v>
      </c>
      <c r="V39" s="21">
        <f t="shared" si="7"/>
        <v>0</v>
      </c>
      <c r="W39" s="20">
        <f t="shared" si="11"/>
        <v>0</v>
      </c>
      <c r="X39" s="17">
        <f t="shared" si="0"/>
        <v>0</v>
      </c>
      <c r="Y39" s="3"/>
      <c r="Z39" s="6">
        <f t="shared" si="9"/>
        <v>0</v>
      </c>
      <c r="AA39" s="2"/>
      <c r="AB39" s="28">
        <f t="shared" ref="AB39:AB43" si="27">AB40-10</f>
        <v>-50</v>
      </c>
      <c r="AC39" s="32">
        <f t="shared" ref="AC39:AC49" si="28">$AC$38*(1+(AB39/100))</f>
        <v>241.92</v>
      </c>
      <c r="AD39" s="31">
        <f t="dataTable" ref="AD39:AD49" dt2D="0" dtr="0" r1="B48" ca="1"/>
        <v>1278.738890024729</v>
      </c>
      <c r="AE39" s="36">
        <f>100*((AD39-$AD$44)/$AD$44)</f>
        <v>-17.57713006409422</v>
      </c>
      <c r="AF39" s="2"/>
      <c r="AG39" s="28">
        <f t="shared" ref="AG39:AG43" si="29">AG40-10</f>
        <v>-50</v>
      </c>
      <c r="AH39" s="32">
        <f t="shared" ref="AH39:AH49" si="30">$AH$38*(1+(AG39/100))</f>
        <v>6840</v>
      </c>
      <c r="AI39" s="31">
        <f t="dataTable" ref="AI39:AI49" dt2D="0" dtr="0" r1="F12" ca="1"/>
        <v>1051.1170426161568</v>
      </c>
      <c r="AJ39" s="36">
        <f t="shared" ref="AJ39:AJ49" si="31">100*((AI39-$AI$44)/$AI$44)</f>
        <v>-32.24880859821976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</row>
    <row r="40" spans="1:51" ht="15.75" customHeight="1" x14ac:dyDescent="0.25">
      <c r="A40" s="24" t="s">
        <v>78</v>
      </c>
      <c r="B40" s="6">
        <f t="shared" si="26"/>
        <v>0</v>
      </c>
      <c r="C40" s="2" t="s">
        <v>3</v>
      </c>
      <c r="D40" s="2"/>
      <c r="E40" s="15" t="s">
        <v>111</v>
      </c>
      <c r="F40" s="26">
        <f>F37*F12*J18</f>
        <v>0</v>
      </c>
      <c r="G40" s="2" t="s">
        <v>49</v>
      </c>
      <c r="H40" s="2"/>
      <c r="I40" s="15" t="s">
        <v>63</v>
      </c>
      <c r="J40" s="26">
        <f>F16/$B$8</f>
        <v>0</v>
      </c>
      <c r="K40" s="2" t="s">
        <v>49</v>
      </c>
      <c r="L40" s="14"/>
      <c r="M40" s="2"/>
      <c r="N40" s="11">
        <f t="shared" si="10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1">
        <f t="shared" si="5"/>
        <v>0</v>
      </c>
      <c r="U40" s="21">
        <f t="shared" si="6"/>
        <v>0</v>
      </c>
      <c r="V40" s="21">
        <f t="shared" si="7"/>
        <v>0</v>
      </c>
      <c r="W40" s="20">
        <f t="shared" si="11"/>
        <v>0</v>
      </c>
      <c r="X40" s="17">
        <f t="shared" si="0"/>
        <v>0</v>
      </c>
      <c r="Y40" s="3"/>
      <c r="Z40" s="6">
        <f t="shared" si="9"/>
        <v>0</v>
      </c>
      <c r="AA40" s="2"/>
      <c r="AB40" s="28">
        <f t="shared" si="27"/>
        <v>-40</v>
      </c>
      <c r="AC40" s="32">
        <f t="shared" si="28"/>
        <v>290.30399999999997</v>
      </c>
      <c r="AD40" s="31">
        <v>1333.2785094421515</v>
      </c>
      <c r="AE40" s="36">
        <f t="shared" ref="AE40:AE49" si="32">100*((AD40-$AD$29)/$AD$29)</f>
        <v>-14.061704051275385</v>
      </c>
      <c r="AF40" s="2"/>
      <c r="AG40" s="28">
        <f t="shared" si="29"/>
        <v>-40</v>
      </c>
      <c r="AH40" s="32">
        <f t="shared" si="30"/>
        <v>8208</v>
      </c>
      <c r="AI40" s="31">
        <v>1105.1366590193393</v>
      </c>
      <c r="AJ40" s="36">
        <f t="shared" si="31"/>
        <v>-28.76690009327007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</row>
    <row r="41" spans="1:51" ht="15.75" customHeight="1" x14ac:dyDescent="0.25">
      <c r="A41" s="2"/>
      <c r="B41" s="2"/>
      <c r="C41" s="2"/>
      <c r="D41" s="2"/>
      <c r="E41" s="15" t="s">
        <v>112</v>
      </c>
      <c r="F41" s="35">
        <f>F38*F12</f>
        <v>25.418322580645164</v>
      </c>
      <c r="G41" s="25" t="s">
        <v>49</v>
      </c>
      <c r="H41" s="2"/>
      <c r="I41" s="2" t="s">
        <v>88</v>
      </c>
      <c r="J41" s="35">
        <f>F24/B8</f>
        <v>2.064516129032258</v>
      </c>
      <c r="K41" s="2" t="s">
        <v>49</v>
      </c>
      <c r="L41" s="14"/>
      <c r="M41" s="2"/>
      <c r="N41" s="11">
        <f t="shared" si="10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1">
        <f t="shared" si="5"/>
        <v>0</v>
      </c>
      <c r="U41" s="21">
        <f t="shared" si="6"/>
        <v>0</v>
      </c>
      <c r="V41" s="21">
        <f t="shared" si="7"/>
        <v>0</v>
      </c>
      <c r="W41" s="20">
        <f t="shared" si="11"/>
        <v>0</v>
      </c>
      <c r="X41" s="17">
        <f t="shared" si="0"/>
        <v>0</v>
      </c>
      <c r="Y41" s="3"/>
      <c r="Z41" s="6">
        <f t="shared" si="9"/>
        <v>0</v>
      </c>
      <c r="AA41" s="2"/>
      <c r="AB41" s="28">
        <f t="shared" si="27"/>
        <v>-30</v>
      </c>
      <c r="AC41" s="32">
        <f t="shared" si="28"/>
        <v>338.68799999999999</v>
      </c>
      <c r="AD41" s="31">
        <v>1387.818128859574</v>
      </c>
      <c r="AE41" s="36">
        <f t="shared" si="32"/>
        <v>-10.546278038456549</v>
      </c>
      <c r="AF41" s="2"/>
      <c r="AG41" s="28">
        <f t="shared" si="29"/>
        <v>-30</v>
      </c>
      <c r="AH41" s="32">
        <f t="shared" si="30"/>
        <v>9576</v>
      </c>
      <c r="AI41" s="31">
        <v>1440.6776063064094</v>
      </c>
      <c r="AJ41" s="36">
        <f t="shared" si="31"/>
        <v>-7.1391478819660374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</row>
    <row r="42" spans="1:51" ht="15.75" customHeight="1" x14ac:dyDescent="0.25">
      <c r="A42" s="2"/>
      <c r="B42" s="2"/>
      <c r="C42" s="2"/>
      <c r="D42" s="2"/>
      <c r="E42" s="2"/>
      <c r="F42" s="2"/>
      <c r="G42" s="2"/>
      <c r="H42" s="2"/>
      <c r="I42" s="15" t="s">
        <v>48</v>
      </c>
      <c r="J42" s="46">
        <f>F22/$B$8</f>
        <v>44.516129032258064</v>
      </c>
      <c r="K42" s="2" t="s">
        <v>49</v>
      </c>
      <c r="L42" s="14"/>
      <c r="M42" s="2"/>
      <c r="N42" s="11">
        <f t="shared" si="10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1">
        <f t="shared" si="5"/>
        <v>0</v>
      </c>
      <c r="U42" s="21">
        <f t="shared" si="6"/>
        <v>0</v>
      </c>
      <c r="V42" s="21">
        <f t="shared" si="7"/>
        <v>0</v>
      </c>
      <c r="W42" s="20">
        <f t="shared" si="11"/>
        <v>0</v>
      </c>
      <c r="X42" s="17">
        <f t="shared" si="0"/>
        <v>0</v>
      </c>
      <c r="Y42" s="3"/>
      <c r="Z42" s="6">
        <f t="shared" si="9"/>
        <v>0</v>
      </c>
      <c r="AA42" s="2"/>
      <c r="AB42" s="28">
        <f t="shared" si="27"/>
        <v>-20</v>
      </c>
      <c r="AC42" s="32">
        <f t="shared" si="28"/>
        <v>387.072</v>
      </c>
      <c r="AD42" s="31">
        <v>1442.357748276997</v>
      </c>
      <c r="AE42" s="36">
        <f t="shared" si="32"/>
        <v>-7.0308520256376852</v>
      </c>
      <c r="AF42" s="2"/>
      <c r="AG42" s="28">
        <f t="shared" si="29"/>
        <v>-20</v>
      </c>
      <c r="AH42" s="32">
        <f t="shared" si="30"/>
        <v>10944</v>
      </c>
      <c r="AI42" s="31">
        <v>1461.1303221248859</v>
      </c>
      <c r="AJ42" s="36">
        <f t="shared" si="31"/>
        <v>-5.820840017168301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</row>
    <row r="43" spans="1:51" ht="15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4"/>
      <c r="M43" s="2"/>
      <c r="N43" s="11">
        <f t="shared" si="10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1">
        <f t="shared" si="5"/>
        <v>0</v>
      </c>
      <c r="U43" s="21">
        <f t="shared" si="6"/>
        <v>0</v>
      </c>
      <c r="V43" s="21">
        <f t="shared" si="7"/>
        <v>0</v>
      </c>
      <c r="W43" s="20">
        <f t="shared" si="11"/>
        <v>0</v>
      </c>
      <c r="X43" s="17">
        <f t="shared" si="0"/>
        <v>0</v>
      </c>
      <c r="Y43" s="3"/>
      <c r="Z43" s="6">
        <f t="shared" si="9"/>
        <v>0</v>
      </c>
      <c r="AA43" s="2"/>
      <c r="AB43" s="28">
        <f t="shared" si="27"/>
        <v>-10</v>
      </c>
      <c r="AC43" s="32">
        <f t="shared" si="28"/>
        <v>435.45599999999996</v>
      </c>
      <c r="AD43" s="31">
        <v>1496.8973676944197</v>
      </c>
      <c r="AE43" s="36">
        <f t="shared" si="32"/>
        <v>-3.515426012818835</v>
      </c>
      <c r="AF43" s="2"/>
      <c r="AG43" s="28">
        <f t="shared" si="29"/>
        <v>-10</v>
      </c>
      <c r="AH43" s="32">
        <f t="shared" si="30"/>
        <v>12312</v>
      </c>
      <c r="AI43" s="31">
        <v>1530.984271293366</v>
      </c>
      <c r="AJ43" s="36">
        <f t="shared" si="31"/>
        <v>-1.318307864797722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1:51" ht="15.75" customHeight="1" x14ac:dyDescent="0.25">
      <c r="A44" s="22" t="s">
        <v>113</v>
      </c>
      <c r="B44" s="3"/>
      <c r="C44" s="1"/>
      <c r="D44" s="2"/>
      <c r="E44" s="2"/>
      <c r="F44" s="2"/>
      <c r="G44" s="2"/>
      <c r="H44" s="2"/>
      <c r="I44" s="2"/>
      <c r="J44" s="2"/>
      <c r="K44" s="2"/>
      <c r="L44" s="14"/>
      <c r="M44" s="2"/>
      <c r="N44" s="11">
        <f t="shared" si="10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1">
        <f t="shared" si="5"/>
        <v>0</v>
      </c>
      <c r="U44" s="21">
        <f t="shared" si="6"/>
        <v>0</v>
      </c>
      <c r="V44" s="21">
        <f t="shared" si="7"/>
        <v>0</v>
      </c>
      <c r="W44" s="20">
        <f t="shared" si="11"/>
        <v>0</v>
      </c>
      <c r="X44" s="17">
        <f t="shared" si="0"/>
        <v>0</v>
      </c>
      <c r="Y44" s="3"/>
      <c r="Z44" s="6">
        <f t="shared" si="9"/>
        <v>0</v>
      </c>
      <c r="AA44" s="2"/>
      <c r="AB44" s="41">
        <v>0</v>
      </c>
      <c r="AC44" s="47">
        <f t="shared" si="28"/>
        <v>483.84</v>
      </c>
      <c r="AD44" s="42">
        <v>1551.4369871118422</v>
      </c>
      <c r="AE44" s="56">
        <f t="shared" si="32"/>
        <v>0</v>
      </c>
      <c r="AF44" s="2"/>
      <c r="AG44" s="41">
        <v>0</v>
      </c>
      <c r="AH44" s="47">
        <f t="shared" si="30"/>
        <v>13680</v>
      </c>
      <c r="AI44" s="42">
        <v>1551.4369871118422</v>
      </c>
      <c r="AJ44" s="56">
        <f t="shared" si="31"/>
        <v>0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1:51" ht="15.75" customHeight="1" x14ac:dyDescent="0.25">
      <c r="A45" s="15" t="s">
        <v>173</v>
      </c>
      <c r="B45" s="6">
        <f>(J8+J9)/B8</f>
        <v>410.64516129032256</v>
      </c>
      <c r="C45" s="2" t="s">
        <v>3</v>
      </c>
      <c r="D45" s="2"/>
      <c r="E45" s="2"/>
      <c r="F45" s="2"/>
      <c r="G45" s="2"/>
      <c r="H45" s="2"/>
      <c r="I45" s="1"/>
      <c r="J45" s="2"/>
      <c r="K45" s="2"/>
      <c r="L45" s="14"/>
      <c r="M45" s="2"/>
      <c r="N45" s="11">
        <f t="shared" si="10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1">
        <f t="shared" si="5"/>
        <v>0</v>
      </c>
      <c r="U45" s="21">
        <f t="shared" si="6"/>
        <v>0</v>
      </c>
      <c r="V45" s="21">
        <f t="shared" si="7"/>
        <v>0</v>
      </c>
      <c r="W45" s="20">
        <f t="shared" si="11"/>
        <v>0</v>
      </c>
      <c r="X45" s="17">
        <f t="shared" si="0"/>
        <v>0</v>
      </c>
      <c r="Y45" s="3"/>
      <c r="Z45" s="6">
        <f t="shared" si="9"/>
        <v>0</v>
      </c>
      <c r="AA45" s="2"/>
      <c r="AB45" s="28">
        <f t="shared" ref="AB45:AB49" si="33">AB44+10</f>
        <v>10</v>
      </c>
      <c r="AC45" s="32">
        <f t="shared" si="28"/>
        <v>532.22400000000005</v>
      </c>
      <c r="AD45" s="31">
        <v>1605.9766065292642</v>
      </c>
      <c r="AE45" s="36">
        <f t="shared" si="32"/>
        <v>3.5154260128188057</v>
      </c>
      <c r="AF45" s="2"/>
      <c r="AG45" s="28">
        <f t="shared" ref="AG45:AG49" si="34">AG44+10</f>
        <v>10</v>
      </c>
      <c r="AH45" s="32">
        <f t="shared" si="30"/>
        <v>15048.000000000002</v>
      </c>
      <c r="AI45" s="31">
        <v>1937.246999808008</v>
      </c>
      <c r="AJ45" s="36">
        <f t="shared" si="31"/>
        <v>24.867913805148504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1:51" ht="15.75" customHeight="1" x14ac:dyDescent="0.25">
      <c r="A46" s="15" t="s">
        <v>114</v>
      </c>
      <c r="B46" s="6">
        <f>J10*J11</f>
        <v>483.84</v>
      </c>
      <c r="C46" s="2" t="s">
        <v>3</v>
      </c>
      <c r="D46" s="2"/>
      <c r="E46" s="2"/>
      <c r="F46" s="2"/>
      <c r="G46" s="2"/>
      <c r="H46" s="2"/>
      <c r="I46" s="15"/>
      <c r="J46" s="19"/>
      <c r="K46" s="2"/>
      <c r="L46" s="14"/>
      <c r="M46" s="2"/>
      <c r="N46" s="11">
        <f t="shared" si="10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1">
        <f t="shared" si="5"/>
        <v>0</v>
      </c>
      <c r="U46" s="21">
        <f t="shared" si="6"/>
        <v>0</v>
      </c>
      <c r="V46" s="21">
        <f t="shared" si="7"/>
        <v>0</v>
      </c>
      <c r="W46" s="20">
        <f t="shared" si="11"/>
        <v>0</v>
      </c>
      <c r="X46" s="17">
        <f t="shared" si="0"/>
        <v>0</v>
      </c>
      <c r="Y46" s="3"/>
      <c r="Z46" s="6">
        <f t="shared" si="9"/>
        <v>0</v>
      </c>
      <c r="AA46" s="2"/>
      <c r="AB46" s="28">
        <f t="shared" si="33"/>
        <v>20</v>
      </c>
      <c r="AC46" s="32">
        <f t="shared" si="28"/>
        <v>580.60799999999995</v>
      </c>
      <c r="AD46" s="31">
        <v>1660.5162259466874</v>
      </c>
      <c r="AE46" s="36">
        <f t="shared" si="32"/>
        <v>7.0308520256376852</v>
      </c>
      <c r="AF46" s="2"/>
      <c r="AG46" s="28">
        <f t="shared" si="34"/>
        <v>20</v>
      </c>
      <c r="AH46" s="32">
        <f t="shared" si="30"/>
        <v>16416</v>
      </c>
      <c r="AI46" s="31">
        <v>1957.6997156264845</v>
      </c>
      <c r="AJ46" s="36">
        <f t="shared" si="31"/>
        <v>26.186221669946242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1:51" ht="15.75" customHeight="1" x14ac:dyDescent="0.25">
      <c r="A47" s="24" t="s">
        <v>115</v>
      </c>
      <c r="B47" s="23">
        <f>(1+(B16/100))*B45</f>
        <v>410.64516129032256</v>
      </c>
      <c r="C47" s="2" t="s">
        <v>3</v>
      </c>
      <c r="D47" s="2"/>
      <c r="E47" s="2"/>
      <c r="F47" s="2"/>
      <c r="G47" s="2"/>
      <c r="H47" s="2"/>
      <c r="I47" s="2"/>
      <c r="J47" s="2"/>
      <c r="K47" s="2"/>
      <c r="L47" s="14"/>
      <c r="M47" s="2"/>
      <c r="N47" s="11">
        <f t="shared" si="10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1">
        <f t="shared" si="5"/>
        <v>0</v>
      </c>
      <c r="U47" s="21">
        <f t="shared" si="6"/>
        <v>0</v>
      </c>
      <c r="V47" s="21">
        <f t="shared" si="7"/>
        <v>0</v>
      </c>
      <c r="W47" s="20">
        <f t="shared" si="11"/>
        <v>0</v>
      </c>
      <c r="X47" s="17">
        <f t="shared" si="0"/>
        <v>0</v>
      </c>
      <c r="Y47" s="3"/>
      <c r="Z47" s="6">
        <f t="shared" si="9"/>
        <v>0</v>
      </c>
      <c r="AA47" s="2"/>
      <c r="AB47" s="28">
        <f t="shared" si="33"/>
        <v>30</v>
      </c>
      <c r="AC47" s="32">
        <f t="shared" si="28"/>
        <v>628.99199999999996</v>
      </c>
      <c r="AD47" s="31">
        <v>1715.0558453641095</v>
      </c>
      <c r="AE47" s="36">
        <f t="shared" si="32"/>
        <v>10.546278038456492</v>
      </c>
      <c r="AF47" s="2"/>
      <c r="AG47" s="28">
        <f t="shared" si="34"/>
        <v>30</v>
      </c>
      <c r="AH47" s="32">
        <f t="shared" si="30"/>
        <v>17784</v>
      </c>
      <c r="AI47" s="31">
        <v>1978.1524314449605</v>
      </c>
      <c r="AJ47" s="36">
        <f t="shared" si="31"/>
        <v>27.504529534743948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1:51" ht="15.75" customHeight="1" x14ac:dyDescent="0.25">
      <c r="A48" s="24" t="s">
        <v>116</v>
      </c>
      <c r="B48" s="5">
        <f>(1+(B16/100))*B46</f>
        <v>483.84</v>
      </c>
      <c r="C48" s="2" t="s">
        <v>3</v>
      </c>
      <c r="D48" s="2"/>
      <c r="E48" s="2"/>
      <c r="F48" s="2"/>
      <c r="G48" s="2"/>
      <c r="H48" s="2"/>
      <c r="I48" s="2"/>
      <c r="J48" s="2"/>
      <c r="K48" s="2"/>
      <c r="L48" s="14"/>
      <c r="M48" s="2"/>
      <c r="N48" s="11">
        <f t="shared" si="10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1">
        <f t="shared" si="5"/>
        <v>0</v>
      </c>
      <c r="U48" s="21">
        <f t="shared" si="6"/>
        <v>0</v>
      </c>
      <c r="V48" s="21">
        <f t="shared" si="7"/>
        <v>0</v>
      </c>
      <c r="W48" s="20">
        <f t="shared" si="11"/>
        <v>0</v>
      </c>
      <c r="X48" s="17">
        <f t="shared" si="0"/>
        <v>0</v>
      </c>
      <c r="Y48" s="3"/>
      <c r="Z48" s="6">
        <f t="shared" si="9"/>
        <v>0</v>
      </c>
      <c r="AA48" s="2"/>
      <c r="AB48" s="28">
        <f t="shared" si="33"/>
        <v>40</v>
      </c>
      <c r="AC48" s="32">
        <f t="shared" si="28"/>
        <v>677.37599999999998</v>
      </c>
      <c r="AD48" s="31">
        <v>1769.5954647815327</v>
      </c>
      <c r="AE48" s="36">
        <f t="shared" si="32"/>
        <v>14.06170405127537</v>
      </c>
      <c r="AF48" s="2"/>
      <c r="AG48" s="28">
        <f t="shared" si="34"/>
        <v>40</v>
      </c>
      <c r="AH48" s="32">
        <f t="shared" si="30"/>
        <v>19152</v>
      </c>
      <c r="AI48" s="31">
        <v>2730.1896393447164</v>
      </c>
      <c r="AJ48" s="36">
        <f t="shared" si="31"/>
        <v>75.978119770577479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</row>
    <row r="49" spans="1:51" ht="15.75" customHeight="1" x14ac:dyDescent="0.25">
      <c r="A49" s="2" t="s">
        <v>117</v>
      </c>
      <c r="B49" s="23">
        <f>SUM(B47:B48)</f>
        <v>894.48516129032259</v>
      </c>
      <c r="C49" s="2" t="s">
        <v>3</v>
      </c>
      <c r="D49" s="2"/>
      <c r="E49" s="2"/>
      <c r="F49" s="2"/>
      <c r="G49" s="2"/>
      <c r="H49" s="2"/>
      <c r="I49" s="2"/>
      <c r="J49" s="2"/>
      <c r="K49" s="2"/>
      <c r="L49" s="14"/>
      <c r="M49" s="2"/>
      <c r="N49" s="12" t="s">
        <v>119</v>
      </c>
      <c r="O49" s="17">
        <f t="shared" ref="O49:X49" si="35">SUM(O8:O48)</f>
        <v>115.61839741935485</v>
      </c>
      <c r="P49" s="17">
        <f t="shared" si="35"/>
        <v>342.22107783870086</v>
      </c>
      <c r="Q49" s="17">
        <f t="shared" si="35"/>
        <v>204.52715818476196</v>
      </c>
      <c r="R49" s="17">
        <f t="shared" si="35"/>
        <v>0</v>
      </c>
      <c r="S49" s="17">
        <f t="shared" si="35"/>
        <v>377.11957041244528</v>
      </c>
      <c r="T49" s="17">
        <f t="shared" si="35"/>
        <v>0</v>
      </c>
      <c r="U49" s="17">
        <f t="shared" si="35"/>
        <v>725.53832232726415</v>
      </c>
      <c r="V49" s="17">
        <f t="shared" si="35"/>
        <v>0</v>
      </c>
      <c r="W49" s="17">
        <f t="shared" si="35"/>
        <v>-213.58753907068515</v>
      </c>
      <c r="X49" s="17">
        <f t="shared" si="35"/>
        <v>1551.4369871118422</v>
      </c>
      <c r="Y49" s="3"/>
      <c r="Z49" s="3"/>
      <c r="AA49" s="2"/>
      <c r="AB49" s="28">
        <f t="shared" si="33"/>
        <v>50</v>
      </c>
      <c r="AC49" s="32">
        <f t="shared" si="28"/>
        <v>725.76</v>
      </c>
      <c r="AD49" s="31">
        <v>1824.1350841989552</v>
      </c>
      <c r="AE49" s="36">
        <f t="shared" si="32"/>
        <v>17.577130064094206</v>
      </c>
      <c r="AF49" s="2"/>
      <c r="AG49" s="28">
        <f t="shared" si="34"/>
        <v>50</v>
      </c>
      <c r="AH49" s="32">
        <f t="shared" si="30"/>
        <v>20520</v>
      </c>
      <c r="AI49" s="31">
        <v>2750.6423551631929</v>
      </c>
      <c r="AJ49" s="36">
        <f t="shared" si="31"/>
        <v>77.296427635375224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</row>
    <row r="50" spans="1:51" ht="15.75" customHeight="1" x14ac:dyDescent="0.25">
      <c r="A50" s="24" t="s">
        <v>118</v>
      </c>
      <c r="B50" s="6">
        <f>SUM(B33:B40)+SUM(B49)</f>
        <v>1030.5559483870968</v>
      </c>
      <c r="C50" s="2" t="s">
        <v>3</v>
      </c>
      <c r="D50" s="2"/>
      <c r="E50" s="2"/>
      <c r="F50" s="2"/>
      <c r="G50" s="2"/>
      <c r="H50" s="2"/>
      <c r="I50" s="2"/>
      <c r="J50" s="2"/>
      <c r="K50" s="2"/>
      <c r="L50" s="14"/>
      <c r="M50" s="2"/>
      <c r="N50" s="2"/>
      <c r="O50" s="2"/>
      <c r="P50" s="6"/>
      <c r="Q50" s="2"/>
      <c r="R50" s="2"/>
      <c r="S50" s="2"/>
      <c r="T50" s="2"/>
      <c r="U50" s="2"/>
      <c r="V50" s="2"/>
      <c r="W50" s="2"/>
      <c r="X50" s="23"/>
      <c r="Y50" s="23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</row>
    <row r="51" spans="1:51" ht="15.75" customHeight="1" x14ac:dyDescent="0.25">
      <c r="A51" s="24" t="s">
        <v>172</v>
      </c>
      <c r="B51" s="6">
        <f>SUM(B31:B32)</f>
        <v>645.16129032258061</v>
      </c>
      <c r="C51" s="2" t="s">
        <v>3</v>
      </c>
      <c r="D51" s="2"/>
      <c r="E51" s="2"/>
      <c r="F51" s="2"/>
      <c r="G51" s="2"/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7" t="s">
        <v>48</v>
      </c>
      <c r="AC51" s="28"/>
      <c r="AD51" s="28"/>
      <c r="AE51" s="28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</row>
    <row r="52" spans="1:51" ht="15.75" customHeight="1" x14ac:dyDescent="0.25">
      <c r="A52" s="24" t="s">
        <v>174</v>
      </c>
      <c r="B52" s="6">
        <f>B50-B51</f>
        <v>385.39465806451619</v>
      </c>
      <c r="C52" s="2" t="s">
        <v>3</v>
      </c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8" t="s">
        <v>80</v>
      </c>
      <c r="AC52" s="28" t="s">
        <v>139</v>
      </c>
      <c r="AD52" s="28" t="s">
        <v>23</v>
      </c>
      <c r="AE52" s="28" t="s">
        <v>82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</row>
    <row r="53" spans="1:51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8" t="s">
        <v>86</v>
      </c>
      <c r="AC53" s="32">
        <v>44.516129032258064</v>
      </c>
      <c r="AD53" s="31">
        <f>X49</f>
        <v>1551.4369871118422</v>
      </c>
      <c r="AE53" s="28"/>
      <c r="AF53" s="2"/>
      <c r="AG53" s="1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</row>
    <row r="54" spans="1:51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48"/>
      <c r="V54" s="51"/>
      <c r="W54" s="2"/>
      <c r="X54" s="35"/>
      <c r="Y54" s="35"/>
      <c r="Z54" s="51"/>
      <c r="AA54" s="35"/>
      <c r="AB54" s="28">
        <f t="shared" ref="AB54:AB58" si="36">AB55-10</f>
        <v>-50</v>
      </c>
      <c r="AC54" s="32">
        <f t="shared" ref="AC54:AC64" si="37">$AC$53*(1+(AB54/100))</f>
        <v>22.258064516129032</v>
      </c>
      <c r="AD54" s="31">
        <f t="dataTable" ref="AD54:AD64" dt2D="0" dtr="0" r1="J42"/>
        <v>1379.5661128815996</v>
      </c>
      <c r="AE54" s="36">
        <f t="shared" ref="AE54:AE64" si="38">100*((AD54-$AD$59)/$AD$59)</f>
        <v>-11.078173052338899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</row>
    <row r="55" spans="1:51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457.8394752580557</v>
      </c>
      <c r="Q55" s="2" t="s">
        <v>3</v>
      </c>
      <c r="R55" s="52">
        <f t="shared" ref="R55:R59" si="39">P55/$J$34</f>
        <v>3.3467797898980678E-3</v>
      </c>
      <c r="S55" s="2" t="s">
        <v>4</v>
      </c>
      <c r="T55" s="2"/>
      <c r="U55" s="2"/>
      <c r="V55" s="51"/>
      <c r="W55" s="2"/>
      <c r="X55" s="35"/>
      <c r="Y55" s="35"/>
      <c r="Z55" s="51"/>
      <c r="AA55" s="35"/>
      <c r="AB55" s="28">
        <f t="shared" si="36"/>
        <v>-40</v>
      </c>
      <c r="AC55" s="32">
        <f t="shared" si="37"/>
        <v>26.709677419354836</v>
      </c>
      <c r="AD55" s="31">
        <v>1413.9402877276477</v>
      </c>
      <c r="AE55" s="36">
        <f t="shared" si="38"/>
        <v>-8.862538441871143</v>
      </c>
      <c r="AF55" s="2"/>
      <c r="AG55" s="2"/>
      <c r="AH55" s="19"/>
      <c r="AI55" s="6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</row>
    <row r="56" spans="1:51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SUM(Q49:R49)</f>
        <v>204.52715818476196</v>
      </c>
      <c r="Q56" s="2" t="s">
        <v>3</v>
      </c>
      <c r="R56" s="52">
        <f t="shared" si="39"/>
        <v>1.4950815656780846E-3</v>
      </c>
      <c r="S56" s="2" t="s">
        <v>4</v>
      </c>
      <c r="T56" s="2"/>
      <c r="U56" s="2"/>
      <c r="V56" s="51"/>
      <c r="W56" s="2"/>
      <c r="X56" s="35"/>
      <c r="Y56" s="35"/>
      <c r="Z56" s="51"/>
      <c r="AA56" s="35"/>
      <c r="AB56" s="28">
        <f t="shared" si="36"/>
        <v>-30</v>
      </c>
      <c r="AC56" s="32">
        <f t="shared" si="37"/>
        <v>31.161290322580644</v>
      </c>
      <c r="AD56" s="31">
        <v>1448.3144625736963</v>
      </c>
      <c r="AE56" s="36">
        <f t="shared" si="38"/>
        <v>-6.6469038314033568</v>
      </c>
      <c r="AF56" s="2"/>
      <c r="AG56" s="2"/>
      <c r="AH56" s="19"/>
      <c r="AI56" s="6"/>
      <c r="AJ56" s="53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</row>
    <row r="57" spans="1:51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SUM(S49:T49)</f>
        <v>377.11957041244528</v>
      </c>
      <c r="Q57" s="2" t="s">
        <v>3</v>
      </c>
      <c r="R57" s="52">
        <f t="shared" si="39"/>
        <v>2.7567220059389274E-3</v>
      </c>
      <c r="S57" s="2" t="s">
        <v>4</v>
      </c>
      <c r="T57" s="2"/>
      <c r="U57" s="2"/>
      <c r="V57" s="51"/>
      <c r="W57" s="2"/>
      <c r="X57" s="35"/>
      <c r="Y57" s="35"/>
      <c r="Z57" s="51"/>
      <c r="AA57" s="35"/>
      <c r="AB57" s="28">
        <f t="shared" si="36"/>
        <v>-20</v>
      </c>
      <c r="AC57" s="32">
        <f t="shared" si="37"/>
        <v>35.612903225806456</v>
      </c>
      <c r="AD57" s="31">
        <v>1482.6886374197447</v>
      </c>
      <c r="AE57" s="36">
        <f t="shared" si="38"/>
        <v>-4.4312692209355866</v>
      </c>
      <c r="AF57" s="2"/>
      <c r="AG57" s="2"/>
      <c r="AH57" s="19"/>
      <c r="AI57" s="6"/>
      <c r="AJ57" s="53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</row>
    <row r="58" spans="1:51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125</v>
      </c>
      <c r="P58" s="23">
        <f>SUM(U49:V49)</f>
        <v>725.53832232726415</v>
      </c>
      <c r="Q58" s="2" t="s">
        <v>3</v>
      </c>
      <c r="R58" s="52">
        <f t="shared" si="39"/>
        <v>5.3036427070706441E-3</v>
      </c>
      <c r="S58" s="2" t="s">
        <v>4</v>
      </c>
      <c r="T58" s="2"/>
      <c r="U58" s="2"/>
      <c r="V58" s="51"/>
      <c r="W58" s="2"/>
      <c r="X58" s="35"/>
      <c r="Y58" s="35"/>
      <c r="Z58" s="51"/>
      <c r="AA58" s="35"/>
      <c r="AB58" s="28">
        <f t="shared" si="36"/>
        <v>-10</v>
      </c>
      <c r="AC58" s="32">
        <f t="shared" si="37"/>
        <v>40.064516129032256</v>
      </c>
      <c r="AD58" s="31">
        <v>1517.0628122657934</v>
      </c>
      <c r="AE58" s="36">
        <f t="shared" si="38"/>
        <v>-2.2156346104678004</v>
      </c>
      <c r="AF58" s="2"/>
      <c r="AG58" s="2"/>
      <c r="AH58" s="19"/>
      <c r="AI58" s="6"/>
      <c r="AJ58" s="53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</row>
    <row r="59" spans="1:51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s">
        <v>126</v>
      </c>
      <c r="P59" s="23">
        <f>W49</f>
        <v>-213.58753907068515</v>
      </c>
      <c r="Q59" s="2" t="s">
        <v>3</v>
      </c>
      <c r="R59" s="52">
        <f t="shared" si="39"/>
        <v>-1.5613124201073476E-3</v>
      </c>
      <c r="S59" s="2" t="s">
        <v>4</v>
      </c>
      <c r="T59" s="2"/>
      <c r="U59" s="2"/>
      <c r="V59" s="51"/>
      <c r="W59" s="2"/>
      <c r="X59" s="35"/>
      <c r="Y59" s="35"/>
      <c r="Z59" s="51"/>
      <c r="AA59" s="35"/>
      <c r="AB59" s="41">
        <v>0</v>
      </c>
      <c r="AC59" s="47">
        <f t="shared" si="37"/>
        <v>44.516129032258064</v>
      </c>
      <c r="AD59" s="42">
        <v>1551.4369871118422</v>
      </c>
      <c r="AE59" s="62">
        <f t="shared" si="38"/>
        <v>0</v>
      </c>
      <c r="AF59" s="2"/>
      <c r="AG59" s="2"/>
      <c r="AH59" s="19"/>
      <c r="AI59" s="6"/>
      <c r="AJ59" s="53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</row>
    <row r="60" spans="1:51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SUM(P55:P59)</f>
        <v>1551.436987111842</v>
      </c>
      <c r="Q60" s="1" t="s">
        <v>3</v>
      </c>
      <c r="R60" s="46">
        <f>SUM(R55:R59)</f>
        <v>1.1340913648478376E-2</v>
      </c>
      <c r="S60" s="1" t="s">
        <v>4</v>
      </c>
      <c r="T60" s="1"/>
      <c r="U60" s="2"/>
      <c r="V60" s="51"/>
      <c r="W60" s="2"/>
      <c r="X60" s="35"/>
      <c r="Y60" s="35"/>
      <c r="Z60" s="51"/>
      <c r="AA60" s="35"/>
      <c r="AB60" s="28">
        <f t="shared" ref="AB60:AB64" si="40">AB59+10</f>
        <v>10</v>
      </c>
      <c r="AC60" s="32">
        <f t="shared" si="37"/>
        <v>48.967741935483872</v>
      </c>
      <c r="AD60" s="31">
        <v>1585.8111619578906</v>
      </c>
      <c r="AE60" s="36">
        <f t="shared" si="38"/>
        <v>2.2156346104677711</v>
      </c>
      <c r="AF60" s="2"/>
      <c r="AG60" s="2"/>
      <c r="AH60" s="19"/>
      <c r="AI60" s="6"/>
      <c r="AJ60" s="53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</row>
    <row r="61" spans="1:51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1"/>
      <c r="W61" s="2"/>
      <c r="X61" s="35"/>
      <c r="Y61" s="35"/>
      <c r="Z61" s="51"/>
      <c r="AA61" s="35"/>
      <c r="AB61" s="28">
        <f t="shared" si="40"/>
        <v>20</v>
      </c>
      <c r="AC61" s="32">
        <f t="shared" si="37"/>
        <v>53.419354838709673</v>
      </c>
      <c r="AD61" s="31">
        <v>1620.1853368039388</v>
      </c>
      <c r="AE61" s="36">
        <f t="shared" si="38"/>
        <v>4.431269220935528</v>
      </c>
      <c r="AF61" s="2"/>
      <c r="AG61" s="2"/>
      <c r="AH61" s="19"/>
      <c r="AI61" s="6"/>
      <c r="AJ61" s="53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</row>
    <row r="62" spans="1:51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1"/>
      <c r="W62" s="2"/>
      <c r="X62" s="35"/>
      <c r="Y62" s="35"/>
      <c r="Z62" s="51"/>
      <c r="AA62" s="35"/>
      <c r="AB62" s="28">
        <f t="shared" si="40"/>
        <v>30</v>
      </c>
      <c r="AC62" s="32">
        <f t="shared" si="37"/>
        <v>57.870967741935488</v>
      </c>
      <c r="AD62" s="31">
        <v>1654.5595116499876</v>
      </c>
      <c r="AE62" s="36">
        <f t="shared" si="38"/>
        <v>6.6469038314033284</v>
      </c>
      <c r="AF62" s="2"/>
      <c r="AG62" s="2"/>
      <c r="AH62" s="19"/>
      <c r="AI62" s="6"/>
      <c r="AJ62" s="53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</row>
    <row r="63" spans="1:51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1"/>
      <c r="W63" s="2"/>
      <c r="X63" s="35"/>
      <c r="Y63" s="35"/>
      <c r="Z63" s="51"/>
      <c r="AA63" s="35"/>
      <c r="AB63" s="28">
        <f t="shared" si="40"/>
        <v>40</v>
      </c>
      <c r="AC63" s="32">
        <f t="shared" si="37"/>
        <v>62.322580645161288</v>
      </c>
      <c r="AD63" s="31">
        <v>1688.9336864960364</v>
      </c>
      <c r="AE63" s="36">
        <f t="shared" si="38"/>
        <v>8.8625384418711288</v>
      </c>
      <c r="AF63" s="2"/>
      <c r="AG63" s="2"/>
      <c r="AH63" s="19"/>
      <c r="AI63" s="6"/>
      <c r="AJ63" s="53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</row>
    <row r="64" spans="1:51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1"/>
      <c r="W64" s="2"/>
      <c r="X64" s="35"/>
      <c r="Y64" s="35"/>
      <c r="Z64" s="51"/>
      <c r="AA64" s="35"/>
      <c r="AB64" s="28">
        <f t="shared" si="40"/>
        <v>50</v>
      </c>
      <c r="AC64" s="32">
        <f t="shared" si="37"/>
        <v>66.774193548387103</v>
      </c>
      <c r="AD64" s="31">
        <v>1723.3078613420848</v>
      </c>
      <c r="AE64" s="36">
        <f t="shared" si="38"/>
        <v>11.078173052338899</v>
      </c>
      <c r="AF64" s="2"/>
      <c r="AG64" s="2"/>
      <c r="AH64" s="19"/>
      <c r="AI64" s="6"/>
      <c r="AJ64" s="53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</row>
    <row r="65" spans="1:51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1"/>
      <c r="W65" s="2"/>
      <c r="X65" s="35"/>
      <c r="Y65" s="35"/>
      <c r="Z65" s="51"/>
      <c r="AA65" s="35"/>
      <c r="AB65" s="2"/>
      <c r="AC65" s="2"/>
      <c r="AD65" s="2"/>
      <c r="AE65" s="2"/>
      <c r="AF65" s="2"/>
      <c r="AG65" s="2"/>
      <c r="AH65" s="19"/>
      <c r="AI65" s="6"/>
      <c r="AJ65" s="53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</row>
    <row r="66" spans="1:51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1"/>
      <c r="W66" s="2"/>
      <c r="X66" s="35"/>
      <c r="Y66" s="35"/>
      <c r="Z66" s="51"/>
      <c r="AA66" s="35"/>
      <c r="AB66" s="2"/>
      <c r="AC66" s="2"/>
      <c r="AD66" s="2"/>
      <c r="AE66" s="2"/>
      <c r="AF66" s="2"/>
      <c r="AG66" s="2"/>
      <c r="AH66" s="19"/>
      <c r="AI66" s="6"/>
      <c r="AJ66" s="53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</row>
    <row r="67" spans="1:51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1"/>
      <c r="W67" s="2"/>
      <c r="X67" s="35"/>
      <c r="Y67" s="35"/>
      <c r="Z67" s="51"/>
      <c r="AA67" s="35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</row>
    <row r="68" spans="1:51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1"/>
      <c r="W68" s="2"/>
      <c r="X68" s="35"/>
      <c r="Y68" s="35"/>
      <c r="Z68" s="51"/>
      <c r="AA68" s="35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</row>
    <row r="69" spans="1:51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54"/>
      <c r="Y69" s="54"/>
      <c r="Z69" s="2"/>
      <c r="AA69" s="54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</row>
    <row r="70" spans="1:51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</row>
    <row r="71" spans="1:51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</row>
    <row r="72" spans="1:51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</row>
    <row r="73" spans="1:51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</row>
    <row r="74" spans="1:51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</row>
    <row r="75" spans="1:51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</row>
    <row r="76" spans="1:51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</row>
    <row r="77" spans="1:51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</row>
    <row r="78" spans="1:51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</row>
    <row r="79" spans="1:51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</row>
    <row r="80" spans="1:51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</row>
    <row r="81" spans="1:51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</row>
    <row r="82" spans="1:51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</row>
    <row r="83" spans="1:51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</row>
    <row r="84" spans="1:51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</row>
    <row r="85" spans="1:51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</row>
    <row r="86" spans="1:51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</row>
    <row r="87" spans="1:51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1:51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</row>
    <row r="89" spans="1:51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</row>
    <row r="90" spans="1:51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</row>
    <row r="91" spans="1:51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</row>
    <row r="92" spans="1:51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</row>
    <row r="93" spans="1:51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</row>
    <row r="94" spans="1:51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</row>
    <row r="95" spans="1:51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</row>
    <row r="96" spans="1:51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</row>
    <row r="97" spans="1:51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</row>
    <row r="98" spans="1:51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</row>
    <row r="99" spans="1:51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</row>
    <row r="100" spans="1:51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1:51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1:51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1:51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1:51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1:51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1:51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1:51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1:51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1:51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1:51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1:51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1:51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1:51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</row>
    <row r="176" spans="1:51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</row>
    <row r="177" spans="1:51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</row>
    <row r="178" spans="1:51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</row>
    <row r="179" spans="1:51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</row>
    <row r="180" spans="1:51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</row>
    <row r="181" spans="1:51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</row>
    <row r="182" spans="1:51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</row>
    <row r="183" spans="1:51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</row>
    <row r="184" spans="1:51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</row>
    <row r="185" spans="1:51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</row>
    <row r="186" spans="1:51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</row>
    <row r="187" spans="1:51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</row>
    <row r="188" spans="1:51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</row>
    <row r="189" spans="1:51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</row>
    <row r="190" spans="1:51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</row>
    <row r="191" spans="1:51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</row>
    <row r="192" spans="1:51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</row>
    <row r="193" spans="1:51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</row>
    <row r="194" spans="1:51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5" spans="1:51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</row>
    <row r="196" spans="1:51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</row>
    <row r="197" spans="1:51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</row>
    <row r="198" spans="1:51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</row>
    <row r="199" spans="1:51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</row>
    <row r="200" spans="1:51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</row>
    <row r="201" spans="1:51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</row>
    <row r="202" spans="1:51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</row>
    <row r="203" spans="1:51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</row>
    <row r="204" spans="1:51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</row>
    <row r="205" spans="1:51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</row>
    <row r="206" spans="1:51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</row>
    <row r="207" spans="1:51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</row>
    <row r="208" spans="1:51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</row>
    <row r="209" spans="1:51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</row>
    <row r="210" spans="1:51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</row>
    <row r="211" spans="1:51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</row>
    <row r="212" spans="1:51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</row>
    <row r="213" spans="1:51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</row>
    <row r="214" spans="1:51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</row>
    <row r="215" spans="1:51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</row>
    <row r="216" spans="1:51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</row>
    <row r="217" spans="1:51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</row>
    <row r="218" spans="1:51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</row>
    <row r="219" spans="1:51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</row>
    <row r="220" spans="1:51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</row>
    <row r="221" spans="1:51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</row>
    <row r="222" spans="1:51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spans="1:51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spans="1:51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spans="1:51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</row>
    <row r="226" spans="1:51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</row>
    <row r="227" spans="1:51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</row>
    <row r="228" spans="1:51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</row>
    <row r="229" spans="1:51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</row>
    <row r="230" spans="1:51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</row>
    <row r="231" spans="1:51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</row>
    <row r="232" spans="1:51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</row>
    <row r="233" spans="1:51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</row>
    <row r="234" spans="1:51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</row>
    <row r="235" spans="1:51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spans="1:51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spans="1:51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</row>
    <row r="238" spans="1:51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</row>
    <row r="239" spans="1:51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</row>
    <row r="240" spans="1:51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</row>
    <row r="241" spans="1:51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spans="1:51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spans="1:51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</row>
    <row r="244" spans="1:51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</row>
    <row r="245" spans="1:51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</row>
    <row r="246" spans="1:51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</row>
    <row r="247" spans="1:51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</row>
    <row r="248" spans="1:51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</row>
    <row r="249" spans="1:51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</row>
    <row r="250" spans="1:51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</row>
    <row r="251" spans="1:51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</row>
    <row r="252" spans="1:51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</row>
    <row r="253" spans="1:51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</row>
    <row r="254" spans="1:51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</row>
    <row r="255" spans="1:51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</row>
    <row r="256" spans="1:51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</row>
    <row r="257" spans="1:51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</row>
    <row r="258" spans="1:51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</row>
    <row r="259" spans="1:51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</row>
    <row r="260" spans="1:51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</row>
    <row r="261" spans="1:51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</row>
    <row r="262" spans="1:51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</row>
    <row r="263" spans="1:51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</row>
    <row r="264" spans="1:51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</row>
    <row r="265" spans="1:51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</row>
    <row r="266" spans="1:51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</row>
    <row r="267" spans="1:51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</row>
    <row r="268" spans="1:51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</row>
    <row r="269" spans="1:51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</row>
    <row r="270" spans="1:51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</row>
    <row r="271" spans="1:51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</row>
    <row r="272" spans="1:51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</row>
    <row r="273" spans="1:51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</row>
    <row r="274" spans="1:51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</row>
    <row r="275" spans="1:51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</row>
    <row r="276" spans="1:51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</row>
    <row r="277" spans="1:51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</row>
    <row r="278" spans="1:51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</row>
    <row r="279" spans="1:51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</row>
    <row r="280" spans="1:51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</row>
    <row r="281" spans="1:51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</row>
    <row r="282" spans="1:51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</row>
    <row r="283" spans="1:51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</row>
    <row r="284" spans="1:51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</row>
    <row r="285" spans="1:51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</row>
    <row r="286" spans="1:51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</row>
    <row r="287" spans="1:51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</row>
    <row r="288" spans="1:51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</row>
    <row r="289" spans="1:51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</row>
    <row r="290" spans="1:51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</row>
    <row r="291" spans="1:51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</row>
    <row r="292" spans="1:51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</row>
    <row r="293" spans="1:51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</row>
    <row r="294" spans="1:51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</row>
    <row r="295" spans="1:51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</row>
    <row r="296" spans="1:51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</row>
    <row r="297" spans="1:51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</row>
    <row r="298" spans="1:51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</row>
    <row r="299" spans="1:51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</row>
    <row r="300" spans="1:51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</row>
    <row r="301" spans="1:51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</row>
    <row r="302" spans="1:51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</row>
    <row r="303" spans="1:51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</row>
    <row r="304" spans="1:51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</row>
    <row r="305" spans="1:51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</row>
    <row r="306" spans="1:51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</row>
    <row r="307" spans="1:51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</row>
    <row r="308" spans="1:51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</row>
    <row r="309" spans="1:51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</row>
    <row r="310" spans="1:51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</row>
    <row r="311" spans="1:51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</row>
    <row r="312" spans="1:51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</row>
    <row r="313" spans="1:51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</row>
    <row r="314" spans="1:51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</row>
    <row r="315" spans="1:51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</row>
    <row r="316" spans="1:51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</row>
    <row r="317" spans="1:51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</row>
    <row r="318" spans="1:51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</row>
    <row r="319" spans="1:51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</row>
    <row r="320" spans="1:51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</row>
    <row r="321" spans="1:51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</row>
    <row r="322" spans="1:51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</row>
    <row r="323" spans="1:51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</row>
    <row r="324" spans="1:51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</row>
    <row r="325" spans="1:51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</row>
    <row r="326" spans="1:51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</row>
    <row r="327" spans="1:51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</row>
    <row r="328" spans="1:51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</row>
    <row r="329" spans="1:51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</row>
    <row r="330" spans="1:51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</row>
    <row r="331" spans="1:51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</row>
    <row r="332" spans="1:51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</row>
    <row r="333" spans="1:51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</row>
    <row r="334" spans="1:51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</row>
    <row r="335" spans="1:51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</row>
    <row r="336" spans="1:51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</row>
    <row r="337" spans="1:51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</row>
    <row r="338" spans="1:51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</row>
    <row r="339" spans="1:51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</row>
    <row r="340" spans="1:51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</row>
    <row r="341" spans="1:51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</row>
    <row r="342" spans="1:51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</row>
    <row r="343" spans="1:51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</row>
    <row r="344" spans="1:51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</row>
    <row r="345" spans="1:51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</row>
    <row r="346" spans="1:51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</row>
    <row r="347" spans="1:51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</row>
    <row r="348" spans="1:51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</row>
    <row r="349" spans="1:51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</row>
    <row r="350" spans="1:51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</row>
    <row r="351" spans="1:51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</row>
    <row r="352" spans="1:51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</row>
    <row r="353" spans="1:51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</row>
    <row r="354" spans="1:51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</row>
    <row r="355" spans="1:51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</row>
    <row r="356" spans="1:51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</row>
    <row r="357" spans="1:51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</row>
    <row r="358" spans="1:51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</row>
    <row r="359" spans="1:51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</row>
    <row r="360" spans="1:51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</row>
    <row r="361" spans="1:51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</row>
    <row r="362" spans="1:51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</row>
    <row r="363" spans="1:51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</row>
    <row r="364" spans="1:51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</row>
    <row r="365" spans="1:51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</row>
    <row r="366" spans="1:51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</row>
    <row r="367" spans="1:51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</row>
    <row r="368" spans="1:51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</row>
    <row r="369" spans="1:51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</row>
    <row r="370" spans="1:51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</row>
    <row r="371" spans="1:51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</row>
    <row r="372" spans="1:51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</row>
    <row r="373" spans="1:51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</row>
    <row r="374" spans="1:51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</row>
    <row r="375" spans="1:51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</row>
    <row r="376" spans="1:51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</row>
    <row r="377" spans="1:51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</row>
    <row r="378" spans="1:51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</row>
    <row r="379" spans="1:51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</row>
    <row r="380" spans="1:51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</row>
    <row r="381" spans="1:51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</row>
    <row r="382" spans="1:51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</row>
    <row r="383" spans="1:51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</row>
    <row r="384" spans="1:51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</row>
    <row r="385" spans="1:51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</row>
    <row r="386" spans="1:51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</row>
    <row r="387" spans="1:51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</row>
    <row r="388" spans="1:51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</row>
    <row r="389" spans="1:51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</row>
    <row r="390" spans="1:51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</row>
    <row r="391" spans="1:51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</row>
    <row r="392" spans="1:51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</row>
    <row r="393" spans="1:51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</row>
    <row r="394" spans="1:51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</row>
    <row r="395" spans="1:51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</row>
    <row r="396" spans="1:51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</row>
    <row r="397" spans="1:51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</row>
    <row r="398" spans="1:51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</row>
    <row r="399" spans="1:51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</row>
    <row r="400" spans="1:51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</row>
    <row r="401" spans="1:51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</row>
    <row r="402" spans="1:51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</row>
    <row r="403" spans="1:51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</row>
    <row r="404" spans="1:51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</row>
    <row r="405" spans="1:51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</row>
    <row r="406" spans="1:51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</row>
    <row r="407" spans="1:51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</row>
    <row r="408" spans="1:51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</row>
    <row r="409" spans="1:51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</row>
    <row r="410" spans="1:51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</row>
    <row r="411" spans="1:51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</row>
    <row r="412" spans="1:51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</row>
    <row r="413" spans="1:51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</row>
    <row r="414" spans="1:51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</row>
    <row r="415" spans="1:51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</row>
    <row r="416" spans="1:51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</row>
    <row r="417" spans="1:51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</row>
    <row r="418" spans="1:51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</row>
    <row r="419" spans="1:51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</row>
    <row r="420" spans="1:51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</row>
    <row r="421" spans="1:51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</row>
    <row r="422" spans="1:51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</row>
    <row r="423" spans="1:51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</row>
    <row r="424" spans="1:51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</row>
    <row r="425" spans="1:51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</row>
    <row r="426" spans="1:51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</row>
    <row r="427" spans="1:51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</row>
    <row r="428" spans="1:51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</row>
    <row r="429" spans="1:51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</row>
    <row r="430" spans="1:51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</row>
    <row r="431" spans="1:51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</row>
    <row r="432" spans="1:51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</row>
    <row r="433" spans="1:51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</row>
    <row r="434" spans="1:51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</row>
    <row r="435" spans="1:51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</row>
    <row r="436" spans="1:51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</row>
    <row r="437" spans="1:51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</row>
    <row r="438" spans="1:51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</row>
    <row r="439" spans="1:51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</row>
    <row r="440" spans="1:51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</row>
    <row r="441" spans="1:51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</row>
    <row r="442" spans="1:51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</row>
    <row r="443" spans="1:51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</row>
    <row r="444" spans="1:51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</row>
    <row r="445" spans="1:51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</row>
    <row r="446" spans="1:51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</row>
    <row r="447" spans="1:51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</row>
    <row r="448" spans="1:51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</row>
    <row r="449" spans="1:51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</row>
    <row r="450" spans="1:51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</row>
    <row r="451" spans="1:51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</row>
    <row r="452" spans="1:51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</row>
    <row r="453" spans="1:51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</row>
    <row r="454" spans="1:51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</row>
    <row r="455" spans="1:51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</row>
    <row r="456" spans="1:51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</row>
    <row r="457" spans="1:51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</row>
    <row r="458" spans="1:51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</row>
    <row r="459" spans="1:51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</row>
    <row r="460" spans="1:51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</row>
    <row r="461" spans="1:51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</row>
    <row r="462" spans="1:51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</row>
    <row r="463" spans="1:51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</row>
    <row r="464" spans="1:51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</row>
    <row r="465" spans="1:51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</row>
    <row r="466" spans="1:51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</row>
    <row r="467" spans="1:51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</row>
    <row r="468" spans="1:51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</row>
    <row r="469" spans="1:51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</row>
    <row r="470" spans="1:51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</row>
    <row r="471" spans="1:51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</row>
    <row r="472" spans="1:51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</row>
    <row r="473" spans="1:51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</row>
    <row r="474" spans="1:51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</row>
    <row r="475" spans="1:51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</row>
    <row r="476" spans="1:51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</row>
    <row r="477" spans="1:51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</row>
    <row r="478" spans="1:51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</row>
    <row r="479" spans="1:51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</row>
    <row r="480" spans="1:51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</row>
    <row r="481" spans="1:51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</row>
    <row r="482" spans="1:51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</row>
    <row r="483" spans="1:51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</row>
    <row r="484" spans="1:51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</row>
    <row r="485" spans="1:51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</row>
    <row r="486" spans="1:51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</row>
    <row r="487" spans="1:51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</row>
    <row r="488" spans="1:51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</row>
    <row r="489" spans="1:51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</row>
    <row r="490" spans="1:51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</row>
    <row r="491" spans="1:51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</row>
    <row r="492" spans="1:51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</row>
    <row r="493" spans="1:51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</row>
    <row r="494" spans="1:51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</row>
    <row r="495" spans="1:51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</row>
    <row r="496" spans="1:51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</row>
    <row r="497" spans="1:51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</row>
    <row r="498" spans="1:51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</row>
    <row r="499" spans="1:51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</row>
    <row r="500" spans="1:51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</row>
    <row r="501" spans="1:51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</row>
    <row r="502" spans="1:51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</row>
    <row r="503" spans="1:51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</row>
    <row r="504" spans="1:51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</row>
    <row r="505" spans="1:51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</row>
    <row r="506" spans="1:51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</row>
    <row r="507" spans="1:51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</row>
    <row r="508" spans="1:51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</row>
    <row r="509" spans="1:51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</row>
    <row r="510" spans="1:51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</row>
    <row r="511" spans="1:51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</row>
    <row r="512" spans="1:51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</row>
    <row r="513" spans="1:51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</row>
    <row r="514" spans="1:51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</row>
    <row r="515" spans="1:51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</row>
    <row r="516" spans="1:51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</row>
    <row r="517" spans="1:51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</row>
    <row r="518" spans="1:51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</row>
    <row r="519" spans="1:51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</row>
    <row r="520" spans="1:51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</row>
    <row r="521" spans="1:51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</row>
    <row r="522" spans="1:51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</row>
    <row r="523" spans="1:51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</row>
    <row r="524" spans="1:51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</row>
    <row r="525" spans="1:51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</row>
    <row r="526" spans="1:51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</row>
    <row r="527" spans="1:51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</row>
    <row r="528" spans="1:51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</row>
    <row r="529" spans="1:51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</row>
    <row r="530" spans="1:51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</row>
    <row r="531" spans="1:51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</row>
    <row r="532" spans="1:51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</row>
    <row r="533" spans="1:51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</row>
    <row r="534" spans="1:51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</row>
    <row r="535" spans="1:51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</row>
    <row r="536" spans="1:51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</row>
    <row r="537" spans="1:51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</row>
    <row r="538" spans="1:51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</row>
    <row r="539" spans="1:51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</row>
    <row r="540" spans="1:51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</row>
    <row r="541" spans="1:51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</row>
    <row r="542" spans="1:51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</row>
    <row r="543" spans="1:51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</row>
    <row r="544" spans="1:51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</row>
    <row r="545" spans="1:51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</row>
    <row r="546" spans="1:51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</row>
    <row r="547" spans="1:51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</row>
    <row r="548" spans="1:51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</row>
    <row r="549" spans="1:51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</row>
    <row r="550" spans="1:51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</row>
    <row r="551" spans="1:51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</row>
    <row r="552" spans="1:51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</row>
    <row r="553" spans="1:51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</row>
    <row r="554" spans="1:51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</row>
    <row r="555" spans="1:51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</row>
    <row r="556" spans="1:51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</row>
    <row r="557" spans="1:51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</row>
    <row r="558" spans="1:51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</row>
    <row r="559" spans="1:51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</row>
    <row r="560" spans="1:51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</row>
    <row r="561" spans="1:51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</row>
    <row r="562" spans="1:51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</row>
    <row r="563" spans="1:51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</row>
    <row r="564" spans="1:51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</row>
    <row r="565" spans="1:51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</row>
    <row r="566" spans="1:51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</row>
    <row r="567" spans="1:51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</row>
    <row r="568" spans="1:51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</row>
    <row r="569" spans="1:51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</row>
    <row r="570" spans="1:51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</row>
    <row r="571" spans="1:51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</row>
    <row r="572" spans="1:51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</row>
    <row r="573" spans="1:51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</row>
    <row r="574" spans="1:51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</row>
    <row r="575" spans="1:51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</row>
    <row r="576" spans="1:51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</row>
    <row r="577" spans="1:51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</row>
    <row r="578" spans="1:51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</row>
    <row r="579" spans="1:51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</row>
    <row r="580" spans="1:51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</row>
    <row r="581" spans="1:51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</row>
    <row r="582" spans="1:51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</row>
    <row r="583" spans="1:51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</row>
    <row r="584" spans="1:51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</row>
    <row r="585" spans="1:51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</row>
    <row r="586" spans="1:51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</row>
    <row r="587" spans="1:51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</row>
    <row r="588" spans="1:51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</row>
    <row r="589" spans="1:51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</row>
    <row r="590" spans="1:51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</row>
    <row r="591" spans="1:51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</row>
    <row r="592" spans="1:51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</row>
    <row r="593" spans="1:51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</row>
    <row r="594" spans="1:51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</row>
    <row r="595" spans="1:51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</row>
    <row r="596" spans="1:51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</row>
    <row r="597" spans="1:51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</row>
    <row r="598" spans="1:51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</row>
    <row r="599" spans="1:51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</row>
    <row r="600" spans="1:51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</row>
    <row r="601" spans="1:51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</row>
    <row r="602" spans="1:51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</row>
    <row r="603" spans="1:51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</row>
    <row r="604" spans="1:51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</row>
    <row r="605" spans="1:51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</row>
    <row r="606" spans="1:51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</row>
    <row r="607" spans="1:51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</row>
    <row r="608" spans="1:51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</row>
    <row r="609" spans="1:51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</row>
    <row r="610" spans="1:51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</row>
    <row r="611" spans="1:51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</row>
    <row r="612" spans="1:51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</row>
    <row r="613" spans="1:51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</row>
    <row r="614" spans="1:51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</row>
    <row r="615" spans="1:51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</row>
    <row r="616" spans="1:51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</row>
    <row r="617" spans="1:51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</row>
    <row r="618" spans="1:51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</row>
    <row r="619" spans="1:51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</row>
    <row r="620" spans="1:51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</row>
    <row r="621" spans="1:51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</row>
    <row r="622" spans="1:51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</row>
    <row r="623" spans="1:51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</row>
    <row r="624" spans="1:51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</row>
    <row r="625" spans="1:51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</row>
    <row r="626" spans="1:51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</row>
    <row r="627" spans="1:51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</row>
    <row r="628" spans="1:51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</row>
    <row r="629" spans="1:51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</row>
    <row r="630" spans="1:51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</row>
    <row r="631" spans="1:51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</row>
    <row r="632" spans="1:51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</row>
    <row r="633" spans="1:51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</row>
    <row r="634" spans="1:51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</row>
    <row r="635" spans="1:51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</row>
    <row r="636" spans="1:51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</row>
    <row r="637" spans="1:51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</row>
    <row r="638" spans="1:51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</row>
    <row r="639" spans="1:51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</row>
    <row r="640" spans="1:51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</row>
    <row r="641" spans="1:51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</row>
    <row r="642" spans="1:51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</row>
    <row r="643" spans="1:51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</row>
    <row r="644" spans="1:51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</row>
    <row r="645" spans="1:51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</row>
    <row r="646" spans="1:51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</row>
    <row r="647" spans="1:51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</row>
    <row r="648" spans="1:51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</row>
    <row r="649" spans="1:51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</row>
    <row r="650" spans="1:51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</row>
    <row r="651" spans="1:51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</row>
    <row r="652" spans="1:51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</row>
    <row r="653" spans="1:51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</row>
    <row r="654" spans="1:51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</row>
    <row r="655" spans="1:51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</row>
    <row r="656" spans="1:51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</row>
    <row r="657" spans="1:51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</row>
    <row r="658" spans="1:51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</row>
    <row r="659" spans="1:51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</row>
    <row r="660" spans="1:51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</row>
    <row r="661" spans="1:51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</row>
    <row r="662" spans="1:51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</row>
    <row r="663" spans="1:51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</row>
    <row r="664" spans="1:51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</row>
    <row r="665" spans="1:51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</row>
    <row r="666" spans="1:51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</row>
    <row r="667" spans="1:51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</row>
    <row r="668" spans="1:51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</row>
    <row r="669" spans="1:51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</row>
    <row r="670" spans="1:51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</row>
    <row r="671" spans="1:51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</row>
    <row r="672" spans="1:51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</row>
    <row r="673" spans="1:51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</row>
    <row r="674" spans="1:51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</row>
    <row r="675" spans="1:51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</row>
    <row r="676" spans="1:51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</row>
    <row r="677" spans="1:51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</row>
    <row r="678" spans="1:51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</row>
    <row r="679" spans="1:51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</row>
    <row r="680" spans="1:51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</row>
    <row r="681" spans="1:51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</row>
    <row r="682" spans="1:51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</row>
    <row r="683" spans="1:51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</row>
    <row r="684" spans="1:51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</row>
    <row r="685" spans="1:51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</row>
    <row r="686" spans="1:51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</row>
    <row r="687" spans="1:51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</row>
    <row r="688" spans="1:51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</row>
    <row r="689" spans="1:51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</row>
    <row r="690" spans="1:51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</row>
    <row r="691" spans="1:51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</row>
    <row r="692" spans="1:51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</row>
    <row r="693" spans="1:51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</row>
    <row r="694" spans="1:51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</row>
    <row r="695" spans="1:51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</row>
    <row r="696" spans="1:51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</row>
    <row r="697" spans="1:51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</row>
    <row r="698" spans="1:51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</row>
    <row r="699" spans="1:51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</row>
    <row r="700" spans="1:51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</row>
    <row r="701" spans="1:51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</row>
    <row r="702" spans="1:51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</row>
    <row r="703" spans="1:51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</row>
    <row r="704" spans="1:51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</row>
    <row r="705" spans="1:51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</row>
    <row r="706" spans="1:51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</row>
    <row r="707" spans="1:51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</row>
    <row r="708" spans="1:51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</row>
    <row r="709" spans="1:51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</row>
    <row r="710" spans="1:51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</row>
    <row r="711" spans="1:51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</row>
    <row r="712" spans="1:51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</row>
    <row r="713" spans="1:51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</row>
    <row r="714" spans="1:51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</row>
    <row r="715" spans="1:51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</row>
    <row r="716" spans="1:51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</row>
    <row r="717" spans="1:51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</row>
    <row r="718" spans="1:51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</row>
    <row r="719" spans="1:51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</row>
    <row r="720" spans="1:51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</row>
    <row r="721" spans="1:51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</row>
    <row r="722" spans="1:51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</row>
    <row r="723" spans="1:51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</row>
    <row r="724" spans="1:51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</row>
    <row r="725" spans="1:51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</row>
    <row r="726" spans="1:51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</row>
    <row r="727" spans="1:51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</row>
    <row r="728" spans="1:51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</row>
    <row r="729" spans="1:51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</row>
    <row r="730" spans="1:51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</row>
    <row r="731" spans="1:51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</row>
    <row r="732" spans="1:51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</row>
    <row r="733" spans="1:51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</row>
    <row r="734" spans="1:51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</row>
    <row r="735" spans="1:51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</row>
    <row r="736" spans="1:51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</row>
    <row r="737" spans="1:51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</row>
    <row r="738" spans="1:51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</row>
    <row r="739" spans="1:51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</row>
    <row r="740" spans="1:51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</row>
    <row r="741" spans="1:51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</row>
    <row r="742" spans="1:51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</row>
    <row r="743" spans="1:51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</row>
    <row r="744" spans="1:51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</row>
    <row r="745" spans="1:51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</row>
    <row r="746" spans="1:51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</row>
    <row r="747" spans="1:51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</row>
    <row r="748" spans="1:51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</row>
    <row r="749" spans="1:51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</row>
    <row r="750" spans="1:51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</row>
    <row r="751" spans="1:51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</row>
    <row r="752" spans="1:51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</row>
    <row r="753" spans="1:51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</row>
    <row r="754" spans="1:51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</row>
    <row r="755" spans="1:51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</row>
    <row r="756" spans="1:51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</row>
    <row r="757" spans="1:51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</row>
    <row r="758" spans="1:51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</row>
    <row r="759" spans="1:51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</row>
    <row r="760" spans="1:51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</row>
    <row r="761" spans="1:51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</row>
    <row r="762" spans="1:51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</row>
    <row r="763" spans="1:51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</row>
    <row r="764" spans="1:51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</row>
    <row r="765" spans="1:51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</row>
    <row r="766" spans="1:51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</row>
    <row r="767" spans="1:51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</row>
    <row r="768" spans="1:51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</row>
    <row r="769" spans="1:51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</row>
    <row r="770" spans="1:51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</row>
    <row r="771" spans="1:51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</row>
    <row r="772" spans="1:51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</row>
    <row r="773" spans="1:51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</row>
    <row r="774" spans="1:51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</row>
    <row r="775" spans="1:51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</row>
    <row r="776" spans="1:51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</row>
    <row r="777" spans="1:51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</row>
    <row r="778" spans="1:51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</row>
    <row r="779" spans="1:51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</row>
    <row r="780" spans="1:51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</row>
    <row r="781" spans="1:51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</row>
    <row r="782" spans="1:51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</row>
    <row r="783" spans="1:51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</row>
    <row r="784" spans="1:51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</row>
    <row r="785" spans="1:51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</row>
    <row r="786" spans="1:51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</row>
    <row r="787" spans="1:51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</row>
    <row r="788" spans="1:51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</row>
    <row r="789" spans="1:51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</row>
    <row r="790" spans="1:51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</row>
    <row r="791" spans="1:51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</row>
    <row r="792" spans="1:51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</row>
    <row r="793" spans="1:51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</row>
    <row r="794" spans="1:51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</row>
    <row r="795" spans="1:51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</row>
    <row r="796" spans="1:51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</row>
    <row r="797" spans="1:51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</row>
    <row r="798" spans="1:51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</row>
    <row r="799" spans="1:51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</row>
    <row r="800" spans="1:51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</row>
    <row r="801" spans="1:51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</row>
    <row r="802" spans="1:51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</row>
    <row r="803" spans="1:51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</row>
    <row r="804" spans="1:51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</row>
    <row r="805" spans="1:51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</row>
    <row r="806" spans="1:51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</row>
    <row r="807" spans="1:51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</row>
    <row r="808" spans="1:51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</row>
    <row r="809" spans="1:51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</row>
    <row r="810" spans="1:51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</row>
    <row r="811" spans="1:51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</row>
    <row r="812" spans="1:51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</row>
    <row r="813" spans="1:51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</row>
    <row r="814" spans="1:51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</row>
    <row r="815" spans="1:51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</row>
    <row r="816" spans="1:51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</row>
    <row r="817" spans="1:51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</row>
    <row r="818" spans="1:51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</row>
    <row r="819" spans="1:51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</row>
    <row r="820" spans="1:51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</row>
    <row r="821" spans="1:51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</row>
    <row r="822" spans="1:51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</row>
    <row r="823" spans="1:51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</row>
    <row r="824" spans="1:51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</row>
    <row r="825" spans="1:51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</row>
    <row r="826" spans="1:51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</row>
    <row r="827" spans="1:51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</row>
    <row r="828" spans="1:51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</row>
    <row r="829" spans="1:51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</row>
    <row r="830" spans="1:51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</row>
    <row r="831" spans="1:51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</row>
    <row r="832" spans="1:51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</row>
    <row r="833" spans="1:51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</row>
    <row r="834" spans="1:51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</row>
    <row r="835" spans="1:51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</row>
    <row r="836" spans="1:51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</row>
    <row r="837" spans="1:51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</row>
    <row r="838" spans="1:51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</row>
    <row r="839" spans="1:51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</row>
    <row r="840" spans="1:51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</row>
    <row r="841" spans="1:51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</row>
    <row r="842" spans="1:51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</row>
    <row r="843" spans="1:51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</row>
    <row r="844" spans="1:51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</row>
    <row r="845" spans="1:51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</row>
    <row r="846" spans="1:51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</row>
    <row r="847" spans="1:51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</row>
    <row r="848" spans="1:51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</row>
    <row r="849" spans="1:51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</row>
    <row r="850" spans="1:51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</row>
    <row r="851" spans="1:51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</row>
    <row r="852" spans="1:51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</row>
    <row r="853" spans="1:51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</row>
    <row r="854" spans="1:51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</row>
    <row r="855" spans="1:51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</row>
    <row r="856" spans="1:51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</row>
    <row r="857" spans="1:51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</row>
    <row r="858" spans="1:51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</row>
    <row r="859" spans="1:51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</row>
    <row r="860" spans="1:51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</row>
    <row r="861" spans="1:51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</row>
    <row r="862" spans="1:51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</row>
    <row r="863" spans="1:51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</row>
    <row r="864" spans="1:51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</row>
    <row r="865" spans="1:51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</row>
    <row r="866" spans="1:51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</row>
    <row r="867" spans="1:51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</row>
    <row r="868" spans="1:51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</row>
    <row r="869" spans="1:51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</row>
    <row r="870" spans="1:51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</row>
    <row r="871" spans="1:51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</row>
    <row r="872" spans="1:51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</row>
    <row r="873" spans="1:51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</row>
    <row r="874" spans="1:51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</row>
    <row r="875" spans="1:51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</row>
    <row r="876" spans="1:51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</row>
    <row r="877" spans="1:51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</row>
    <row r="878" spans="1:51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</row>
    <row r="879" spans="1:51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</row>
    <row r="880" spans="1:51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</row>
    <row r="881" spans="1:51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</row>
    <row r="882" spans="1:51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</row>
    <row r="883" spans="1:51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</row>
    <row r="884" spans="1:51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</row>
    <row r="885" spans="1:51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</row>
    <row r="886" spans="1:51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</row>
    <row r="887" spans="1:51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</row>
    <row r="888" spans="1:51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</row>
    <row r="889" spans="1:51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</row>
    <row r="890" spans="1:51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</row>
    <row r="891" spans="1:51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</row>
    <row r="892" spans="1:51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</row>
    <row r="893" spans="1:51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</row>
    <row r="894" spans="1:51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</row>
    <row r="895" spans="1:51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</row>
    <row r="896" spans="1:51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</row>
    <row r="897" spans="1:51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</row>
    <row r="898" spans="1:51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</row>
    <row r="899" spans="1:51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</row>
    <row r="900" spans="1:51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</row>
    <row r="901" spans="1:51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</row>
    <row r="902" spans="1:51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</row>
    <row r="903" spans="1:51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</row>
    <row r="904" spans="1:51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</row>
    <row r="905" spans="1:51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</row>
    <row r="906" spans="1:51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</row>
    <row r="907" spans="1:51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</row>
    <row r="908" spans="1:51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</row>
    <row r="909" spans="1:51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</row>
    <row r="910" spans="1:51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</row>
    <row r="911" spans="1:51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</row>
    <row r="912" spans="1:51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</row>
    <row r="913" spans="1:51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</row>
    <row r="914" spans="1:51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</row>
    <row r="915" spans="1:51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</row>
    <row r="916" spans="1:51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</row>
    <row r="917" spans="1:51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</row>
    <row r="918" spans="1:51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</row>
    <row r="919" spans="1:51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</row>
    <row r="920" spans="1:51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</row>
    <row r="921" spans="1:51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</row>
    <row r="922" spans="1:51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</row>
    <row r="923" spans="1:51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</row>
    <row r="924" spans="1:51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</row>
    <row r="925" spans="1:51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</row>
    <row r="926" spans="1:51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</row>
    <row r="927" spans="1:51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</row>
    <row r="928" spans="1:51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</row>
    <row r="929" spans="1:51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</row>
    <row r="930" spans="1:51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</row>
    <row r="931" spans="1:51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</row>
    <row r="932" spans="1:51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</row>
    <row r="933" spans="1:51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</row>
    <row r="934" spans="1:51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</row>
    <row r="935" spans="1:51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</row>
    <row r="936" spans="1:51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</row>
    <row r="937" spans="1:51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</row>
    <row r="938" spans="1:51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</row>
    <row r="939" spans="1:51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</row>
    <row r="940" spans="1:51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</row>
    <row r="941" spans="1:51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</row>
    <row r="942" spans="1:51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</row>
    <row r="943" spans="1:51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</row>
    <row r="944" spans="1:51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</row>
    <row r="945" spans="1:51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</row>
    <row r="946" spans="1:51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</row>
    <row r="947" spans="1:51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</row>
    <row r="948" spans="1:51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</row>
    <row r="949" spans="1:51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</row>
    <row r="950" spans="1:51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</row>
    <row r="951" spans="1:51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</row>
    <row r="952" spans="1:51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</row>
    <row r="953" spans="1:51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</row>
    <row r="954" spans="1:51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</row>
    <row r="955" spans="1:51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</row>
    <row r="956" spans="1:51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</row>
    <row r="957" spans="1:51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</row>
    <row r="958" spans="1:51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</row>
    <row r="959" spans="1:51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</row>
    <row r="960" spans="1:51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</row>
    <row r="961" spans="1:51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</row>
    <row r="962" spans="1:51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</row>
    <row r="963" spans="1:51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</row>
    <row r="964" spans="1:51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</row>
    <row r="965" spans="1:51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</row>
    <row r="966" spans="1:51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</row>
    <row r="967" spans="1:51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</row>
    <row r="968" spans="1:51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</row>
    <row r="969" spans="1:51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</row>
    <row r="970" spans="1:51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</row>
    <row r="971" spans="1:51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</row>
    <row r="972" spans="1:51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</row>
    <row r="973" spans="1:51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</row>
    <row r="974" spans="1:51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</row>
    <row r="975" spans="1:51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</row>
    <row r="976" spans="1:51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</row>
    <row r="977" spans="1:51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</row>
    <row r="978" spans="1:51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</row>
    <row r="979" spans="1:51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</row>
    <row r="980" spans="1:51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</row>
    <row r="981" spans="1:51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</row>
    <row r="982" spans="1:51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</row>
    <row r="983" spans="1:51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</row>
    <row r="984" spans="1:51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</row>
    <row r="985" spans="1:51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</row>
    <row r="986" spans="1:51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</row>
    <row r="987" spans="1:51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</row>
    <row r="988" spans="1:51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</row>
    <row r="989" spans="1:51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</row>
    <row r="990" spans="1:51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</row>
    <row r="991" spans="1:51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</row>
    <row r="992" spans="1:51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</row>
    <row r="993" spans="1:51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</row>
    <row r="994" spans="1:51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</row>
    <row r="995" spans="1:51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</row>
    <row r="996" spans="1:51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</row>
    <row r="997" spans="1:51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</row>
    <row r="998" spans="1:51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</row>
    <row r="999" spans="1:51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</row>
    <row r="1000" spans="1:51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</row>
  </sheetData>
  <pageMargins left="0.7" right="0.7" top="0.75" bottom="0.75" header="0" footer="0"/>
  <pageSetup orientation="landscape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AN1000"/>
  <sheetViews>
    <sheetView topLeftCell="AD1" zoomScale="116" zoomScaleNormal="55" workbookViewId="0">
      <selection activeCell="AK17" sqref="AK17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4.28515625" customWidth="1"/>
    <col min="7" max="7" width="8.85546875" customWidth="1"/>
    <col min="8" max="8" width="19.28515625" customWidth="1"/>
    <col min="9" max="9" width="37.85546875" customWidth="1"/>
    <col min="10" max="10" width="17.4257812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16.42578125" customWidth="1"/>
    <col min="19" max="19" width="16" customWidth="1"/>
    <col min="20" max="20" width="22" customWidth="1"/>
    <col min="21" max="21" width="23.85546875" customWidth="1"/>
    <col min="22" max="22" width="12.7109375" customWidth="1"/>
    <col min="23" max="23" width="19.42578125" customWidth="1"/>
    <col min="24" max="24" width="13.42578125" customWidth="1"/>
    <col min="25" max="25" width="8.85546875" customWidth="1"/>
    <col min="26" max="26" width="20.140625" customWidth="1"/>
    <col min="27" max="27" width="25" customWidth="1"/>
    <col min="28" max="28" width="12.85546875" customWidth="1"/>
    <col min="29" max="29" width="19" customWidth="1"/>
    <col min="30" max="30" width="4.7109375" customWidth="1"/>
    <col min="31" max="31" width="20.140625" customWidth="1"/>
    <col min="32" max="32" width="19.28515625" customWidth="1"/>
    <col min="33" max="33" width="11.28515625" customWidth="1"/>
    <col min="34" max="34" width="17.85546875" customWidth="1"/>
  </cols>
  <sheetData>
    <row r="1" spans="1:34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x14ac:dyDescent="0.25">
      <c r="A2" s="1" t="s">
        <v>2</v>
      </c>
      <c r="B2" s="3">
        <f>U49</f>
        <v>2275.0871132593534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25">
      <c r="A3" s="2"/>
      <c r="B3" s="4">
        <f>B2/F41</f>
        <v>1.663075375189586E-2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1" t="s">
        <v>7</v>
      </c>
      <c r="AA4" s="2"/>
      <c r="AB4" s="2"/>
      <c r="AC4" s="2"/>
      <c r="AD4" s="2"/>
      <c r="AE4" s="2"/>
      <c r="AF4" s="2"/>
      <c r="AG4" s="2"/>
      <c r="AH4" s="2"/>
    </row>
    <row r="5" spans="1:34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127</v>
      </c>
      <c r="R7" s="11" t="s">
        <v>128</v>
      </c>
      <c r="S7" s="11" t="s">
        <v>19</v>
      </c>
      <c r="T7" s="11" t="s">
        <v>22</v>
      </c>
      <c r="U7" s="12" t="s">
        <v>23</v>
      </c>
      <c r="V7" s="1"/>
      <c r="W7" s="2" t="s">
        <v>24</v>
      </c>
      <c r="X7" s="2"/>
      <c r="Y7" s="2"/>
      <c r="Z7" s="2" t="s">
        <v>25</v>
      </c>
      <c r="AA7" s="2"/>
      <c r="AB7" s="2"/>
      <c r="AC7" s="2"/>
      <c r="AD7" s="2"/>
      <c r="AE7" s="2"/>
      <c r="AF7" s="2"/>
      <c r="AG7" s="2"/>
      <c r="AH7" s="2"/>
    </row>
    <row r="8" spans="1:34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173</v>
      </c>
      <c r="J8" s="6">
        <v>0</v>
      </c>
      <c r="K8" s="2" t="s">
        <v>29</v>
      </c>
      <c r="L8" s="14"/>
      <c r="M8" s="2"/>
      <c r="N8" s="11">
        <v>0</v>
      </c>
      <c r="O8" s="16">
        <f>F31</f>
        <v>0</v>
      </c>
      <c r="P8" s="11"/>
      <c r="Q8" s="11"/>
      <c r="R8" s="11"/>
      <c r="S8" s="11"/>
      <c r="T8" s="11"/>
      <c r="U8" s="17">
        <f t="shared" ref="U8:U48" si="0">SUM(O8:T8)</f>
        <v>0</v>
      </c>
      <c r="V8" s="3"/>
      <c r="W8" s="6"/>
      <c r="X8" s="2"/>
      <c r="Y8" s="2"/>
      <c r="Z8" s="2" t="s">
        <v>182</v>
      </c>
      <c r="AA8" s="18">
        <f>F36</f>
        <v>0.64516129032258063</v>
      </c>
      <c r="AB8" s="2" t="s">
        <v>130</v>
      </c>
      <c r="AC8" s="2"/>
      <c r="AD8" s="2"/>
      <c r="AE8" s="2"/>
      <c r="AF8" s="2"/>
      <c r="AG8" s="2"/>
      <c r="AH8" s="2"/>
    </row>
    <row r="9" spans="1:34" x14ac:dyDescent="0.25">
      <c r="A9" s="13"/>
      <c r="B9" s="2"/>
      <c r="C9" s="2"/>
      <c r="D9" s="2"/>
      <c r="E9" s="2"/>
      <c r="F9" s="19"/>
      <c r="G9" s="2"/>
      <c r="H9" s="14"/>
      <c r="I9" s="2"/>
      <c r="J9" s="2"/>
      <c r="K9" s="2"/>
      <c r="L9" s="14"/>
      <c r="M9" s="2"/>
      <c r="N9" s="11">
        <v>1</v>
      </c>
      <c r="O9" s="11"/>
      <c r="P9" s="20">
        <f t="shared" ref="P9:P48" si="1">IF(N9&gt;0,IF(N9&lt;=$J$15,(($F$32+$F$33)/$J$15)/((1+($F$11/100))^N9),0),0)</f>
        <v>0</v>
      </c>
      <c r="Q9" s="21">
        <f t="shared" ref="Q9:Q48" si="2">IF(N9&gt;0,($F$38*((1+($F$14/100))^(N9-1)))/((1+($F$11/100))^N9),0)</f>
        <v>194.57245263696873</v>
      </c>
      <c r="R9" s="21">
        <f t="shared" ref="R9:R48" si="3">IF(N9&gt;0,$J$31/((1+($F$11/100))^N9),0)</f>
        <v>77.849462365591407</v>
      </c>
      <c r="S9" s="21">
        <f t="shared" ref="S9:S48" si="4">IF(N9&gt;0,(($F$17/100)*($F$18/100)*$B$17*W9)/((1+($F$11/100))^N9),0)</f>
        <v>0</v>
      </c>
      <c r="T9" s="20">
        <f t="shared" ref="T9:T48" si="5">IF(N9=$B$5,((((1-$J$12/100)^N9)*$B$44)/((1+($F$11/100))^N9))*-1,0)</f>
        <v>0</v>
      </c>
      <c r="U9" s="17">
        <f t="shared" si="0"/>
        <v>272.42191500256013</v>
      </c>
      <c r="V9" s="3"/>
      <c r="W9" s="6">
        <f t="shared" ref="W9:W48" si="6">IF(N9&gt;0,((((1-$J$12/100)^N9)*$B$44/((1+($F$11/100))^N9))),0)</f>
        <v>0</v>
      </c>
      <c r="X9" s="2"/>
      <c r="Y9" s="2"/>
      <c r="Z9" s="2" t="s">
        <v>174</v>
      </c>
      <c r="AA9" s="23">
        <f>B47</f>
        <v>0</v>
      </c>
      <c r="AB9" s="2" t="s">
        <v>3</v>
      </c>
      <c r="AC9" s="2"/>
      <c r="AD9" s="6"/>
      <c r="AE9" s="2"/>
      <c r="AF9" s="2"/>
      <c r="AG9" s="2"/>
      <c r="AH9" s="2"/>
    </row>
    <row r="10" spans="1:34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131</v>
      </c>
      <c r="J10" s="26">
        <f>1/43.2</f>
        <v>2.3148148148148147E-2</v>
      </c>
      <c r="K10" s="2" t="s">
        <v>132</v>
      </c>
      <c r="L10" s="14"/>
      <c r="M10" s="2"/>
      <c r="N10" s="11">
        <f t="shared" ref="N10:N48" si="7">IF((N9+1)&gt;$B$5,,IF(N9=0,,N9+1))</f>
        <v>2</v>
      </c>
      <c r="O10" s="11"/>
      <c r="P10" s="20">
        <f t="shared" si="1"/>
        <v>0</v>
      </c>
      <c r="Q10" s="21">
        <f t="shared" si="2"/>
        <v>187.16016872698899</v>
      </c>
      <c r="R10" s="21">
        <f t="shared" si="3"/>
        <v>74.142345110087049</v>
      </c>
      <c r="S10" s="21">
        <f t="shared" si="4"/>
        <v>0</v>
      </c>
      <c r="T10" s="20">
        <f t="shared" si="5"/>
        <v>0</v>
      </c>
      <c r="U10" s="17">
        <f t="shared" si="0"/>
        <v>261.30251383707605</v>
      </c>
      <c r="V10" s="3"/>
      <c r="W10" s="6">
        <f t="shared" si="6"/>
        <v>0</v>
      </c>
      <c r="X10" s="2"/>
      <c r="Y10" s="2"/>
      <c r="Z10" s="2" t="s">
        <v>42</v>
      </c>
      <c r="AA10" s="6">
        <f>F12</f>
        <v>13680</v>
      </c>
      <c r="AB10" s="2" t="s">
        <v>43</v>
      </c>
      <c r="AC10" s="2"/>
      <c r="AD10" s="6"/>
      <c r="AE10" s="2"/>
      <c r="AF10" s="2"/>
      <c r="AG10" s="2"/>
      <c r="AH10" s="2"/>
    </row>
    <row r="11" spans="1:34" x14ac:dyDescent="0.25">
      <c r="A11" s="24" t="s">
        <v>171</v>
      </c>
      <c r="B11" s="2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52</v>
      </c>
      <c r="J11" s="2">
        <v>10</v>
      </c>
      <c r="K11" s="2" t="s">
        <v>53</v>
      </c>
      <c r="L11" s="14"/>
      <c r="M11" s="2"/>
      <c r="N11" s="11">
        <f t="shared" si="7"/>
        <v>3</v>
      </c>
      <c r="O11" s="11"/>
      <c r="P11" s="20">
        <f t="shared" si="1"/>
        <v>0</v>
      </c>
      <c r="Q11" s="21">
        <f t="shared" si="2"/>
        <v>180.03025753738939</v>
      </c>
      <c r="R11" s="21">
        <f t="shared" si="3"/>
        <v>70.611757247701945</v>
      </c>
      <c r="S11" s="21">
        <f t="shared" si="4"/>
        <v>0</v>
      </c>
      <c r="T11" s="20">
        <f t="shared" si="5"/>
        <v>0</v>
      </c>
      <c r="U11" s="17">
        <f t="shared" si="0"/>
        <v>250.64201478509133</v>
      </c>
      <c r="V11" s="3"/>
      <c r="W11" s="6">
        <f t="shared" si="6"/>
        <v>0</v>
      </c>
      <c r="X11" s="2"/>
      <c r="Y11" s="2"/>
      <c r="Z11" s="15" t="s">
        <v>48</v>
      </c>
      <c r="AA11" s="6">
        <f>J36</f>
        <v>77.41935483870968</v>
      </c>
      <c r="AB11" s="2" t="s">
        <v>49</v>
      </c>
      <c r="AC11" s="2"/>
      <c r="AD11" s="6"/>
      <c r="AE11" s="2"/>
      <c r="AF11" s="2"/>
      <c r="AG11" s="2"/>
      <c r="AH11" s="2"/>
    </row>
    <row r="12" spans="1:34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13680</v>
      </c>
      <c r="G12" s="2" t="s">
        <v>43</v>
      </c>
      <c r="H12" s="14"/>
      <c r="I12" s="15" t="s">
        <v>60</v>
      </c>
      <c r="J12" s="2">
        <v>7.08</v>
      </c>
      <c r="K12" s="2" t="s">
        <v>61</v>
      </c>
      <c r="L12" s="14"/>
      <c r="M12" s="2"/>
      <c r="N12" s="11">
        <f t="shared" si="7"/>
        <v>4</v>
      </c>
      <c r="O12" s="11"/>
      <c r="P12" s="20">
        <f t="shared" si="1"/>
        <v>0</v>
      </c>
      <c r="Q12" s="21">
        <f t="shared" si="2"/>
        <v>173.17196201215552</v>
      </c>
      <c r="R12" s="21">
        <f t="shared" si="3"/>
        <v>67.249292616859009</v>
      </c>
      <c r="S12" s="21">
        <f t="shared" si="4"/>
        <v>0</v>
      </c>
      <c r="T12" s="20">
        <f t="shared" si="5"/>
        <v>0</v>
      </c>
      <c r="U12" s="17">
        <f t="shared" si="0"/>
        <v>240.42125462901453</v>
      </c>
      <c r="V12" s="3"/>
      <c r="W12" s="6">
        <f t="shared" si="6"/>
        <v>0</v>
      </c>
      <c r="X12" s="2"/>
      <c r="Y12" s="2"/>
      <c r="Z12" s="29"/>
      <c r="AA12" s="29"/>
      <c r="AB12" s="29"/>
      <c r="AC12" s="2"/>
      <c r="AD12" s="6"/>
      <c r="AE12" s="2"/>
      <c r="AF12" s="2"/>
      <c r="AG12" s="2"/>
      <c r="AH12" s="2"/>
    </row>
    <row r="13" spans="1:34" x14ac:dyDescent="0.25">
      <c r="A13" s="24" t="s">
        <v>50</v>
      </c>
      <c r="B13" s="2">
        <v>11</v>
      </c>
      <c r="C13" s="2" t="s">
        <v>38</v>
      </c>
      <c r="D13" s="2"/>
      <c r="E13" s="15" t="s">
        <v>129</v>
      </c>
      <c r="F13" s="6">
        <v>10000</v>
      </c>
      <c r="G13" s="2" t="s">
        <v>133</v>
      </c>
      <c r="H13" s="14"/>
      <c r="I13" s="15"/>
      <c r="J13" s="6"/>
      <c r="K13" s="2"/>
      <c r="L13" s="14"/>
      <c r="M13" s="2"/>
      <c r="N13" s="11">
        <f t="shared" si="7"/>
        <v>5</v>
      </c>
      <c r="O13" s="11"/>
      <c r="P13" s="20">
        <f t="shared" si="1"/>
        <v>0</v>
      </c>
      <c r="Q13" s="21">
        <f t="shared" si="2"/>
        <v>166.57493488788293</v>
      </c>
      <c r="R13" s="21">
        <f t="shared" si="3"/>
        <v>64.046945349389517</v>
      </c>
      <c r="S13" s="21">
        <f t="shared" si="4"/>
        <v>0</v>
      </c>
      <c r="T13" s="20">
        <f t="shared" si="5"/>
        <v>0</v>
      </c>
      <c r="U13" s="17">
        <f t="shared" si="0"/>
        <v>230.62188023727245</v>
      </c>
      <c r="V13" s="3"/>
      <c r="W13" s="6">
        <f t="shared" si="6"/>
        <v>0</v>
      </c>
      <c r="X13" s="2"/>
      <c r="Y13" s="2"/>
      <c r="Z13" s="2"/>
      <c r="AA13" s="2"/>
      <c r="AB13" s="2"/>
      <c r="AC13" s="2"/>
      <c r="AD13" s="6"/>
      <c r="AE13" s="2"/>
      <c r="AF13" s="2"/>
      <c r="AG13" s="2"/>
      <c r="AH13" s="2"/>
    </row>
    <row r="14" spans="1:34" x14ac:dyDescent="0.25">
      <c r="A14" s="24" t="s">
        <v>134</v>
      </c>
      <c r="B14" s="2">
        <v>0</v>
      </c>
      <c r="C14" s="2" t="s">
        <v>38</v>
      </c>
      <c r="D14" s="2"/>
      <c r="E14" s="15" t="s">
        <v>135</v>
      </c>
      <c r="F14" s="2">
        <v>1</v>
      </c>
      <c r="G14" s="2" t="s">
        <v>56</v>
      </c>
      <c r="H14" s="14"/>
      <c r="I14" s="1" t="s">
        <v>79</v>
      </c>
      <c r="J14" s="2"/>
      <c r="K14" s="2"/>
      <c r="L14" s="14"/>
      <c r="M14" s="2"/>
      <c r="N14" s="11">
        <f t="shared" si="7"/>
        <v>6</v>
      </c>
      <c r="O14" s="11"/>
      <c r="P14" s="20">
        <f t="shared" si="1"/>
        <v>0</v>
      </c>
      <c r="Q14" s="21">
        <f t="shared" si="2"/>
        <v>160.22922308263026</v>
      </c>
      <c r="R14" s="21">
        <f t="shared" si="3"/>
        <v>60.99709080894241</v>
      </c>
      <c r="S14" s="21">
        <f t="shared" si="4"/>
        <v>0</v>
      </c>
      <c r="T14" s="20">
        <f t="shared" si="5"/>
        <v>0</v>
      </c>
      <c r="U14" s="17">
        <f t="shared" si="0"/>
        <v>221.22631389157266</v>
      </c>
      <c r="V14" s="3"/>
      <c r="W14" s="6">
        <f t="shared" si="6"/>
        <v>0</v>
      </c>
      <c r="X14" s="2"/>
      <c r="Y14" s="2"/>
      <c r="Z14" s="2"/>
      <c r="AA14" s="2"/>
      <c r="AB14" s="2"/>
      <c r="AC14" s="2"/>
      <c r="AD14" s="6"/>
      <c r="AE14" s="2"/>
      <c r="AF14" s="2"/>
      <c r="AG14" s="2"/>
      <c r="AH14" s="2"/>
    </row>
    <row r="15" spans="1:34" x14ac:dyDescent="0.25">
      <c r="A15" s="2" t="s">
        <v>58</v>
      </c>
      <c r="B15" s="2">
        <v>0</v>
      </c>
      <c r="C15" s="2" t="s">
        <v>38</v>
      </c>
      <c r="D15" s="2"/>
      <c r="E15" s="15" t="s">
        <v>63</v>
      </c>
      <c r="F15" s="2">
        <v>0</v>
      </c>
      <c r="G15" s="2" t="s">
        <v>64</v>
      </c>
      <c r="H15" s="14"/>
      <c r="I15" s="15" t="s">
        <v>85</v>
      </c>
      <c r="J15" s="2">
        <v>5</v>
      </c>
      <c r="K15" s="2" t="s">
        <v>53</v>
      </c>
      <c r="L15" s="14"/>
      <c r="M15" s="2"/>
      <c r="N15" s="11">
        <f t="shared" si="7"/>
        <v>7</v>
      </c>
      <c r="O15" s="11"/>
      <c r="P15" s="20">
        <f t="shared" si="1"/>
        <v>0</v>
      </c>
      <c r="Q15" s="21">
        <f t="shared" si="2"/>
        <v>154.12525267948243</v>
      </c>
      <c r="R15" s="21">
        <f t="shared" si="3"/>
        <v>58.092467437087997</v>
      </c>
      <c r="S15" s="21">
        <f t="shared" si="4"/>
        <v>0</v>
      </c>
      <c r="T15" s="20">
        <f t="shared" si="5"/>
        <v>0</v>
      </c>
      <c r="U15" s="17">
        <f t="shared" si="0"/>
        <v>212.21772011657043</v>
      </c>
      <c r="V15" s="3"/>
      <c r="W15" s="6">
        <f t="shared" si="6"/>
        <v>0</v>
      </c>
      <c r="X15" s="2"/>
      <c r="Y15" s="2"/>
      <c r="Z15" s="2"/>
      <c r="AA15" s="2"/>
      <c r="AB15" s="2"/>
      <c r="AC15" s="2"/>
      <c r="AD15" s="6"/>
      <c r="AE15" s="2"/>
      <c r="AF15" s="2"/>
      <c r="AG15" s="2"/>
      <c r="AH15" s="2"/>
    </row>
    <row r="16" spans="1:34" x14ac:dyDescent="0.25">
      <c r="A16" s="24" t="s">
        <v>62</v>
      </c>
      <c r="B16" s="2">
        <v>0</v>
      </c>
      <c r="C16" s="2" t="s">
        <v>38</v>
      </c>
      <c r="D16" s="2"/>
      <c r="E16" s="15" t="s">
        <v>67</v>
      </c>
      <c r="F16" s="6">
        <v>0</v>
      </c>
      <c r="G16" s="2" t="s">
        <v>64</v>
      </c>
      <c r="H16" s="14"/>
      <c r="I16" s="15" t="s">
        <v>89</v>
      </c>
      <c r="J16" s="2">
        <v>30</v>
      </c>
      <c r="K16" s="2" t="s">
        <v>90</v>
      </c>
      <c r="L16" s="14"/>
      <c r="M16" s="2"/>
      <c r="N16" s="11">
        <f t="shared" si="7"/>
        <v>8</v>
      </c>
      <c r="O16" s="11"/>
      <c r="P16" s="20">
        <f t="shared" si="1"/>
        <v>0</v>
      </c>
      <c r="Q16" s="21">
        <f t="shared" si="2"/>
        <v>148.25381448216879</v>
      </c>
      <c r="R16" s="21">
        <f t="shared" si="3"/>
        <v>55.32615946389334</v>
      </c>
      <c r="S16" s="21">
        <f t="shared" si="4"/>
        <v>0</v>
      </c>
      <c r="T16" s="20">
        <f t="shared" si="5"/>
        <v>0</v>
      </c>
      <c r="U16" s="17">
        <f t="shared" si="0"/>
        <v>203.57997394606213</v>
      </c>
      <c r="V16" s="3"/>
      <c r="W16" s="6">
        <f t="shared" si="6"/>
        <v>0</v>
      </c>
      <c r="X16" s="2"/>
      <c r="Y16" s="2"/>
      <c r="Z16" s="2"/>
      <c r="AA16" s="2"/>
      <c r="AB16" s="2"/>
      <c r="AC16" s="2"/>
      <c r="AD16" s="6"/>
      <c r="AE16" s="2"/>
      <c r="AF16" s="2"/>
      <c r="AG16" s="2"/>
      <c r="AH16" s="2"/>
    </row>
    <row r="17" spans="1:40" x14ac:dyDescent="0.25">
      <c r="A17" s="24" t="s">
        <v>66</v>
      </c>
      <c r="B17" s="2">
        <v>1</v>
      </c>
      <c r="C17" s="2"/>
      <c r="D17" s="2"/>
      <c r="E17" s="15" t="s">
        <v>70</v>
      </c>
      <c r="F17" s="2">
        <v>100</v>
      </c>
      <c r="G17" s="2" t="s">
        <v>38</v>
      </c>
      <c r="H17" s="14"/>
      <c r="I17" s="2"/>
      <c r="J17" s="2"/>
      <c r="K17" s="2"/>
      <c r="L17" s="14"/>
      <c r="M17" s="2"/>
      <c r="N17" s="11">
        <f t="shared" si="7"/>
        <v>9</v>
      </c>
      <c r="O17" s="11"/>
      <c r="P17" s="20">
        <f t="shared" si="1"/>
        <v>0</v>
      </c>
      <c r="Q17" s="21">
        <f t="shared" si="2"/>
        <v>142.60605012094334</v>
      </c>
      <c r="R17" s="21">
        <f t="shared" si="3"/>
        <v>52.691580441803175</v>
      </c>
      <c r="S17" s="21">
        <f t="shared" si="4"/>
        <v>0</v>
      </c>
      <c r="T17" s="20">
        <f t="shared" si="5"/>
        <v>0</v>
      </c>
      <c r="U17" s="17">
        <f t="shared" si="0"/>
        <v>195.29763056274652</v>
      </c>
      <c r="V17" s="3"/>
      <c r="W17" s="6">
        <f t="shared" si="6"/>
        <v>0</v>
      </c>
      <c r="X17" s="2"/>
      <c r="Y17" s="2"/>
      <c r="Z17" s="2"/>
      <c r="AA17" s="2"/>
      <c r="AB17" s="2"/>
      <c r="AC17" s="2"/>
      <c r="AD17" s="6"/>
      <c r="AE17" s="2"/>
      <c r="AF17" s="2"/>
      <c r="AG17" s="2"/>
      <c r="AH17" s="2"/>
    </row>
    <row r="18" spans="1:40" x14ac:dyDescent="0.25">
      <c r="A18" s="24" t="s">
        <v>179</v>
      </c>
      <c r="B18" s="2">
        <v>12.5</v>
      </c>
      <c r="C18" s="2" t="s">
        <v>38</v>
      </c>
      <c r="D18" s="2"/>
      <c r="E18" s="15" t="s">
        <v>71</v>
      </c>
      <c r="F18" s="2">
        <v>1.5</v>
      </c>
      <c r="G18" s="2" t="s">
        <v>38</v>
      </c>
      <c r="H18" s="14"/>
      <c r="I18" s="15"/>
      <c r="J18" s="2"/>
      <c r="K18" s="2"/>
      <c r="L18" s="14"/>
      <c r="M18" s="2"/>
      <c r="N18" s="11">
        <f t="shared" si="7"/>
        <v>10</v>
      </c>
      <c r="O18" s="11"/>
      <c r="P18" s="20">
        <f t="shared" si="1"/>
        <v>0</v>
      </c>
      <c r="Q18" s="21">
        <f t="shared" si="2"/>
        <v>137.17343868776456</v>
      </c>
      <c r="R18" s="21">
        <f t="shared" si="3"/>
        <v>50.182457563622073</v>
      </c>
      <c r="S18" s="21">
        <f t="shared" si="4"/>
        <v>0</v>
      </c>
      <c r="T18" s="20">
        <f t="shared" si="5"/>
        <v>0</v>
      </c>
      <c r="U18" s="17">
        <f t="shared" si="0"/>
        <v>187.35589625138664</v>
      </c>
      <c r="V18" s="3"/>
      <c r="W18" s="6">
        <f t="shared" si="6"/>
        <v>0</v>
      </c>
      <c r="X18" s="2"/>
      <c r="Y18" s="2"/>
      <c r="Z18" s="2"/>
      <c r="AA18" s="2"/>
      <c r="AB18" s="2"/>
      <c r="AC18" s="2"/>
      <c r="AD18" s="6"/>
      <c r="AE18" s="2"/>
      <c r="AF18" s="2"/>
      <c r="AG18" s="2"/>
      <c r="AH18" s="2"/>
    </row>
    <row r="19" spans="1:40" x14ac:dyDescent="0.25">
      <c r="A19" s="24" t="s">
        <v>180</v>
      </c>
      <c r="B19" s="2">
        <v>0</v>
      </c>
      <c r="C19" s="2" t="s">
        <v>38</v>
      </c>
      <c r="D19" s="2"/>
      <c r="E19" s="15" t="s">
        <v>74</v>
      </c>
      <c r="F19" s="6">
        <v>35000</v>
      </c>
      <c r="G19" s="2" t="s">
        <v>64</v>
      </c>
      <c r="H19" s="14"/>
      <c r="I19" s="2"/>
      <c r="J19" s="2"/>
      <c r="K19" s="2"/>
      <c r="L19" s="14"/>
      <c r="M19" s="2"/>
      <c r="N19" s="11">
        <f t="shared" si="7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0">
        <f t="shared" si="5"/>
        <v>0</v>
      </c>
      <c r="U19" s="17">
        <f t="shared" si="0"/>
        <v>0</v>
      </c>
      <c r="V19" s="3"/>
      <c r="W19" s="6">
        <f t="shared" si="6"/>
        <v>0</v>
      </c>
      <c r="X19" s="2"/>
      <c r="Y19" s="2"/>
      <c r="Z19" s="2"/>
      <c r="AA19" s="2"/>
      <c r="AB19" s="2"/>
      <c r="AC19" s="2"/>
      <c r="AD19" s="6"/>
      <c r="AE19" s="2"/>
      <c r="AF19" s="2"/>
      <c r="AG19" s="2"/>
      <c r="AH19" s="2"/>
    </row>
    <row r="20" spans="1:40" x14ac:dyDescent="0.25">
      <c r="A20" s="24" t="s">
        <v>73</v>
      </c>
      <c r="B20" s="2">
        <v>0</v>
      </c>
      <c r="C20" s="2" t="s">
        <v>38</v>
      </c>
      <c r="D20" s="2"/>
      <c r="E20" s="15" t="s">
        <v>48</v>
      </c>
      <c r="F20" s="5">
        <v>1200000</v>
      </c>
      <c r="G20" s="2" t="s">
        <v>64</v>
      </c>
      <c r="H20" s="14"/>
      <c r="I20" s="2"/>
      <c r="J20" s="2"/>
      <c r="K20" s="2"/>
      <c r="L20" s="14"/>
      <c r="M20" s="2"/>
      <c r="N20" s="11">
        <f t="shared" si="7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0">
        <f t="shared" si="5"/>
        <v>0</v>
      </c>
      <c r="U20" s="17">
        <f t="shared" si="0"/>
        <v>0</v>
      </c>
      <c r="V20" s="3"/>
      <c r="W20" s="6">
        <f t="shared" si="6"/>
        <v>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40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84</v>
      </c>
      <c r="F21" s="2">
        <v>9.3000000000000007</v>
      </c>
      <c r="G21" s="2" t="s">
        <v>61</v>
      </c>
      <c r="H21" s="14"/>
      <c r="I21" s="2"/>
      <c r="J21" s="2"/>
      <c r="K21" s="2"/>
      <c r="L21" s="14"/>
      <c r="M21" s="2"/>
      <c r="N21" s="11">
        <f t="shared" si="7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0">
        <f t="shared" si="5"/>
        <v>0</v>
      </c>
      <c r="U21" s="17">
        <f t="shared" si="0"/>
        <v>0</v>
      </c>
      <c r="V21" s="3"/>
      <c r="W21" s="6">
        <f t="shared" si="6"/>
        <v>0</v>
      </c>
      <c r="X21" s="2"/>
      <c r="Y21" s="2"/>
      <c r="Z21" s="27" t="s">
        <v>129</v>
      </c>
      <c r="AA21" s="28"/>
      <c r="AB21" s="28"/>
      <c r="AC21" s="28"/>
      <c r="AD21" s="2"/>
      <c r="AE21" s="27" t="s">
        <v>28</v>
      </c>
      <c r="AF21" s="28"/>
      <c r="AG21" s="28"/>
      <c r="AH21" s="28"/>
      <c r="AJ21" s="76" t="s">
        <v>80</v>
      </c>
      <c r="AK21" s="76" t="s">
        <v>183</v>
      </c>
      <c r="AL21" s="76" t="s">
        <v>184</v>
      </c>
      <c r="AM21" s="76" t="s">
        <v>48</v>
      </c>
      <c r="AN21" s="76" t="s">
        <v>185</v>
      </c>
    </row>
    <row r="22" spans="1:40" ht="15.75" customHeight="1" x14ac:dyDescent="0.25">
      <c r="A22" s="24" t="s">
        <v>78</v>
      </c>
      <c r="B22" s="2">
        <v>0</v>
      </c>
      <c r="C22" s="2" t="s">
        <v>38</v>
      </c>
      <c r="D22" s="2"/>
      <c r="E22" s="2" t="s">
        <v>88</v>
      </c>
      <c r="F22" s="2">
        <f>(100000+60000)/5</f>
        <v>32000</v>
      </c>
      <c r="G22" s="2" t="s">
        <v>64</v>
      </c>
      <c r="H22" s="14"/>
      <c r="I22" s="2"/>
      <c r="J22" s="2"/>
      <c r="K22" s="2"/>
      <c r="L22" s="14"/>
      <c r="M22" s="2"/>
      <c r="N22" s="11">
        <f t="shared" si="7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0">
        <f t="shared" si="5"/>
        <v>0</v>
      </c>
      <c r="U22" s="17">
        <f t="shared" si="0"/>
        <v>0</v>
      </c>
      <c r="V22" s="3"/>
      <c r="W22" s="6">
        <f t="shared" si="6"/>
        <v>0</v>
      </c>
      <c r="X22" s="2"/>
      <c r="Y22" s="2"/>
      <c r="Z22" s="28" t="s">
        <v>80</v>
      </c>
      <c r="AA22" s="28" t="s">
        <v>136</v>
      </c>
      <c r="AB22" s="28" t="s">
        <v>23</v>
      </c>
      <c r="AC22" s="28" t="s">
        <v>82</v>
      </c>
      <c r="AD22" s="2"/>
      <c r="AE22" s="28" t="s">
        <v>80</v>
      </c>
      <c r="AF22" s="28" t="s">
        <v>83</v>
      </c>
      <c r="AG22" s="28" t="s">
        <v>23</v>
      </c>
      <c r="AH22" s="28" t="s">
        <v>82</v>
      </c>
      <c r="AJ22" s="77">
        <v>-50</v>
      </c>
      <c r="AK22" s="78">
        <f>AH24</f>
        <v>-8.6101157456642454</v>
      </c>
      <c r="AL22" s="78">
        <f>AC24</f>
        <v>-36.128233184426996</v>
      </c>
      <c r="AM22" s="79">
        <f t="shared" ref="AM22:AM32" si="8">AC39</f>
        <v>-13.138216399911324</v>
      </c>
      <c r="AN22" s="79">
        <f t="shared" ref="AN22:AN32" si="9">AH39</f>
        <v>-36.128233184426996</v>
      </c>
    </row>
    <row r="23" spans="1:40" ht="15.75" customHeight="1" x14ac:dyDescent="0.25">
      <c r="A23" s="2"/>
      <c r="B23" s="2"/>
      <c r="C23" s="2"/>
      <c r="D23" s="2"/>
      <c r="E23" s="2"/>
      <c r="F23" s="2"/>
      <c r="G23" s="2"/>
      <c r="H23" s="14"/>
      <c r="I23" s="2"/>
      <c r="J23" s="2"/>
      <c r="K23" s="2"/>
      <c r="L23" s="14"/>
      <c r="M23" s="2"/>
      <c r="N23" s="11">
        <f t="shared" si="7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0">
        <f t="shared" si="5"/>
        <v>0</v>
      </c>
      <c r="U23" s="17">
        <f t="shared" si="0"/>
        <v>0</v>
      </c>
      <c r="V23" s="3"/>
      <c r="W23" s="6">
        <f t="shared" si="6"/>
        <v>0</v>
      </c>
      <c r="X23" s="2"/>
      <c r="Y23" s="2"/>
      <c r="Z23" s="28" t="s">
        <v>87</v>
      </c>
      <c r="AA23" s="30">
        <v>0.64516129032258063</v>
      </c>
      <c r="AB23" s="31">
        <f>U49</f>
        <v>2275.0871132593534</v>
      </c>
      <c r="AC23" s="28"/>
      <c r="AD23" s="2"/>
      <c r="AE23" s="28" t="s">
        <v>87</v>
      </c>
      <c r="AF23" s="32">
        <v>398.38709677419354</v>
      </c>
      <c r="AG23" s="31">
        <f>U49</f>
        <v>2275.0871132593534</v>
      </c>
      <c r="AH23" s="28"/>
      <c r="AJ23" s="77">
        <v>-40</v>
      </c>
      <c r="AK23" s="78">
        <f>AH25</f>
        <v>-6.8880925965313979</v>
      </c>
      <c r="AL23" s="78">
        <f t="shared" ref="AL23:AL32" si="10">AC25</f>
        <v>-28.902586547541592</v>
      </c>
      <c r="AM23" s="79">
        <f t="shared" si="8"/>
        <v>-10.510573119929063</v>
      </c>
      <c r="AN23" s="79">
        <f t="shared" si="9"/>
        <v>-28.90258654754161</v>
      </c>
    </row>
    <row r="24" spans="1:40" ht="15.75" customHeight="1" x14ac:dyDescent="0.25">
      <c r="A24" s="13"/>
      <c r="B24" s="2"/>
      <c r="C24" s="2"/>
      <c r="D24" s="2"/>
      <c r="E24" s="2"/>
      <c r="F24" s="2"/>
      <c r="G24" s="2"/>
      <c r="H24" s="14"/>
      <c r="I24" s="2"/>
      <c r="J24" s="2"/>
      <c r="K24" s="2"/>
      <c r="L24" s="14"/>
      <c r="M24" s="2"/>
      <c r="N24" s="11">
        <f t="shared" si="7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0">
        <f t="shared" si="5"/>
        <v>0</v>
      </c>
      <c r="U24" s="17">
        <f t="shared" si="0"/>
        <v>0</v>
      </c>
      <c r="V24" s="3"/>
      <c r="W24" s="6">
        <f t="shared" si="6"/>
        <v>0</v>
      </c>
      <c r="X24" s="2"/>
      <c r="Y24" s="2"/>
      <c r="Z24" s="28">
        <f t="shared" ref="Z24:Z28" si="11">Z25-10</f>
        <v>-50</v>
      </c>
      <c r="AA24" s="30">
        <f t="shared" ref="AA24:AA34" si="12">$AA$23*(1+(Z24/100))</f>
        <v>0.32258064516129031</v>
      </c>
      <c r="AB24" s="31">
        <f t="dataTable" ref="AB24:AB34" dt2D="0" dtr="0" r1="F36" ca="1"/>
        <v>1453.1383358321655</v>
      </c>
      <c r="AC24" s="36">
        <f t="shared" ref="AC24:AC34" si="13">100*((AB24-$AB$29)/$AB$29)</f>
        <v>-36.128233184426996</v>
      </c>
      <c r="AD24" s="2"/>
      <c r="AE24" s="28">
        <f t="shared" ref="AE24:AE28" si="14">AE25-10</f>
        <v>-50</v>
      </c>
      <c r="AF24" s="32">
        <f t="shared" ref="AF24:AF34" si="15">$AF$23*(1+(AE24/100))</f>
        <v>199.19354838709677</v>
      </c>
      <c r="AG24" s="31">
        <f t="dataTable" ref="AG24:AG34" dt2D="0" dtr="0" r1="B47" ca="1"/>
        <v>2511.7242013973823</v>
      </c>
      <c r="AH24" s="36">
        <f t="shared" ref="AH24:AH34" si="16">100*((AG24-$AG$29)/$AG$29)</f>
        <v>-8.6101157456642454</v>
      </c>
      <c r="AJ24" s="77">
        <v>-30</v>
      </c>
      <c r="AK24" s="78">
        <f t="shared" ref="AK24:AK32" si="17">AH26</f>
        <v>-5.1660694473985478</v>
      </c>
      <c r="AL24" s="78">
        <f t="shared" si="10"/>
        <v>-21.676939910656227</v>
      </c>
      <c r="AM24" s="79">
        <f t="shared" si="8"/>
        <v>-7.8829298399468017</v>
      </c>
      <c r="AN24" s="79">
        <f t="shared" si="9"/>
        <v>-21.676939910656195</v>
      </c>
    </row>
    <row r="25" spans="1:40" ht="15.75" customHeight="1" x14ac:dyDescent="0.25">
      <c r="A25" s="13"/>
      <c r="B25" s="2"/>
      <c r="C25" s="2"/>
      <c r="D25" s="2"/>
      <c r="E25" s="2"/>
      <c r="F25" s="2"/>
      <c r="G25" s="2"/>
      <c r="H25" s="14"/>
      <c r="I25" s="2"/>
      <c r="J25" s="2"/>
      <c r="K25" s="2"/>
      <c r="L25" s="14"/>
      <c r="M25" s="2"/>
      <c r="N25" s="11">
        <f t="shared" si="7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0">
        <f t="shared" si="5"/>
        <v>0</v>
      </c>
      <c r="U25" s="17">
        <f t="shared" si="0"/>
        <v>0</v>
      </c>
      <c r="V25" s="3"/>
      <c r="W25" s="6">
        <f t="shared" si="6"/>
        <v>0</v>
      </c>
      <c r="X25" s="2"/>
      <c r="Y25" s="2"/>
      <c r="Z25" s="28">
        <f t="shared" si="11"/>
        <v>-40</v>
      </c>
      <c r="AA25" s="30">
        <f t="shared" si="12"/>
        <v>0.38709677419354838</v>
      </c>
      <c r="AB25" s="31">
        <v>1617.5280913176032</v>
      </c>
      <c r="AC25" s="36">
        <f t="shared" si="13"/>
        <v>-28.902586547541592</v>
      </c>
      <c r="AD25" s="2"/>
      <c r="AE25" s="28">
        <f t="shared" si="14"/>
        <v>-40</v>
      </c>
      <c r="AF25" s="32">
        <f t="shared" si="15"/>
        <v>239.0322580645161</v>
      </c>
      <c r="AG25" s="31">
        <v>2559.0516190249882</v>
      </c>
      <c r="AH25" s="36">
        <f t="shared" si="16"/>
        <v>-6.8880925965313979</v>
      </c>
      <c r="AJ25" s="77">
        <v>-20</v>
      </c>
      <c r="AK25" s="78">
        <f t="shared" si="17"/>
        <v>-3.444046298265699</v>
      </c>
      <c r="AL25" s="78">
        <f t="shared" si="10"/>
        <v>-14.45129327377081</v>
      </c>
      <c r="AM25" s="79">
        <f t="shared" si="8"/>
        <v>-5.2552865599645413</v>
      </c>
      <c r="AN25" s="79">
        <f t="shared" si="9"/>
        <v>-14.451293273770821</v>
      </c>
    </row>
    <row r="26" spans="1:40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/>
      <c r="J26" s="39"/>
      <c r="K26" s="39"/>
      <c r="L26" s="40"/>
      <c r="M26" s="2"/>
      <c r="N26" s="11">
        <f t="shared" si="7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0">
        <f t="shared" si="5"/>
        <v>0</v>
      </c>
      <c r="U26" s="17">
        <f t="shared" si="0"/>
        <v>0</v>
      </c>
      <c r="V26" s="3"/>
      <c r="W26" s="6">
        <f t="shared" si="6"/>
        <v>0</v>
      </c>
      <c r="X26" s="2"/>
      <c r="Y26" s="2"/>
      <c r="Z26" s="28">
        <f t="shared" si="11"/>
        <v>-30</v>
      </c>
      <c r="AA26" s="30">
        <f t="shared" si="12"/>
        <v>0.45161290322580638</v>
      </c>
      <c r="AB26" s="31">
        <v>1781.91784680304</v>
      </c>
      <c r="AC26" s="36">
        <f t="shared" si="13"/>
        <v>-21.676939910656227</v>
      </c>
      <c r="AD26" s="2"/>
      <c r="AE26" s="28">
        <f t="shared" si="14"/>
        <v>-30</v>
      </c>
      <c r="AF26" s="32">
        <f t="shared" si="15"/>
        <v>278.87096774193543</v>
      </c>
      <c r="AG26" s="31">
        <v>2606.3790366525941</v>
      </c>
      <c r="AH26" s="36">
        <f t="shared" si="16"/>
        <v>-5.1660694473985478</v>
      </c>
      <c r="AJ26" s="77">
        <v>-10</v>
      </c>
      <c r="AK26" s="78">
        <f t="shared" si="17"/>
        <v>-1.7220231491328657</v>
      </c>
      <c r="AL26" s="78">
        <f t="shared" si="10"/>
        <v>-7.2256466368853953</v>
      </c>
      <c r="AM26" s="79">
        <f t="shared" si="8"/>
        <v>-2.6276432799822809</v>
      </c>
      <c r="AN26" s="79">
        <f t="shared" si="9"/>
        <v>-7.2256466368854149</v>
      </c>
    </row>
    <row r="27" spans="1:40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7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0">
        <f t="shared" si="5"/>
        <v>0</v>
      </c>
      <c r="U27" s="17">
        <f t="shared" si="0"/>
        <v>0</v>
      </c>
      <c r="V27" s="3"/>
      <c r="W27" s="6">
        <f t="shared" si="6"/>
        <v>0</v>
      </c>
      <c r="X27" s="2"/>
      <c r="Y27" s="2"/>
      <c r="Z27" s="28">
        <f t="shared" si="11"/>
        <v>-20</v>
      </c>
      <c r="AA27" s="30">
        <f t="shared" si="12"/>
        <v>0.5161290322580645</v>
      </c>
      <c r="AB27" s="31">
        <v>1946.3076022884779</v>
      </c>
      <c r="AC27" s="36">
        <f t="shared" si="13"/>
        <v>-14.45129327377081</v>
      </c>
      <c r="AD27" s="2"/>
      <c r="AE27" s="28">
        <f t="shared" si="14"/>
        <v>-20</v>
      </c>
      <c r="AF27" s="32">
        <f t="shared" si="15"/>
        <v>318.70967741935488</v>
      </c>
      <c r="AG27" s="31">
        <v>2653.7064542802</v>
      </c>
      <c r="AH27" s="36">
        <f t="shared" si="16"/>
        <v>-3.444046298265699</v>
      </c>
      <c r="AJ27" s="77">
        <v>0</v>
      </c>
      <c r="AK27" s="78">
        <f t="shared" si="17"/>
        <v>0</v>
      </c>
      <c r="AL27" s="78">
        <f t="shared" si="10"/>
        <v>0</v>
      </c>
      <c r="AM27" s="79">
        <f t="shared" si="8"/>
        <v>0</v>
      </c>
      <c r="AN27" s="79">
        <f t="shared" si="9"/>
        <v>0</v>
      </c>
    </row>
    <row r="28" spans="1:40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7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0">
        <f t="shared" si="5"/>
        <v>0</v>
      </c>
      <c r="U28" s="17">
        <f t="shared" si="0"/>
        <v>0</v>
      </c>
      <c r="V28" s="3"/>
      <c r="W28" s="6">
        <f t="shared" si="6"/>
        <v>0</v>
      </c>
      <c r="X28" s="2"/>
      <c r="Y28" s="2"/>
      <c r="Z28" s="28">
        <f t="shared" si="11"/>
        <v>-10</v>
      </c>
      <c r="AA28" s="30">
        <f t="shared" si="12"/>
        <v>0.58064516129032262</v>
      </c>
      <c r="AB28" s="31">
        <v>2110.6973577739159</v>
      </c>
      <c r="AC28" s="36">
        <f t="shared" si="13"/>
        <v>-7.2256466368853953</v>
      </c>
      <c r="AD28" s="2"/>
      <c r="AE28" s="28">
        <f t="shared" si="14"/>
        <v>-10</v>
      </c>
      <c r="AF28" s="32">
        <f t="shared" si="15"/>
        <v>358.54838709677421</v>
      </c>
      <c r="AG28" s="31">
        <v>2701.0338719078054</v>
      </c>
      <c r="AH28" s="36">
        <f t="shared" si="16"/>
        <v>-1.7220231491328657</v>
      </c>
      <c r="AJ28" s="77">
        <v>10</v>
      </c>
      <c r="AK28" s="78">
        <f t="shared" si="17"/>
        <v>1.7220231491328328</v>
      </c>
      <c r="AL28" s="78">
        <f t="shared" si="10"/>
        <v>7.2256466368853953</v>
      </c>
      <c r="AM28" s="79">
        <f t="shared" si="8"/>
        <v>2.6276432799822409</v>
      </c>
      <c r="AN28" s="79">
        <f t="shared" si="9"/>
        <v>7.2256466368853758</v>
      </c>
    </row>
    <row r="29" spans="1:40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7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0">
        <f t="shared" si="5"/>
        <v>0</v>
      </c>
      <c r="U29" s="17">
        <f t="shared" si="0"/>
        <v>0</v>
      </c>
      <c r="V29" s="3"/>
      <c r="W29" s="6">
        <f t="shared" si="6"/>
        <v>0</v>
      </c>
      <c r="X29" s="2"/>
      <c r="Y29" s="2"/>
      <c r="Z29" s="41">
        <v>0</v>
      </c>
      <c r="AA29" s="55">
        <f t="shared" si="12"/>
        <v>0.64516129032258063</v>
      </c>
      <c r="AB29" s="42">
        <v>2275.0871132593534</v>
      </c>
      <c r="AC29" s="56">
        <f t="shared" si="13"/>
        <v>0</v>
      </c>
      <c r="AD29" s="2"/>
      <c r="AE29" s="41">
        <v>0</v>
      </c>
      <c r="AF29" s="47">
        <f t="shared" si="15"/>
        <v>398.38709677419354</v>
      </c>
      <c r="AG29" s="42">
        <v>2748.3612895354117</v>
      </c>
      <c r="AH29" s="56">
        <f t="shared" si="16"/>
        <v>0</v>
      </c>
      <c r="AJ29" s="77">
        <v>20</v>
      </c>
      <c r="AK29" s="78">
        <f t="shared" si="17"/>
        <v>3.4440462982656821</v>
      </c>
      <c r="AL29" s="78">
        <f t="shared" si="10"/>
        <v>14.451293273770771</v>
      </c>
      <c r="AM29" s="79">
        <f t="shared" si="8"/>
        <v>5.2552865599645022</v>
      </c>
      <c r="AN29" s="79">
        <f t="shared" si="9"/>
        <v>14.451293273770771</v>
      </c>
    </row>
    <row r="30" spans="1:40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/>
      <c r="J30" s="43"/>
      <c r="K30" s="8"/>
      <c r="L30" s="9"/>
      <c r="M30" s="2"/>
      <c r="N30" s="11">
        <f t="shared" si="7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0">
        <f t="shared" si="5"/>
        <v>0</v>
      </c>
      <c r="U30" s="17">
        <f t="shared" si="0"/>
        <v>0</v>
      </c>
      <c r="V30" s="3"/>
      <c r="W30" s="6">
        <f t="shared" si="6"/>
        <v>0</v>
      </c>
      <c r="X30" s="2"/>
      <c r="Y30" s="2"/>
      <c r="Z30" s="28">
        <f t="shared" ref="Z30:Z34" si="18">Z29+10</f>
        <v>10</v>
      </c>
      <c r="AA30" s="30">
        <f t="shared" si="12"/>
        <v>0.70967741935483875</v>
      </c>
      <c r="AB30" s="31">
        <v>2439.4768687447909</v>
      </c>
      <c r="AC30" s="36">
        <f t="shared" si="13"/>
        <v>7.2256466368853953</v>
      </c>
      <c r="AD30" s="2"/>
      <c r="AE30" s="28">
        <f t="shared" ref="AE30:AE34" si="19">AE29+10</f>
        <v>10</v>
      </c>
      <c r="AF30" s="32">
        <f t="shared" si="15"/>
        <v>438.22580645161293</v>
      </c>
      <c r="AG30" s="31">
        <v>2795.6887071630172</v>
      </c>
      <c r="AH30" s="36">
        <f t="shared" si="16"/>
        <v>1.7220231491328328</v>
      </c>
      <c r="AJ30" s="77">
        <v>30</v>
      </c>
      <c r="AK30" s="78">
        <f t="shared" si="17"/>
        <v>5.1660694473985309</v>
      </c>
      <c r="AL30" s="78">
        <f t="shared" si="10"/>
        <v>21.676939910656166</v>
      </c>
      <c r="AM30" s="79">
        <f t="shared" si="8"/>
        <v>7.8829298399467618</v>
      </c>
      <c r="AN30" s="79">
        <f t="shared" si="9"/>
        <v>21.676939910656145</v>
      </c>
    </row>
    <row r="31" spans="1:40" ht="15.75" customHeight="1" x14ac:dyDescent="0.25">
      <c r="A31" s="24" t="s">
        <v>171</v>
      </c>
      <c r="B31" s="6">
        <f t="shared" ref="B31:B32" si="20">IF(B11=0,0,-(B11/100)*$B$45)</f>
        <v>0</v>
      </c>
      <c r="C31" s="2" t="s">
        <v>3</v>
      </c>
      <c r="D31" s="2"/>
      <c r="E31" s="15" t="s">
        <v>95</v>
      </c>
      <c r="F31" s="23">
        <f>(J16/100)*B47</f>
        <v>0</v>
      </c>
      <c r="G31" s="2" t="s">
        <v>3</v>
      </c>
      <c r="H31" s="2"/>
      <c r="I31" s="1" t="s">
        <v>106</v>
      </c>
      <c r="J31" s="45">
        <f>SUM(J32:J36)</f>
        <v>81.741935483870975</v>
      </c>
      <c r="K31" s="1" t="s">
        <v>49</v>
      </c>
      <c r="L31" s="14"/>
      <c r="M31" s="2"/>
      <c r="N31" s="11">
        <f t="shared" si="7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0">
        <f t="shared" si="5"/>
        <v>0</v>
      </c>
      <c r="U31" s="17">
        <f t="shared" si="0"/>
        <v>0</v>
      </c>
      <c r="V31" s="3"/>
      <c r="W31" s="6">
        <f t="shared" si="6"/>
        <v>0</v>
      </c>
      <c r="X31" s="2"/>
      <c r="Y31" s="2"/>
      <c r="Z31" s="28">
        <f t="shared" si="18"/>
        <v>20</v>
      </c>
      <c r="AA31" s="30">
        <f t="shared" si="12"/>
        <v>0.77419354838709675</v>
      </c>
      <c r="AB31" s="31">
        <v>2603.8666242302279</v>
      </c>
      <c r="AC31" s="36">
        <f t="shared" si="13"/>
        <v>14.451293273770771</v>
      </c>
      <c r="AD31" s="2"/>
      <c r="AE31" s="28">
        <f t="shared" si="19"/>
        <v>20</v>
      </c>
      <c r="AF31" s="32">
        <f t="shared" si="15"/>
        <v>478.0645161290322</v>
      </c>
      <c r="AG31" s="31">
        <v>2843.0161247906231</v>
      </c>
      <c r="AH31" s="36">
        <f t="shared" si="16"/>
        <v>3.4440462982656821</v>
      </c>
      <c r="AJ31" s="77">
        <v>40</v>
      </c>
      <c r="AK31" s="78">
        <f t="shared" si="17"/>
        <v>6.8880925965313642</v>
      </c>
      <c r="AL31" s="78">
        <f t="shared" si="10"/>
        <v>28.902586547541542</v>
      </c>
      <c r="AM31" s="79">
        <f t="shared" si="8"/>
        <v>10.510573119929004</v>
      </c>
      <c r="AN31" s="79">
        <f t="shared" si="9"/>
        <v>28.902586547541542</v>
      </c>
    </row>
    <row r="32" spans="1:40" ht="15.75" customHeight="1" x14ac:dyDescent="0.25">
      <c r="A32" s="24" t="s">
        <v>44</v>
      </c>
      <c r="B32" s="6">
        <f t="shared" si="20"/>
        <v>0</v>
      </c>
      <c r="C32" s="2" t="s">
        <v>3</v>
      </c>
      <c r="D32" s="2"/>
      <c r="E32" s="15" t="s">
        <v>97</v>
      </c>
      <c r="F32" s="6">
        <f>B47-F31</f>
        <v>0</v>
      </c>
      <c r="G32" s="2" t="s">
        <v>3</v>
      </c>
      <c r="H32" s="2"/>
      <c r="I32" s="15" t="s">
        <v>110</v>
      </c>
      <c r="J32" s="26">
        <f>F16/$B$8</f>
        <v>0</v>
      </c>
      <c r="K32" s="2" t="s">
        <v>49</v>
      </c>
      <c r="L32" s="14"/>
      <c r="M32" s="2"/>
      <c r="N32" s="11">
        <f t="shared" si="7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0">
        <f t="shared" si="5"/>
        <v>0</v>
      </c>
      <c r="U32" s="17">
        <f t="shared" si="0"/>
        <v>0</v>
      </c>
      <c r="V32" s="3"/>
      <c r="W32" s="6">
        <f t="shared" si="6"/>
        <v>0</v>
      </c>
      <c r="X32" s="2"/>
      <c r="Y32" s="2"/>
      <c r="Z32" s="28">
        <f t="shared" si="18"/>
        <v>30</v>
      </c>
      <c r="AA32" s="30">
        <f t="shared" si="12"/>
        <v>0.83870967741935487</v>
      </c>
      <c r="AB32" s="31">
        <v>2768.2563797156654</v>
      </c>
      <c r="AC32" s="36">
        <f t="shared" si="13"/>
        <v>21.676939910656166</v>
      </c>
      <c r="AD32" s="2"/>
      <c r="AE32" s="28">
        <f t="shared" si="19"/>
        <v>30</v>
      </c>
      <c r="AF32" s="32">
        <f t="shared" si="15"/>
        <v>517.90322580645159</v>
      </c>
      <c r="AG32" s="31">
        <v>2890.3435424182289</v>
      </c>
      <c r="AH32" s="36">
        <f t="shared" si="16"/>
        <v>5.1660694473985309</v>
      </c>
      <c r="AJ32" s="77">
        <v>50</v>
      </c>
      <c r="AK32" s="78">
        <f t="shared" si="17"/>
        <v>8.6101157456642294</v>
      </c>
      <c r="AL32" s="78">
        <f t="shared" si="10"/>
        <v>36.128233184426939</v>
      </c>
      <c r="AM32" s="79">
        <f t="shared" si="8"/>
        <v>13.138216399911265</v>
      </c>
      <c r="AN32" s="79">
        <f t="shared" si="9"/>
        <v>36.128233184426939</v>
      </c>
    </row>
    <row r="33" spans="1:34" ht="15.75" customHeight="1" x14ac:dyDescent="0.25">
      <c r="A33" s="24" t="s">
        <v>50</v>
      </c>
      <c r="B33" s="6">
        <f t="shared" ref="B33:B35" si="21">IF(B13=0,0,(B13/100)*$B$44)</f>
        <v>0</v>
      </c>
      <c r="C33" s="2" t="s">
        <v>3</v>
      </c>
      <c r="D33" s="2"/>
      <c r="E33" s="15" t="s">
        <v>98</v>
      </c>
      <c r="F33" s="23">
        <f>F32*(F21/100)*J15</f>
        <v>0</v>
      </c>
      <c r="G33" s="2" t="s">
        <v>3</v>
      </c>
      <c r="H33" s="2"/>
      <c r="I33" s="15" t="s">
        <v>74</v>
      </c>
      <c r="J33" s="26">
        <f>F19/$B$8</f>
        <v>2.2580645161290325</v>
      </c>
      <c r="K33" s="2" t="s">
        <v>49</v>
      </c>
      <c r="L33" s="14"/>
      <c r="M33" s="2"/>
      <c r="N33" s="11">
        <f t="shared" si="7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0">
        <f t="shared" si="5"/>
        <v>0</v>
      </c>
      <c r="U33" s="17">
        <f t="shared" si="0"/>
        <v>0</v>
      </c>
      <c r="V33" s="3"/>
      <c r="W33" s="6">
        <f t="shared" si="6"/>
        <v>0</v>
      </c>
      <c r="X33" s="2"/>
      <c r="Y33" s="2"/>
      <c r="Z33" s="28">
        <f t="shared" si="18"/>
        <v>40</v>
      </c>
      <c r="AA33" s="30">
        <f t="shared" si="12"/>
        <v>0.90322580645161277</v>
      </c>
      <c r="AB33" s="31">
        <v>2932.6461352011024</v>
      </c>
      <c r="AC33" s="36">
        <f t="shared" si="13"/>
        <v>28.902586547541542</v>
      </c>
      <c r="AD33" s="2"/>
      <c r="AE33" s="28">
        <f t="shared" si="19"/>
        <v>40</v>
      </c>
      <c r="AF33" s="32">
        <f t="shared" si="15"/>
        <v>557.74193548387086</v>
      </c>
      <c r="AG33" s="31">
        <v>2937.6709600458344</v>
      </c>
      <c r="AH33" s="36">
        <f t="shared" si="16"/>
        <v>6.8880925965313642</v>
      </c>
    </row>
    <row r="34" spans="1:34" ht="15.75" customHeight="1" x14ac:dyDescent="0.25">
      <c r="A34" s="24" t="s">
        <v>54</v>
      </c>
      <c r="B34" s="6">
        <f t="shared" si="21"/>
        <v>0</v>
      </c>
      <c r="C34" s="2" t="s">
        <v>3</v>
      </c>
      <c r="D34" s="2"/>
      <c r="E34" s="2"/>
      <c r="F34" s="35"/>
      <c r="G34" s="2"/>
      <c r="H34" s="2"/>
      <c r="I34" s="15" t="s">
        <v>63</v>
      </c>
      <c r="J34" s="26">
        <f>F15/$B$8</f>
        <v>0</v>
      </c>
      <c r="K34" s="2" t="s">
        <v>49</v>
      </c>
      <c r="L34" s="14"/>
      <c r="M34" s="2"/>
      <c r="N34" s="11">
        <f t="shared" si="7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0">
        <f t="shared" si="5"/>
        <v>0</v>
      </c>
      <c r="U34" s="17">
        <f t="shared" si="0"/>
        <v>0</v>
      </c>
      <c r="V34" s="3"/>
      <c r="W34" s="6">
        <f t="shared" si="6"/>
        <v>0</v>
      </c>
      <c r="X34" s="2"/>
      <c r="Y34" s="2"/>
      <c r="Z34" s="28">
        <f t="shared" si="18"/>
        <v>50</v>
      </c>
      <c r="AA34" s="30">
        <f t="shared" si="12"/>
        <v>0.967741935483871</v>
      </c>
      <c r="AB34" s="31">
        <v>3097.0358906865399</v>
      </c>
      <c r="AC34" s="36">
        <f t="shared" si="13"/>
        <v>36.128233184426939</v>
      </c>
      <c r="AD34" s="2"/>
      <c r="AE34" s="28">
        <f t="shared" si="19"/>
        <v>50</v>
      </c>
      <c r="AF34" s="32">
        <f t="shared" si="15"/>
        <v>597.58064516129025</v>
      </c>
      <c r="AG34" s="31">
        <v>2984.9983776734407</v>
      </c>
      <c r="AH34" s="36">
        <f t="shared" si="16"/>
        <v>8.6101157456642294</v>
      </c>
    </row>
    <row r="35" spans="1:34" ht="15.75" customHeight="1" x14ac:dyDescent="0.25">
      <c r="A35" s="2" t="s">
        <v>58</v>
      </c>
      <c r="B35" s="5">
        <f t="shared" si="21"/>
        <v>0</v>
      </c>
      <c r="C35" s="2" t="s">
        <v>3</v>
      </c>
      <c r="D35" s="2"/>
      <c r="E35" s="1" t="s">
        <v>103</v>
      </c>
      <c r="F35" s="2"/>
      <c r="G35" s="2"/>
      <c r="H35" s="2"/>
      <c r="I35" s="2" t="s">
        <v>88</v>
      </c>
      <c r="J35" s="35">
        <f>F22/B8</f>
        <v>2.064516129032258</v>
      </c>
      <c r="K35" s="2" t="s">
        <v>49</v>
      </c>
      <c r="L35" s="14"/>
      <c r="M35" s="2"/>
      <c r="N35" s="11">
        <f t="shared" si="7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0">
        <f t="shared" si="5"/>
        <v>0</v>
      </c>
      <c r="U35" s="17">
        <f t="shared" si="0"/>
        <v>0</v>
      </c>
      <c r="V35" s="3"/>
      <c r="W35" s="6">
        <f t="shared" si="6"/>
        <v>0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5.75" customHeight="1" x14ac:dyDescent="0.25">
      <c r="A36" s="24" t="s">
        <v>179</v>
      </c>
      <c r="B36" s="6">
        <f t="shared" ref="B36:B40" si="22">IF(B18=0,0,(B18/100)*$B$44)</f>
        <v>0</v>
      </c>
      <c r="C36" s="2" t="s">
        <v>3</v>
      </c>
      <c r="D36" s="2"/>
      <c r="E36" s="15" t="s">
        <v>177</v>
      </c>
      <c r="F36" s="26">
        <f>F13/$B$8</f>
        <v>0.64516129032258063</v>
      </c>
      <c r="G36" s="2" t="s">
        <v>130</v>
      </c>
      <c r="H36" s="2"/>
      <c r="I36" s="15" t="s">
        <v>48</v>
      </c>
      <c r="J36" s="19">
        <f>F20/$B$8</f>
        <v>77.41935483870968</v>
      </c>
      <c r="K36" s="2" t="s">
        <v>49</v>
      </c>
      <c r="L36" s="14"/>
      <c r="M36" s="2"/>
      <c r="N36" s="11">
        <f t="shared" si="7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0">
        <f t="shared" si="5"/>
        <v>0</v>
      </c>
      <c r="U36" s="17">
        <f t="shared" si="0"/>
        <v>0</v>
      </c>
      <c r="V36" s="3"/>
      <c r="W36" s="6">
        <f t="shared" si="6"/>
        <v>0</v>
      </c>
      <c r="X36" s="2"/>
      <c r="Y36" s="2"/>
      <c r="Z36" s="27" t="s">
        <v>48</v>
      </c>
      <c r="AA36" s="28"/>
      <c r="AB36" s="28"/>
      <c r="AC36" s="28"/>
      <c r="AD36" s="2"/>
      <c r="AE36" s="27" t="s">
        <v>104</v>
      </c>
      <c r="AF36" s="28"/>
      <c r="AG36" s="28"/>
      <c r="AH36" s="28"/>
    </row>
    <row r="37" spans="1:34" ht="15.75" customHeight="1" x14ac:dyDescent="0.25">
      <c r="A37" s="24" t="s">
        <v>180</v>
      </c>
      <c r="B37" s="6">
        <f t="shared" si="22"/>
        <v>0</v>
      </c>
      <c r="C37" s="2" t="s">
        <v>3</v>
      </c>
      <c r="D37" s="2"/>
      <c r="E37" s="15" t="s">
        <v>178</v>
      </c>
      <c r="F37" s="26">
        <f>F36*J10</f>
        <v>1.4934289127837513E-2</v>
      </c>
      <c r="G37" s="2" t="s">
        <v>4</v>
      </c>
      <c r="H37" s="2"/>
      <c r="I37" s="2"/>
      <c r="J37" s="2"/>
      <c r="K37" s="2"/>
      <c r="L37" s="14"/>
      <c r="M37" s="2"/>
      <c r="N37" s="11">
        <f t="shared" si="7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0">
        <f t="shared" si="5"/>
        <v>0</v>
      </c>
      <c r="U37" s="17">
        <f t="shared" si="0"/>
        <v>0</v>
      </c>
      <c r="V37" s="3"/>
      <c r="W37" s="6">
        <f t="shared" si="6"/>
        <v>0</v>
      </c>
      <c r="X37" s="2"/>
      <c r="Y37" s="2"/>
      <c r="Z37" s="28" t="s">
        <v>80</v>
      </c>
      <c r="AA37" s="28" t="s">
        <v>121</v>
      </c>
      <c r="AB37" s="28" t="s">
        <v>23</v>
      </c>
      <c r="AC37" s="28" t="s">
        <v>82</v>
      </c>
      <c r="AD37" s="2"/>
      <c r="AE37" s="28" t="s">
        <v>80</v>
      </c>
      <c r="AF37" s="28" t="s">
        <v>108</v>
      </c>
      <c r="AG37" s="28" t="s">
        <v>23</v>
      </c>
      <c r="AH37" s="28" t="s">
        <v>82</v>
      </c>
    </row>
    <row r="38" spans="1:34" ht="15.75" customHeight="1" x14ac:dyDescent="0.25">
      <c r="A38" s="24" t="s">
        <v>73</v>
      </c>
      <c r="B38" s="6">
        <f t="shared" si="22"/>
        <v>0</v>
      </c>
      <c r="C38" s="2" t="s">
        <v>3</v>
      </c>
      <c r="D38" s="2"/>
      <c r="E38" s="15" t="s">
        <v>137</v>
      </c>
      <c r="F38" s="35">
        <f>F37*F12</f>
        <v>204.30107526881719</v>
      </c>
      <c r="G38" s="25" t="s">
        <v>49</v>
      </c>
      <c r="H38" s="2"/>
      <c r="I38" s="2"/>
      <c r="J38" s="2"/>
      <c r="K38" s="2"/>
      <c r="L38" s="14"/>
      <c r="M38" s="2"/>
      <c r="N38" s="11">
        <f t="shared" si="7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0">
        <f t="shared" si="5"/>
        <v>0</v>
      </c>
      <c r="U38" s="17">
        <f t="shared" si="0"/>
        <v>0</v>
      </c>
      <c r="V38" s="3"/>
      <c r="W38" s="6">
        <f t="shared" si="6"/>
        <v>0</v>
      </c>
      <c r="X38" s="2"/>
      <c r="Y38" s="2"/>
      <c r="Z38" s="28" t="s">
        <v>87</v>
      </c>
      <c r="AA38" s="30">
        <v>77.41935483870968</v>
      </c>
      <c r="AB38" s="31">
        <f>U49</f>
        <v>2275.0871132593534</v>
      </c>
      <c r="AC38" s="28"/>
      <c r="AD38" s="2"/>
      <c r="AE38" s="28" t="s">
        <v>87</v>
      </c>
      <c r="AF38" s="32">
        <v>13680</v>
      </c>
      <c r="AG38" s="31">
        <f>U49</f>
        <v>2275.0871132593534</v>
      </c>
      <c r="AH38" s="28"/>
    </row>
    <row r="39" spans="1:34" ht="15.75" customHeight="1" x14ac:dyDescent="0.25">
      <c r="A39" s="24" t="s">
        <v>75</v>
      </c>
      <c r="B39" s="6">
        <f t="shared" si="22"/>
        <v>0</v>
      </c>
      <c r="C39" s="2" t="s">
        <v>3</v>
      </c>
      <c r="D39" s="2"/>
      <c r="E39" s="2"/>
      <c r="F39" s="2"/>
      <c r="G39" s="2"/>
      <c r="H39" s="2"/>
      <c r="I39" s="2"/>
      <c r="J39" s="2"/>
      <c r="K39" s="2"/>
      <c r="L39" s="14"/>
      <c r="M39" s="2"/>
      <c r="N39" s="11">
        <f t="shared" si="7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0">
        <f t="shared" si="5"/>
        <v>0</v>
      </c>
      <c r="U39" s="17">
        <f t="shared" si="0"/>
        <v>0</v>
      </c>
      <c r="V39" s="3"/>
      <c r="W39" s="6">
        <f t="shared" si="6"/>
        <v>0</v>
      </c>
      <c r="X39" s="2"/>
      <c r="Y39" s="2"/>
      <c r="Z39" s="28">
        <f t="shared" ref="Z39:Z43" si="23">Z40-10</f>
        <v>-50</v>
      </c>
      <c r="AA39" s="30">
        <f t="shared" ref="AA39:AA49" si="24">$AA$38*(1+(Z39/100))</f>
        <v>38.70967741935484</v>
      </c>
      <c r="AB39" s="31">
        <f t="dataTable" ref="AB39:AB49" dt2D="0" dtr="0" r1="J36" ca="1"/>
        <v>1976.1812450328439</v>
      </c>
      <c r="AC39" s="36">
        <f t="shared" ref="AC39:AC49" si="25">100*((AB39-$AB$44)/$AB$44)</f>
        <v>-13.138216399911324</v>
      </c>
      <c r="AD39" s="2"/>
      <c r="AE39" s="28">
        <f t="shared" ref="AE39:AE43" si="26">AE40-10</f>
        <v>-50</v>
      </c>
      <c r="AF39" s="32">
        <f t="shared" ref="AF39:AF49" si="27">$AF$38*(1+(AE39/100))</f>
        <v>6840</v>
      </c>
      <c r="AG39" s="31">
        <f t="dataTable" ref="AG39:AG49" dt2D="0" dtr="0" r1="F12"/>
        <v>1453.1383358321655</v>
      </c>
      <c r="AH39" s="36">
        <f t="shared" ref="AH39:AH49" si="28">100*((AG39-$AG$44)/$AG$44)</f>
        <v>-36.128233184426996</v>
      </c>
    </row>
    <row r="40" spans="1:34" ht="15.75" customHeight="1" x14ac:dyDescent="0.25">
      <c r="A40" s="24" t="s">
        <v>78</v>
      </c>
      <c r="B40" s="6">
        <f t="shared" si="22"/>
        <v>0</v>
      </c>
      <c r="C40" s="2" t="s">
        <v>3</v>
      </c>
      <c r="D40" s="2"/>
      <c r="E40" s="2"/>
      <c r="F40" s="2"/>
      <c r="G40" s="2"/>
      <c r="H40" s="2"/>
      <c r="I40" s="2"/>
      <c r="J40" s="2"/>
      <c r="K40" s="2"/>
      <c r="L40" s="14"/>
      <c r="M40" s="2"/>
      <c r="N40" s="11">
        <f t="shared" si="7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0">
        <f t="shared" si="5"/>
        <v>0</v>
      </c>
      <c r="U40" s="17">
        <f t="shared" si="0"/>
        <v>0</v>
      </c>
      <c r="V40" s="3"/>
      <c r="W40" s="6">
        <f t="shared" si="6"/>
        <v>0</v>
      </c>
      <c r="X40" s="2"/>
      <c r="Y40" s="2"/>
      <c r="Z40" s="28">
        <f t="shared" si="23"/>
        <v>-40</v>
      </c>
      <c r="AA40" s="30">
        <f t="shared" si="24"/>
        <v>46.451612903225808</v>
      </c>
      <c r="AB40" s="31">
        <v>2035.9624186781457</v>
      </c>
      <c r="AC40" s="36">
        <f t="shared" si="25"/>
        <v>-10.510573119929063</v>
      </c>
      <c r="AD40" s="2"/>
      <c r="AE40" s="28">
        <f t="shared" si="26"/>
        <v>-40</v>
      </c>
      <c r="AF40" s="32">
        <f t="shared" si="27"/>
        <v>8208</v>
      </c>
      <c r="AG40" s="31">
        <v>1617.5280913176027</v>
      </c>
      <c r="AH40" s="36">
        <f t="shared" si="28"/>
        <v>-28.90258654754161</v>
      </c>
    </row>
    <row r="41" spans="1:34" ht="15.75" customHeight="1" x14ac:dyDescent="0.25">
      <c r="A41" s="2"/>
      <c r="B41" s="2"/>
      <c r="C41" s="2"/>
      <c r="D41" s="2"/>
      <c r="E41" s="15" t="s">
        <v>100</v>
      </c>
      <c r="F41" s="6">
        <f>F12*B5</f>
        <v>136800</v>
      </c>
      <c r="G41" s="2" t="s">
        <v>101</v>
      </c>
      <c r="H41" s="2"/>
      <c r="I41" s="2"/>
      <c r="J41" s="2"/>
      <c r="K41" s="2"/>
      <c r="L41" s="14"/>
      <c r="M41" s="2"/>
      <c r="N41" s="11">
        <f t="shared" si="7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0">
        <f t="shared" si="5"/>
        <v>0</v>
      </c>
      <c r="U41" s="17">
        <f t="shared" si="0"/>
        <v>0</v>
      </c>
      <c r="V41" s="3"/>
      <c r="W41" s="6">
        <f t="shared" si="6"/>
        <v>0</v>
      </c>
      <c r="X41" s="2"/>
      <c r="Y41" s="2"/>
      <c r="Z41" s="28">
        <f t="shared" si="23"/>
        <v>-30</v>
      </c>
      <c r="AA41" s="30">
        <f t="shared" si="24"/>
        <v>54.193548387096776</v>
      </c>
      <c r="AB41" s="31">
        <v>2095.7435923234475</v>
      </c>
      <c r="AC41" s="36">
        <f t="shared" si="25"/>
        <v>-7.8829298399468017</v>
      </c>
      <c r="AD41" s="2"/>
      <c r="AE41" s="28">
        <f t="shared" si="26"/>
        <v>-30</v>
      </c>
      <c r="AF41" s="32">
        <f t="shared" si="27"/>
        <v>9576</v>
      </c>
      <c r="AG41" s="31">
        <v>1781.9178468030407</v>
      </c>
      <c r="AH41" s="36">
        <f t="shared" si="28"/>
        <v>-21.676939910656195</v>
      </c>
    </row>
    <row r="42" spans="1:34" ht="15.75" customHeight="1" x14ac:dyDescent="0.25">
      <c r="A42" s="22" t="s">
        <v>113</v>
      </c>
      <c r="B42" s="3"/>
      <c r="C42" s="1"/>
      <c r="D42" s="2"/>
      <c r="E42" s="15"/>
      <c r="F42" s="26"/>
      <c r="G42" s="2"/>
      <c r="H42" s="2"/>
      <c r="I42" s="1"/>
      <c r="J42" s="2"/>
      <c r="K42" s="2"/>
      <c r="L42" s="14"/>
      <c r="M42" s="2"/>
      <c r="N42" s="11">
        <f t="shared" si="7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0">
        <f t="shared" si="5"/>
        <v>0</v>
      </c>
      <c r="U42" s="17">
        <f t="shared" si="0"/>
        <v>0</v>
      </c>
      <c r="V42" s="3"/>
      <c r="W42" s="6">
        <f t="shared" si="6"/>
        <v>0</v>
      </c>
      <c r="X42" s="2"/>
      <c r="Y42" s="2"/>
      <c r="Z42" s="28">
        <f t="shared" si="23"/>
        <v>-20</v>
      </c>
      <c r="AA42" s="30">
        <f t="shared" si="24"/>
        <v>61.935483870967744</v>
      </c>
      <c r="AB42" s="31">
        <v>2155.5247659687493</v>
      </c>
      <c r="AC42" s="36">
        <f t="shared" si="25"/>
        <v>-5.2552865599645413</v>
      </c>
      <c r="AD42" s="2"/>
      <c r="AE42" s="28">
        <f t="shared" si="26"/>
        <v>-20</v>
      </c>
      <c r="AF42" s="32">
        <f t="shared" si="27"/>
        <v>10944</v>
      </c>
      <c r="AG42" s="31">
        <v>1946.3076022884777</v>
      </c>
      <c r="AH42" s="36">
        <f t="shared" si="28"/>
        <v>-14.451293273770821</v>
      </c>
    </row>
    <row r="43" spans="1:34" ht="15.75" customHeight="1" x14ac:dyDescent="0.25">
      <c r="A43" s="15" t="s">
        <v>173</v>
      </c>
      <c r="B43" s="6">
        <f>J8/B8</f>
        <v>0</v>
      </c>
      <c r="C43" s="2" t="s">
        <v>3</v>
      </c>
      <c r="D43" s="2"/>
      <c r="E43" s="2"/>
      <c r="F43" s="2"/>
      <c r="G43" s="2"/>
      <c r="H43" s="2"/>
      <c r="I43" s="15"/>
      <c r="J43" s="19"/>
      <c r="K43" s="2"/>
      <c r="L43" s="14"/>
      <c r="M43" s="2"/>
      <c r="N43" s="11">
        <f t="shared" si="7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0">
        <f t="shared" si="5"/>
        <v>0</v>
      </c>
      <c r="U43" s="17">
        <f t="shared" si="0"/>
        <v>0</v>
      </c>
      <c r="V43" s="3"/>
      <c r="W43" s="6">
        <f t="shared" si="6"/>
        <v>0</v>
      </c>
      <c r="X43" s="2"/>
      <c r="Y43" s="2"/>
      <c r="Z43" s="28">
        <f t="shared" si="23"/>
        <v>-10</v>
      </c>
      <c r="AA43" s="30">
        <f t="shared" si="24"/>
        <v>69.677419354838719</v>
      </c>
      <c r="AB43" s="31">
        <v>2215.3059396140511</v>
      </c>
      <c r="AC43" s="36">
        <f t="shared" si="25"/>
        <v>-2.6276432799822809</v>
      </c>
      <c r="AD43" s="2"/>
      <c r="AE43" s="28">
        <f t="shared" si="26"/>
        <v>-10</v>
      </c>
      <c r="AF43" s="32">
        <f t="shared" si="27"/>
        <v>12312</v>
      </c>
      <c r="AG43" s="31">
        <v>2110.6973577739154</v>
      </c>
      <c r="AH43" s="36">
        <f t="shared" si="28"/>
        <v>-7.2256466368854149</v>
      </c>
    </row>
    <row r="44" spans="1:34" ht="15.75" customHeight="1" x14ac:dyDescent="0.25">
      <c r="A44" s="2" t="s">
        <v>117</v>
      </c>
      <c r="B44" s="23">
        <f>(1+B16/100)*B43</f>
        <v>0</v>
      </c>
      <c r="C44" s="2" t="s">
        <v>3</v>
      </c>
      <c r="D44" s="2"/>
      <c r="E44" s="2"/>
      <c r="F44" s="2"/>
      <c r="G44" s="2"/>
      <c r="H44" s="2"/>
      <c r="I44" s="2"/>
      <c r="J44" s="2"/>
      <c r="K44" s="2"/>
      <c r="L44" s="14"/>
      <c r="M44" s="2"/>
      <c r="N44" s="11">
        <f t="shared" si="7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0">
        <f t="shared" si="5"/>
        <v>0</v>
      </c>
      <c r="U44" s="17">
        <f t="shared" si="0"/>
        <v>0</v>
      </c>
      <c r="V44" s="3"/>
      <c r="W44" s="6">
        <f t="shared" si="6"/>
        <v>0</v>
      </c>
      <c r="X44" s="2"/>
      <c r="Y44" s="2"/>
      <c r="Z44" s="41">
        <v>0</v>
      </c>
      <c r="AA44" s="55">
        <f t="shared" si="24"/>
        <v>77.41935483870968</v>
      </c>
      <c r="AB44" s="42">
        <v>2275.0871132593534</v>
      </c>
      <c r="AC44" s="36">
        <f t="shared" si="25"/>
        <v>0</v>
      </c>
      <c r="AD44" s="2"/>
      <c r="AE44" s="41">
        <v>0</v>
      </c>
      <c r="AF44" s="47">
        <f t="shared" si="27"/>
        <v>13680</v>
      </c>
      <c r="AG44" s="42">
        <v>2275.0871132593534</v>
      </c>
      <c r="AH44" s="56">
        <f t="shared" si="28"/>
        <v>0</v>
      </c>
    </row>
    <row r="45" spans="1:34" ht="15.75" customHeight="1" x14ac:dyDescent="0.25">
      <c r="A45" s="24" t="s">
        <v>138</v>
      </c>
      <c r="B45" s="6">
        <f>SUM(B33:B40)+B44</f>
        <v>0</v>
      </c>
      <c r="C45" s="2" t="s">
        <v>3</v>
      </c>
      <c r="D45" s="2"/>
      <c r="E45" s="2"/>
      <c r="F45" s="2"/>
      <c r="G45" s="2"/>
      <c r="H45" s="2"/>
      <c r="I45" s="2"/>
      <c r="J45" s="2"/>
      <c r="K45" s="2"/>
      <c r="L45" s="14"/>
      <c r="M45" s="2"/>
      <c r="N45" s="11">
        <f t="shared" si="7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0">
        <f t="shared" si="5"/>
        <v>0</v>
      </c>
      <c r="U45" s="17">
        <f t="shared" si="0"/>
        <v>0</v>
      </c>
      <c r="V45" s="3"/>
      <c r="W45" s="6">
        <f t="shared" si="6"/>
        <v>0</v>
      </c>
      <c r="X45" s="2"/>
      <c r="Y45" s="2"/>
      <c r="Z45" s="28">
        <f t="shared" ref="Z45:Z49" si="29">Z44+10</f>
        <v>10</v>
      </c>
      <c r="AA45" s="30">
        <f t="shared" si="24"/>
        <v>85.161290322580655</v>
      </c>
      <c r="AB45" s="31">
        <v>2334.8682869046547</v>
      </c>
      <c r="AC45" s="36">
        <f t="shared" si="25"/>
        <v>2.6276432799822409</v>
      </c>
      <c r="AD45" s="2"/>
      <c r="AE45" s="28">
        <f t="shared" ref="AE45:AE49" si="30">AE44+10</f>
        <v>10</v>
      </c>
      <c r="AF45" s="32">
        <f t="shared" si="27"/>
        <v>15048.000000000002</v>
      </c>
      <c r="AG45" s="31">
        <v>2439.4768687447904</v>
      </c>
      <c r="AH45" s="36">
        <f t="shared" si="28"/>
        <v>7.2256466368853758</v>
      </c>
    </row>
    <row r="46" spans="1:34" ht="15.75" customHeight="1" x14ac:dyDescent="0.25">
      <c r="A46" s="24" t="s">
        <v>172</v>
      </c>
      <c r="B46" s="6">
        <f>SUM(B31:B32)</f>
        <v>0</v>
      </c>
      <c r="C46" s="2" t="s">
        <v>3</v>
      </c>
      <c r="D46" s="2"/>
      <c r="E46" s="2"/>
      <c r="F46" s="2"/>
      <c r="G46" s="2"/>
      <c r="H46" s="2"/>
      <c r="I46" s="2"/>
      <c r="J46" s="2"/>
      <c r="K46" s="2"/>
      <c r="L46" s="14"/>
      <c r="M46" s="2"/>
      <c r="N46" s="11">
        <f t="shared" si="7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0">
        <f t="shared" si="5"/>
        <v>0</v>
      </c>
      <c r="U46" s="17">
        <f t="shared" si="0"/>
        <v>0</v>
      </c>
      <c r="V46" s="3"/>
      <c r="W46" s="6">
        <f t="shared" si="6"/>
        <v>0</v>
      </c>
      <c r="X46" s="2"/>
      <c r="Y46" s="2"/>
      <c r="Z46" s="28">
        <f t="shared" si="29"/>
        <v>20</v>
      </c>
      <c r="AA46" s="30">
        <f t="shared" si="24"/>
        <v>92.903225806451616</v>
      </c>
      <c r="AB46" s="31">
        <v>2394.6494605499565</v>
      </c>
      <c r="AC46" s="36">
        <f t="shared" si="25"/>
        <v>5.2552865599645022</v>
      </c>
      <c r="AD46" s="2"/>
      <c r="AE46" s="28">
        <f t="shared" si="30"/>
        <v>20</v>
      </c>
      <c r="AF46" s="32">
        <f t="shared" si="27"/>
        <v>16416</v>
      </c>
      <c r="AG46" s="31">
        <v>2603.8666242302279</v>
      </c>
      <c r="AH46" s="36">
        <f t="shared" si="28"/>
        <v>14.451293273770771</v>
      </c>
    </row>
    <row r="47" spans="1:34" ht="15.75" customHeight="1" x14ac:dyDescent="0.25">
      <c r="A47" s="24" t="s">
        <v>174</v>
      </c>
      <c r="B47" s="6">
        <f>SUM(B45:B46)</f>
        <v>0</v>
      </c>
      <c r="C47" s="2" t="s">
        <v>3</v>
      </c>
      <c r="D47" s="2"/>
      <c r="E47" s="2"/>
      <c r="F47" s="2"/>
      <c r="G47" s="2"/>
      <c r="H47" s="2"/>
      <c r="I47" s="2"/>
      <c r="J47" s="2"/>
      <c r="K47" s="2"/>
      <c r="L47" s="14"/>
      <c r="M47" s="2"/>
      <c r="N47" s="11">
        <f t="shared" si="7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0">
        <f t="shared" si="5"/>
        <v>0</v>
      </c>
      <c r="U47" s="17">
        <f t="shared" si="0"/>
        <v>0</v>
      </c>
      <c r="V47" s="3"/>
      <c r="W47" s="6">
        <f t="shared" si="6"/>
        <v>0</v>
      </c>
      <c r="X47" s="2"/>
      <c r="Y47" s="2"/>
      <c r="Z47" s="28">
        <f t="shared" si="29"/>
        <v>30</v>
      </c>
      <c r="AA47" s="30">
        <f t="shared" si="24"/>
        <v>100.64516129032259</v>
      </c>
      <c r="AB47" s="31">
        <v>2454.4306341952583</v>
      </c>
      <c r="AC47" s="36">
        <f t="shared" si="25"/>
        <v>7.8829298399467618</v>
      </c>
      <c r="AD47" s="2"/>
      <c r="AE47" s="28">
        <f t="shared" si="30"/>
        <v>30</v>
      </c>
      <c r="AF47" s="32">
        <f t="shared" si="27"/>
        <v>17784</v>
      </c>
      <c r="AG47" s="31">
        <v>2768.2563797156649</v>
      </c>
      <c r="AH47" s="36">
        <f t="shared" si="28"/>
        <v>21.676939910656145</v>
      </c>
    </row>
    <row r="48" spans="1:34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4"/>
      <c r="M48" s="2"/>
      <c r="N48" s="11">
        <f t="shared" si="7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0">
        <f t="shared" si="5"/>
        <v>0</v>
      </c>
      <c r="U48" s="17">
        <f t="shared" si="0"/>
        <v>0</v>
      </c>
      <c r="V48" s="3"/>
      <c r="W48" s="6">
        <f t="shared" si="6"/>
        <v>0</v>
      </c>
      <c r="X48" s="2"/>
      <c r="Y48" s="2"/>
      <c r="Z48" s="28">
        <f t="shared" si="29"/>
        <v>40</v>
      </c>
      <c r="AA48" s="30">
        <f t="shared" si="24"/>
        <v>108.38709677419355</v>
      </c>
      <c r="AB48" s="31">
        <v>2514.2118078405597</v>
      </c>
      <c r="AC48" s="36">
        <f t="shared" si="25"/>
        <v>10.510573119929004</v>
      </c>
      <c r="AD48" s="2"/>
      <c r="AE48" s="28">
        <f t="shared" si="30"/>
        <v>40</v>
      </c>
      <c r="AF48" s="32">
        <f t="shared" si="27"/>
        <v>19152</v>
      </c>
      <c r="AG48" s="31">
        <v>2932.6461352011024</v>
      </c>
      <c r="AH48" s="36">
        <f t="shared" si="28"/>
        <v>28.902586547541542</v>
      </c>
    </row>
    <row r="49" spans="1:34" ht="15.75" customHeight="1" x14ac:dyDescent="0.25">
      <c r="A49" s="13"/>
      <c r="B49" s="5"/>
      <c r="C49" s="2"/>
      <c r="D49" s="2"/>
      <c r="E49" s="2"/>
      <c r="F49" s="2"/>
      <c r="G49" s="2"/>
      <c r="H49" s="2"/>
      <c r="I49" s="2"/>
      <c r="J49" s="2"/>
      <c r="K49" s="2"/>
      <c r="L49" s="14"/>
      <c r="M49" s="2"/>
      <c r="N49" s="12" t="s">
        <v>119</v>
      </c>
      <c r="O49" s="17">
        <f t="shared" ref="O49:U49" si="31">SUM(O8:O48)</f>
        <v>0</v>
      </c>
      <c r="P49" s="17">
        <f t="shared" si="31"/>
        <v>0</v>
      </c>
      <c r="Q49" s="17">
        <f t="shared" si="31"/>
        <v>1643.8975548543749</v>
      </c>
      <c r="R49" s="17">
        <f t="shared" si="31"/>
        <v>631.18955840497779</v>
      </c>
      <c r="S49" s="17">
        <f t="shared" si="31"/>
        <v>0</v>
      </c>
      <c r="T49" s="17">
        <f t="shared" si="31"/>
        <v>0</v>
      </c>
      <c r="U49" s="17">
        <f t="shared" si="31"/>
        <v>2275.0871132593534</v>
      </c>
      <c r="V49" s="3"/>
      <c r="W49" s="3"/>
      <c r="X49" s="2"/>
      <c r="Y49" s="2"/>
      <c r="Z49" s="28">
        <f t="shared" si="29"/>
        <v>50</v>
      </c>
      <c r="AA49" s="30">
        <f t="shared" si="24"/>
        <v>116.12903225806451</v>
      </c>
      <c r="AB49" s="31">
        <v>2573.9929814858615</v>
      </c>
      <c r="AC49" s="36">
        <f t="shared" si="25"/>
        <v>13.138216399911265</v>
      </c>
      <c r="AD49" s="2"/>
      <c r="AE49" s="28">
        <f t="shared" si="30"/>
        <v>50</v>
      </c>
      <c r="AF49" s="32">
        <f t="shared" si="27"/>
        <v>20520</v>
      </c>
      <c r="AG49" s="31">
        <v>3097.0358906865399</v>
      </c>
      <c r="AH49" s="36">
        <f t="shared" si="28"/>
        <v>36.128233184426939</v>
      </c>
    </row>
    <row r="50" spans="1:34" ht="15.75" customHeight="1" x14ac:dyDescent="0.25">
      <c r="A50" s="2"/>
      <c r="B50" s="35"/>
      <c r="C50" s="2"/>
      <c r="D50" s="2"/>
      <c r="E50" s="2"/>
      <c r="F50" s="2"/>
      <c r="G50" s="2"/>
      <c r="H50" s="2"/>
      <c r="I50" s="2"/>
      <c r="J50" s="2"/>
      <c r="K50" s="2"/>
      <c r="L50" s="14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3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ht="15.75" customHeight="1" x14ac:dyDescent="0.25">
      <c r="A52" s="13"/>
      <c r="B52" s="2"/>
      <c r="C52" s="2"/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35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2"/>
      <c r="V54" s="2"/>
      <c r="W54" s="2"/>
      <c r="X54" s="35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0</v>
      </c>
      <c r="Q55" s="2" t="s">
        <v>3</v>
      </c>
      <c r="R55" s="52">
        <f t="shared" ref="R55:R58" si="32">P55/$F$41</f>
        <v>0</v>
      </c>
      <c r="S55" s="2" t="s">
        <v>4</v>
      </c>
      <c r="T55" s="2"/>
      <c r="U55" s="2"/>
      <c r="V55" s="2"/>
      <c r="W55" s="2"/>
      <c r="X55" s="35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SUM(Q49)</f>
        <v>1643.8975548543749</v>
      </c>
      <c r="Q56" s="2" t="s">
        <v>3</v>
      </c>
      <c r="R56" s="52">
        <f t="shared" si="32"/>
        <v>1.2016794991625548E-2</v>
      </c>
      <c r="S56" s="2" t="s">
        <v>4</v>
      </c>
      <c r="T56" s="2"/>
      <c r="U56" s="2"/>
      <c r="V56" s="2"/>
      <c r="W56" s="2"/>
      <c r="X56" s="35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SUM(R49:S49)</f>
        <v>631.18955840497779</v>
      </c>
      <c r="Q57" s="2" t="s">
        <v>3</v>
      </c>
      <c r="R57" s="52">
        <f t="shared" si="32"/>
        <v>4.6139587602703055E-3</v>
      </c>
      <c r="S57" s="2" t="s">
        <v>4</v>
      </c>
      <c r="T57" s="2"/>
      <c r="U57" s="2"/>
      <c r="V57" s="2"/>
      <c r="W57" s="2"/>
      <c r="X57" s="35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spans="1:34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126</v>
      </c>
      <c r="P58" s="23">
        <f>T49</f>
        <v>0</v>
      </c>
      <c r="Q58" s="2" t="s">
        <v>3</v>
      </c>
      <c r="R58" s="52">
        <f t="shared" si="32"/>
        <v>0</v>
      </c>
      <c r="S58" s="2" t="s">
        <v>4</v>
      </c>
      <c r="T58" s="2"/>
      <c r="U58" s="2"/>
      <c r="V58" s="2"/>
      <c r="W58" s="2"/>
      <c r="X58" s="35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spans="1:34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5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spans="1:34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SUM(P55:P58)</f>
        <v>2275.0871132593529</v>
      </c>
      <c r="Q60" s="1" t="s">
        <v>3</v>
      </c>
      <c r="R60" s="46">
        <f>SUM(R55:R58)</f>
        <v>1.6630753751895853E-2</v>
      </c>
      <c r="S60" s="1" t="s">
        <v>4</v>
      </c>
      <c r="T60" s="2"/>
      <c r="U60" s="2"/>
      <c r="V60" s="2"/>
      <c r="W60" s="2"/>
      <c r="X60" s="35"/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 spans="1:34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5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spans="1:34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5"/>
      <c r="Y62" s="2"/>
      <c r="Z62" s="2"/>
      <c r="AA62" s="2"/>
      <c r="AB62" s="2"/>
      <c r="AC62" s="2"/>
      <c r="AD62" s="2"/>
      <c r="AE62" s="2"/>
      <c r="AF62" s="2"/>
      <c r="AG62" s="2"/>
      <c r="AH62" s="2"/>
    </row>
    <row r="63" spans="1:34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35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spans="1:34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5"/>
      <c r="Y64" s="2"/>
      <c r="Z64" s="2"/>
      <c r="AA64" s="2"/>
      <c r="AB64" s="2"/>
      <c r="AC64" s="2"/>
      <c r="AD64" s="2"/>
      <c r="AE64" s="2"/>
      <c r="AF64" s="2"/>
      <c r="AG64" s="2"/>
      <c r="AH64" s="2"/>
    </row>
    <row r="65" spans="1:34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35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5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35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spans="1:34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spans="1:34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spans="1:34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spans="1:34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spans="1:34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34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spans="1:34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spans="1:34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spans="1:34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spans="1:34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spans="1:34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spans="1:34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spans="1:34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spans="1:34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spans="1:34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spans="1:34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spans="1:34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spans="1:34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spans="1:34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spans="1:34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4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spans="1:34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spans="1:34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spans="1:34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spans="1:34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spans="1:34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spans="1:34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spans="1:34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spans="1:34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spans="1:34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spans="1:34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spans="1:34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spans="1:34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spans="1:34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spans="1:34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spans="1:34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spans="1:34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spans="1:34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spans="1:34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spans="1:34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spans="1:34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spans="1:34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spans="1:34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spans="1:34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spans="1:34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spans="1:34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spans="1:34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spans="1:34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spans="1:34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spans="1:34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spans="1:34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spans="1:34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spans="1:34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spans="1:34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4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</sheetData>
  <pageMargins left="0.7" right="0.7" top="0.75" bottom="0.75" header="0" footer="0"/>
  <pageSetup orientation="landscape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000"/>
  <sheetViews>
    <sheetView workbookViewId="0">
      <selection activeCell="Q11" sqref="Q11"/>
    </sheetView>
  </sheetViews>
  <sheetFormatPr defaultColWidth="14.42578125" defaultRowHeight="15" customHeight="1" x14ac:dyDescent="0.25"/>
  <cols>
    <col min="1" max="1" width="47.42578125" customWidth="1"/>
    <col min="2" max="2" width="8.7109375" customWidth="1"/>
    <col min="3" max="3" width="11" customWidth="1"/>
    <col min="4" max="26" width="8.7109375" customWidth="1"/>
  </cols>
  <sheetData>
    <row r="1" spans="1:3" x14ac:dyDescent="0.25">
      <c r="A1" s="25" t="s">
        <v>143</v>
      </c>
      <c r="B1" s="25" t="s">
        <v>144</v>
      </c>
      <c r="C1" s="25" t="s">
        <v>145</v>
      </c>
    </row>
    <row r="2" spans="1:3" x14ac:dyDescent="0.25">
      <c r="A2" s="25" t="s">
        <v>171</v>
      </c>
      <c r="B2" s="25" t="s">
        <v>146</v>
      </c>
    </row>
    <row r="3" spans="1:3" x14ac:dyDescent="0.25">
      <c r="A3" s="25" t="s">
        <v>44</v>
      </c>
      <c r="B3" s="25" t="s">
        <v>146</v>
      </c>
    </row>
    <row r="4" spans="1:3" x14ac:dyDescent="0.25">
      <c r="A4" s="25" t="s">
        <v>50</v>
      </c>
      <c r="B4" s="25" t="s">
        <v>146</v>
      </c>
    </row>
    <row r="5" spans="1:3" x14ac:dyDescent="0.25">
      <c r="A5" s="25" t="s">
        <v>134</v>
      </c>
      <c r="B5" s="25" t="s">
        <v>146</v>
      </c>
    </row>
    <row r="6" spans="1:3" x14ac:dyDescent="0.25">
      <c r="A6" s="25" t="s">
        <v>62</v>
      </c>
      <c r="B6" s="25" t="s">
        <v>146</v>
      </c>
    </row>
    <row r="7" spans="1:3" x14ac:dyDescent="0.25">
      <c r="A7" s="25" t="s">
        <v>147</v>
      </c>
      <c r="B7" s="25" t="s">
        <v>148</v>
      </c>
      <c r="C7" s="25" t="s">
        <v>149</v>
      </c>
    </row>
    <row r="8" spans="1:3" x14ac:dyDescent="0.25">
      <c r="A8" s="25" t="s">
        <v>179</v>
      </c>
      <c r="B8" s="25" t="s">
        <v>146</v>
      </c>
    </row>
    <row r="9" spans="1:3" x14ac:dyDescent="0.25">
      <c r="A9" s="25" t="s">
        <v>180</v>
      </c>
    </row>
    <row r="10" spans="1:3" x14ac:dyDescent="0.25">
      <c r="A10" s="25" t="s">
        <v>73</v>
      </c>
      <c r="B10" s="25" t="s">
        <v>150</v>
      </c>
    </row>
    <row r="11" spans="1:3" x14ac:dyDescent="0.25">
      <c r="A11" s="25" t="s">
        <v>75</v>
      </c>
      <c r="B11" s="25" t="s">
        <v>146</v>
      </c>
    </row>
    <row r="12" spans="1:3" x14ac:dyDescent="0.25">
      <c r="A12" s="25" t="s">
        <v>78</v>
      </c>
    </row>
    <row r="13" spans="1:3" x14ac:dyDescent="0.25">
      <c r="A13" s="25" t="s">
        <v>151</v>
      </c>
    </row>
    <row r="17" spans="1:1" ht="15" customHeight="1" x14ac:dyDescent="0.25">
      <c r="A17" s="68" t="s">
        <v>157</v>
      </c>
    </row>
    <row r="18" spans="1:1" ht="15" customHeight="1" x14ac:dyDescent="0.25">
      <c r="A18" s="68" t="s">
        <v>158</v>
      </c>
    </row>
    <row r="19" spans="1:1" ht="15" customHeight="1" x14ac:dyDescent="0.25">
      <c r="A19" s="68" t="s">
        <v>159</v>
      </c>
    </row>
    <row r="21" spans="1:1" ht="15.75" customHeight="1" x14ac:dyDescent="0.25"/>
    <row r="22" spans="1:1" ht="15.75" customHeight="1" x14ac:dyDescent="0.25"/>
    <row r="23" spans="1:1" ht="15.75" customHeight="1" x14ac:dyDescent="0.25"/>
    <row r="24" spans="1:1" ht="15.75" customHeight="1" x14ac:dyDescent="0.25"/>
    <row r="25" spans="1:1" ht="15.75" customHeight="1" x14ac:dyDescent="0.25"/>
    <row r="26" spans="1:1" ht="15.75" customHeight="1" x14ac:dyDescent="0.25"/>
    <row r="27" spans="1:1" ht="15.75" customHeight="1" x14ac:dyDescent="0.25"/>
    <row r="28" spans="1:1" ht="15.75" customHeight="1" x14ac:dyDescent="0.25"/>
    <row r="29" spans="1:1" ht="15.75" customHeight="1" x14ac:dyDescent="0.25"/>
    <row r="30" spans="1:1" ht="15.75" customHeight="1" x14ac:dyDescent="0.25"/>
    <row r="31" spans="1:1" ht="15.75" customHeight="1" x14ac:dyDescent="0.25"/>
    <row r="32" spans="1:1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E-Bus ID</vt:lpstr>
      <vt:lpstr>ICE-Bus ID</vt:lpstr>
      <vt:lpstr>E-Truck ID</vt:lpstr>
      <vt:lpstr>ICE-Truck ID</vt:lpstr>
      <vt:lpstr>E-Cargo ID</vt:lpstr>
      <vt:lpstr>ICE-Cargo ID</vt:lpstr>
      <vt:lpstr>Sensitivity</vt:lpstr>
      <vt:lpstr>E-Conv Mortorcyle ID</vt:lpstr>
      <vt:lpstr>ICE-Motorcycle ID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Indra Al Irsyad</dc:creator>
  <cp:lastModifiedBy>Valentinus Tri Frebrina Harisetyawan</cp:lastModifiedBy>
  <dcterms:created xsi:type="dcterms:W3CDTF">2015-06-05T18:17:20Z</dcterms:created>
  <dcterms:modified xsi:type="dcterms:W3CDTF">2024-09-30T05:03:10Z</dcterms:modified>
</cp:coreProperties>
</file>