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1.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2.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3.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4.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5.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6.xml" ContentType="application/vnd.openxmlformats-officedocument.themeOverrid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https://d.docs.live.net/c6908e728f1b34df/Paper ERIA/Xls baru 29092024/"/>
    </mc:Choice>
  </mc:AlternateContent>
  <xr:revisionPtr revIDLastSave="48" documentId="13_ncr:1_{DE7825A9-784C-4656-9A30-6C07A91F6EE0}" xr6:coauthVersionLast="47" xr6:coauthVersionMax="47" xr10:uidLastSave="{549F4F29-8275-4AB1-AFEA-A32F1F044D63}"/>
  <bookViews>
    <workbookView xWindow="-120" yWindow="-120" windowWidth="29040" windowHeight="16440" activeTab="6" xr2:uid="{00000000-000D-0000-FFFF-FFFF00000000}"/>
  </bookViews>
  <sheets>
    <sheet name="E-Bus LA" sheetId="1" r:id="rId1"/>
    <sheet name="ICE-Bus LA" sheetId="34" r:id="rId2"/>
    <sheet name="E-Truck LA" sheetId="37" r:id="rId3"/>
    <sheet name="ICE-Truck LA" sheetId="39" r:id="rId4"/>
    <sheet name="E-Cargo LA" sheetId="38" r:id="rId5"/>
    <sheet name="ICE-Cargo LA" sheetId="40" r:id="rId6"/>
    <sheet name="Sensitivity" sheetId="41" r:id="rId7"/>
    <sheet name="Reference" sheetId="29" r:id="rId8"/>
    <sheet name="Description" sheetId="2" r:id="rId9"/>
  </sheets>
  <externalReferences>
    <externalReference r:id="rId10"/>
  </externalReferenc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34" i="41" l="1"/>
  <c r="T19" i="41"/>
  <c r="T4" i="41"/>
  <c r="AD49" i="40"/>
  <c r="AD48" i="40"/>
  <c r="AD47" i="40"/>
  <c r="AD46" i="40"/>
  <c r="AD45" i="40"/>
  <c r="AD44" i="40"/>
  <c r="AD43" i="40"/>
  <c r="AD42" i="40"/>
  <c r="AD41" i="40"/>
  <c r="AD40" i="40"/>
  <c r="AD39" i="40"/>
  <c r="AD49" i="39"/>
  <c r="AD48" i="39"/>
  <c r="AD47" i="39"/>
  <c r="AD46" i="39"/>
  <c r="AD45" i="39"/>
  <c r="AD44" i="39"/>
  <c r="AD43" i="39"/>
  <c r="AD42" i="39"/>
  <c r="AD41" i="39"/>
  <c r="AD40" i="39"/>
  <c r="AD39" i="39"/>
  <c r="AD40" i="34"/>
  <c r="AD41" i="34"/>
  <c r="AD42" i="34"/>
  <c r="AD43" i="34"/>
  <c r="AD44" i="34"/>
  <c r="AD45" i="34"/>
  <c r="AD46" i="34"/>
  <c r="AD47" i="34"/>
  <c r="AD48" i="34"/>
  <c r="AD49" i="34"/>
  <c r="AD39" i="34"/>
  <c r="AD64" i="38"/>
  <c r="AD63" i="38"/>
  <c r="AD62" i="38"/>
  <c r="AD61" i="38"/>
  <c r="AD60" i="38"/>
  <c r="AD59" i="38"/>
  <c r="AD58" i="38"/>
  <c r="AD57" i="38"/>
  <c r="AD56" i="38"/>
  <c r="AD55" i="38"/>
  <c r="AD54" i="38"/>
  <c r="AD55" i="37"/>
  <c r="AD56" i="37"/>
  <c r="AD57" i="37"/>
  <c r="AD58" i="37"/>
  <c r="AD59" i="37"/>
  <c r="AD60" i="37"/>
  <c r="AD61" i="37"/>
  <c r="AD62" i="37"/>
  <c r="AD63" i="37"/>
  <c r="AD64" i="37"/>
  <c r="AD54" i="37"/>
  <c r="AD55" i="1"/>
  <c r="AD56" i="1"/>
  <c r="AD57" i="1"/>
  <c r="AD58" i="1"/>
  <c r="AD59" i="1"/>
  <c r="AD60" i="1"/>
  <c r="AD61" i="1"/>
  <c r="AD62" i="1"/>
  <c r="AD63" i="1"/>
  <c r="AD64" i="1"/>
  <c r="AD54" i="1"/>
  <c r="AD64" i="40"/>
  <c r="AP32" i="40" s="1"/>
  <c r="T45" i="41" s="1"/>
  <c r="AD63" i="40"/>
  <c r="AP31" i="40" s="1"/>
  <c r="T44" i="41" s="1"/>
  <c r="AD62" i="40"/>
  <c r="AP30" i="40" s="1"/>
  <c r="T43" i="41" s="1"/>
  <c r="AD61" i="40"/>
  <c r="AP29" i="40" s="1"/>
  <c r="T42" i="41" s="1"/>
  <c r="AD60" i="40"/>
  <c r="AP28" i="40" s="1"/>
  <c r="T41" i="41" s="1"/>
  <c r="AA60" i="40"/>
  <c r="AD59" i="40"/>
  <c r="AP27" i="40" s="1"/>
  <c r="T40" i="41" s="1"/>
  <c r="AB59" i="40"/>
  <c r="AD58" i="40"/>
  <c r="AP26" i="40" s="1"/>
  <c r="T39" i="41" s="1"/>
  <c r="AA58" i="40"/>
  <c r="AB58" i="40" s="1"/>
  <c r="AD57" i="40"/>
  <c r="AP25" i="40" s="1"/>
  <c r="T38" i="41" s="1"/>
  <c r="AA57" i="40"/>
  <c r="AD56" i="40"/>
  <c r="AP24" i="40" s="1"/>
  <c r="T37" i="41" s="1"/>
  <c r="AD55" i="40"/>
  <c r="AP23" i="40" s="1"/>
  <c r="T36" i="41" s="1"/>
  <c r="AD54" i="40"/>
  <c r="AP22" i="40" s="1"/>
  <c r="T35" i="41" s="1"/>
  <c r="AD64" i="39"/>
  <c r="AP32" i="39" s="1"/>
  <c r="T30" i="41" s="1"/>
  <c r="AD63" i="39"/>
  <c r="AP31" i="39" s="1"/>
  <c r="T29" i="41" s="1"/>
  <c r="AD62" i="39"/>
  <c r="AP30" i="39" s="1"/>
  <c r="T28" i="41" s="1"/>
  <c r="AD61" i="39"/>
  <c r="AP29" i="39" s="1"/>
  <c r="T27" i="41" s="1"/>
  <c r="AD60" i="39"/>
  <c r="AP28" i="39" s="1"/>
  <c r="T26" i="41" s="1"/>
  <c r="AA60" i="39"/>
  <c r="AD59" i="39"/>
  <c r="AP27" i="39" s="1"/>
  <c r="T25" i="41" s="1"/>
  <c r="AB59" i="39"/>
  <c r="AD58" i="39"/>
  <c r="AP26" i="39" s="1"/>
  <c r="T24" i="41" s="1"/>
  <c r="AA58" i="39"/>
  <c r="AB58" i="39" s="1"/>
  <c r="AD57" i="39"/>
  <c r="AP25" i="39" s="1"/>
  <c r="T23" i="41" s="1"/>
  <c r="AD56" i="39"/>
  <c r="AP24" i="39" s="1"/>
  <c r="T22" i="41" s="1"/>
  <c r="AD55" i="39"/>
  <c r="AP23" i="39" s="1"/>
  <c r="T21" i="41" s="1"/>
  <c r="AD54" i="39"/>
  <c r="AP22" i="39" s="1"/>
  <c r="T20" i="41" s="1"/>
  <c r="AC12" i="40"/>
  <c r="AB12" i="40"/>
  <c r="AC12" i="39"/>
  <c r="AB12" i="39"/>
  <c r="AB59" i="34"/>
  <c r="AC12" i="34"/>
  <c r="AB12" i="34"/>
  <c r="AD55" i="34"/>
  <c r="AP23" i="34" s="1"/>
  <c r="T6" i="41" s="1"/>
  <c r="AD56" i="34"/>
  <c r="AP24" i="34" s="1"/>
  <c r="T7" i="41" s="1"/>
  <c r="AD57" i="34"/>
  <c r="AP25" i="34" s="1"/>
  <c r="T8" i="41" s="1"/>
  <c r="AD58" i="34"/>
  <c r="AP26" i="34" s="1"/>
  <c r="T9" i="41" s="1"/>
  <c r="AD59" i="34"/>
  <c r="AP27" i="34" s="1"/>
  <c r="T10" i="41" s="1"/>
  <c r="AD60" i="34"/>
  <c r="AP28" i="34" s="1"/>
  <c r="T11" i="41" s="1"/>
  <c r="AD61" i="34"/>
  <c r="AP29" i="34" s="1"/>
  <c r="T12" i="41" s="1"/>
  <c r="AD62" i="34"/>
  <c r="AP30" i="34" s="1"/>
  <c r="T13" i="41" s="1"/>
  <c r="AD63" i="34"/>
  <c r="AP31" i="34" s="1"/>
  <c r="T14" i="41" s="1"/>
  <c r="AD64" i="34"/>
  <c r="AP32" i="34" s="1"/>
  <c r="T15" i="41" s="1"/>
  <c r="AD54" i="34"/>
  <c r="AP22" i="34" s="1"/>
  <c r="T5" i="41" s="1"/>
  <c r="AA60" i="34"/>
  <c r="AA58" i="34"/>
  <c r="AB58" i="34" s="1"/>
  <c r="AA57" i="34"/>
  <c r="AQ21" i="38"/>
  <c r="H34" i="41" s="1"/>
  <c r="AQ21" i="37"/>
  <c r="H19" i="41" s="1"/>
  <c r="AD79" i="38"/>
  <c r="AQ32" i="38" s="1"/>
  <c r="H45" i="41" s="1"/>
  <c r="AD78" i="38"/>
  <c r="AQ31" i="38" s="1"/>
  <c r="H44" i="41" s="1"/>
  <c r="AD77" i="38"/>
  <c r="AQ30" i="38" s="1"/>
  <c r="H43" i="41" s="1"/>
  <c r="AD76" i="38"/>
  <c r="AQ29" i="38" s="1"/>
  <c r="H42" i="41" s="1"/>
  <c r="AD75" i="38"/>
  <c r="AQ28" i="38" s="1"/>
  <c r="H41" i="41" s="1"/>
  <c r="AA75" i="38"/>
  <c r="AD74" i="38"/>
  <c r="AQ27" i="38" s="1"/>
  <c r="H40" i="41" s="1"/>
  <c r="AB74" i="38"/>
  <c r="AD73" i="38"/>
  <c r="AQ26" i="38" s="1"/>
  <c r="H39" i="41" s="1"/>
  <c r="AA73" i="38"/>
  <c r="AB73" i="38" s="1"/>
  <c r="AD72" i="38"/>
  <c r="AQ25" i="38" s="1"/>
  <c r="H38" i="41" s="1"/>
  <c r="AD71" i="38"/>
  <c r="AQ24" i="38" s="1"/>
  <c r="H37" i="41" s="1"/>
  <c r="AD70" i="38"/>
  <c r="AQ23" i="38" s="1"/>
  <c r="H36" i="41" s="1"/>
  <c r="AD69" i="38"/>
  <c r="AQ22" i="38" s="1"/>
  <c r="H35" i="41" s="1"/>
  <c r="AD79" i="37"/>
  <c r="AQ32" i="37" s="1"/>
  <c r="H30" i="41" s="1"/>
  <c r="AD78" i="37"/>
  <c r="AQ31" i="37" s="1"/>
  <c r="H29" i="41" s="1"/>
  <c r="AD77" i="37"/>
  <c r="AQ30" i="37" s="1"/>
  <c r="H28" i="41" s="1"/>
  <c r="AD76" i="37"/>
  <c r="AQ29" i="37" s="1"/>
  <c r="H27" i="41" s="1"/>
  <c r="AD75" i="37"/>
  <c r="AQ28" i="37" s="1"/>
  <c r="H26" i="41" s="1"/>
  <c r="AA75" i="37"/>
  <c r="AD74" i="37"/>
  <c r="AQ27" i="37" s="1"/>
  <c r="H25" i="41" s="1"/>
  <c r="AB74" i="37"/>
  <c r="AD73" i="37"/>
  <c r="AQ26" i="37" s="1"/>
  <c r="H24" i="41" s="1"/>
  <c r="AA73" i="37"/>
  <c r="AB73" i="37" s="1"/>
  <c r="AD72" i="37"/>
  <c r="AQ25" i="37" s="1"/>
  <c r="H23" i="41" s="1"/>
  <c r="AA72" i="37"/>
  <c r="AD71" i="37"/>
  <c r="AQ24" i="37" s="1"/>
  <c r="H22" i="41" s="1"/>
  <c r="AD70" i="37"/>
  <c r="AQ23" i="37" s="1"/>
  <c r="H21" i="41" s="1"/>
  <c r="AD69" i="37"/>
  <c r="AQ22" i="37" s="1"/>
  <c r="H20" i="41" s="1"/>
  <c r="AB14" i="37"/>
  <c r="AQ21" i="1"/>
  <c r="H4" i="41" s="1"/>
  <c r="AB14" i="1"/>
  <c r="AD70" i="1"/>
  <c r="AQ23" i="1" s="1"/>
  <c r="H6" i="41" s="1"/>
  <c r="AD71" i="1"/>
  <c r="AQ24" i="1" s="1"/>
  <c r="H7" i="41" s="1"/>
  <c r="AD72" i="1"/>
  <c r="AQ25" i="1" s="1"/>
  <c r="H8" i="41" s="1"/>
  <c r="AD73" i="1"/>
  <c r="AQ26" i="1" s="1"/>
  <c r="H9" i="41" s="1"/>
  <c r="AD74" i="1"/>
  <c r="AQ27" i="1" s="1"/>
  <c r="H10" i="41" s="1"/>
  <c r="AD75" i="1"/>
  <c r="AQ28" i="1" s="1"/>
  <c r="H11" i="41" s="1"/>
  <c r="AD76" i="1"/>
  <c r="AQ29" i="1" s="1"/>
  <c r="H12" i="41" s="1"/>
  <c r="AD77" i="1"/>
  <c r="AQ30" i="1" s="1"/>
  <c r="H13" i="41" s="1"/>
  <c r="AD78" i="1"/>
  <c r="AQ31" i="1" s="1"/>
  <c r="H14" i="41" s="1"/>
  <c r="AD79" i="1"/>
  <c r="AQ32" i="1" s="1"/>
  <c r="H15" i="41" s="1"/>
  <c r="AD69" i="1"/>
  <c r="AQ22" i="1" s="1"/>
  <c r="H5" i="41" s="1"/>
  <c r="AB74" i="1"/>
  <c r="AA75" i="1"/>
  <c r="AA73" i="1"/>
  <c r="AB73" i="1" s="1"/>
  <c r="AA72" i="1"/>
  <c r="AA61" i="40" l="1"/>
  <c r="AB61" i="40" s="1"/>
  <c r="AB60" i="40"/>
  <c r="AA61" i="39"/>
  <c r="AB61" i="39" s="1"/>
  <c r="AB60" i="39"/>
  <c r="AA76" i="1"/>
  <c r="AB76" i="1" s="1"/>
  <c r="AB75" i="1"/>
  <c r="AA71" i="1"/>
  <c r="AB72" i="1"/>
  <c r="AA76" i="38"/>
  <c r="AB76" i="38" s="1"/>
  <c r="AB75" i="38"/>
  <c r="AA56" i="34"/>
  <c r="AB56" i="34" s="1"/>
  <c r="AB57" i="34"/>
  <c r="AA71" i="37"/>
  <c r="AB71" i="37" s="1"/>
  <c r="AB72" i="37"/>
  <c r="AA76" i="37"/>
  <c r="AB76" i="37" s="1"/>
  <c r="AB75" i="37"/>
  <c r="AA56" i="40"/>
  <c r="AB56" i="40" s="1"/>
  <c r="AB57" i="40"/>
  <c r="AA72" i="38"/>
  <c r="AA61" i="34"/>
  <c r="AB61" i="34" s="1"/>
  <c r="AB60" i="34"/>
  <c r="AA62" i="40"/>
  <c r="AB62" i="40" s="1"/>
  <c r="AA55" i="40"/>
  <c r="AB55" i="40" s="1"/>
  <c r="AA62" i="39"/>
  <c r="AB62" i="39" s="1"/>
  <c r="AA57" i="39"/>
  <c r="AB57" i="39" s="1"/>
  <c r="AA55" i="34"/>
  <c r="AB55" i="34" s="1"/>
  <c r="AA77" i="38"/>
  <c r="AB77" i="38" s="1"/>
  <c r="AA70" i="37"/>
  <c r="AB70" i="37" s="1"/>
  <c r="AA77" i="1"/>
  <c r="AA78" i="1" l="1"/>
  <c r="AB77" i="1"/>
  <c r="AA70" i="1"/>
  <c r="AB71" i="1"/>
  <c r="AA71" i="38"/>
  <c r="AB72" i="38"/>
  <c r="AA62" i="34"/>
  <c r="AB62" i="34" s="1"/>
  <c r="AA77" i="37"/>
  <c r="AB77" i="37" s="1"/>
  <c r="AA63" i="40"/>
  <c r="AB63" i="40" s="1"/>
  <c r="AA54" i="40"/>
  <c r="AB54" i="40" s="1"/>
  <c r="AA63" i="39"/>
  <c r="AB63" i="39" s="1"/>
  <c r="AA56" i="39"/>
  <c r="AB56" i="39" s="1"/>
  <c r="AA54" i="34"/>
  <c r="AB54" i="34" s="1"/>
  <c r="AA78" i="38"/>
  <c r="AB78" i="38" s="1"/>
  <c r="AA69" i="37"/>
  <c r="AB69" i="37" s="1"/>
  <c r="AB71" i="38" l="1"/>
  <c r="AA70" i="38"/>
  <c r="AA69" i="1"/>
  <c r="AB69" i="1" s="1"/>
  <c r="AB70" i="1"/>
  <c r="AA63" i="34"/>
  <c r="AB63" i="34" s="1"/>
  <c r="AA78" i="37"/>
  <c r="AB78" i="37" s="1"/>
  <c r="AA79" i="1"/>
  <c r="AB79" i="1" s="1"/>
  <c r="AB78" i="1"/>
  <c r="AA64" i="40"/>
  <c r="AB64" i="40" s="1"/>
  <c r="AA64" i="39"/>
  <c r="AB64" i="39" s="1"/>
  <c r="AA55" i="39"/>
  <c r="AB55" i="39" s="1"/>
  <c r="AA79" i="38"/>
  <c r="AB79" i="38" s="1"/>
  <c r="AA79" i="37"/>
  <c r="AB79" i="37" s="1"/>
  <c r="AA64" i="34" l="1"/>
  <c r="AB64" i="34" s="1"/>
  <c r="AB70" i="38"/>
  <c r="AA69" i="38"/>
  <c r="AB69" i="38" s="1"/>
  <c r="AA54" i="39"/>
  <c r="AB54" i="39" s="1"/>
  <c r="O35" i="41" l="1"/>
  <c r="O36" i="41"/>
  <c r="O37" i="41"/>
  <c r="O38" i="41"/>
  <c r="O39" i="41"/>
  <c r="O40" i="41"/>
  <c r="O41" i="41"/>
  <c r="O42" i="41"/>
  <c r="O43" i="41"/>
  <c r="O44" i="41"/>
  <c r="O45" i="41"/>
  <c r="O20" i="41"/>
  <c r="O21" i="41"/>
  <c r="O22" i="41"/>
  <c r="O23" i="41"/>
  <c r="O24" i="41"/>
  <c r="O25" i="41"/>
  <c r="O26" i="41"/>
  <c r="O27" i="41"/>
  <c r="O28" i="41"/>
  <c r="O29" i="41"/>
  <c r="O30" i="41"/>
  <c r="O5" i="41"/>
  <c r="O6" i="41"/>
  <c r="O7" i="41"/>
  <c r="O8" i="41"/>
  <c r="O9" i="41"/>
  <c r="O10" i="41"/>
  <c r="O11" i="41"/>
  <c r="O12" i="41"/>
  <c r="O13" i="41"/>
  <c r="O14" i="41"/>
  <c r="O15" i="41"/>
  <c r="B35" i="41"/>
  <c r="B36" i="41"/>
  <c r="B37" i="41"/>
  <c r="B38" i="41"/>
  <c r="B39" i="41"/>
  <c r="B40" i="41"/>
  <c r="B41" i="41"/>
  <c r="B42" i="41"/>
  <c r="B43" i="41"/>
  <c r="B44" i="41"/>
  <c r="B45" i="41"/>
  <c r="B20" i="41"/>
  <c r="B21" i="41"/>
  <c r="B22" i="41"/>
  <c r="B23" i="41"/>
  <c r="B24" i="41"/>
  <c r="B25" i="41"/>
  <c r="B26" i="41"/>
  <c r="B27" i="41"/>
  <c r="B28" i="41"/>
  <c r="B29" i="41"/>
  <c r="B30" i="41"/>
  <c r="B5" i="41"/>
  <c r="B6" i="41"/>
  <c r="B7" i="41"/>
  <c r="B8" i="41"/>
  <c r="B9" i="41"/>
  <c r="B10" i="41"/>
  <c r="B11" i="41"/>
  <c r="B12" i="41"/>
  <c r="B13" i="41"/>
  <c r="B14" i="41"/>
  <c r="B15" i="41"/>
  <c r="J32" i="34"/>
  <c r="AI64" i="38"/>
  <c r="AI63" i="38"/>
  <c r="AI62" i="38"/>
  <c r="AI61" i="38"/>
  <c r="AI60" i="38"/>
  <c r="AI59" i="38"/>
  <c r="AI58" i="38"/>
  <c r="AI57" i="38"/>
  <c r="AI56" i="38"/>
  <c r="AI55" i="38"/>
  <c r="AI54" i="38"/>
  <c r="AI64" i="37"/>
  <c r="AI63" i="37"/>
  <c r="AI62" i="37"/>
  <c r="AI61" i="37"/>
  <c r="AI60" i="37"/>
  <c r="AI59" i="37"/>
  <c r="AI58" i="37"/>
  <c r="AI57" i="37"/>
  <c r="AI56" i="37"/>
  <c r="AI55" i="37"/>
  <c r="AI54" i="37"/>
  <c r="AI55" i="1"/>
  <c r="AI56" i="1"/>
  <c r="AI57" i="1"/>
  <c r="AI58" i="1"/>
  <c r="AI59" i="1"/>
  <c r="AI60" i="1"/>
  <c r="AI61" i="1"/>
  <c r="AI62" i="1"/>
  <c r="AI63" i="1"/>
  <c r="AI64" i="1"/>
  <c r="AI54" i="1"/>
  <c r="AF60" i="38"/>
  <c r="AF61" i="38" s="1"/>
  <c r="AG59" i="38"/>
  <c r="AF58" i="38"/>
  <c r="AG58" i="38" s="1"/>
  <c r="AF57" i="38"/>
  <c r="AF56" i="38" s="1"/>
  <c r="AF60" i="37"/>
  <c r="AF61" i="37" s="1"/>
  <c r="AG59" i="37"/>
  <c r="AF58" i="37"/>
  <c r="AG58" i="37" s="1"/>
  <c r="AG56" i="1"/>
  <c r="AG58" i="1"/>
  <c r="AG59" i="1"/>
  <c r="AF60" i="1"/>
  <c r="AG60" i="1" s="1"/>
  <c r="AF58" i="1"/>
  <c r="AF57" i="1" s="1"/>
  <c r="AF56" i="1" s="1"/>
  <c r="AF55" i="1" s="1"/>
  <c r="AG55" i="1" s="1"/>
  <c r="F45" i="38"/>
  <c r="F46" i="38" s="1"/>
  <c r="F48" i="38" s="1"/>
  <c r="F45" i="37"/>
  <c r="F46" i="37" s="1"/>
  <c r="F48" i="37" s="1"/>
  <c r="F47" i="1"/>
  <c r="F45" i="1"/>
  <c r="F46" i="1" s="1"/>
  <c r="F47" i="38"/>
  <c r="B44" i="38"/>
  <c r="B46" i="38" s="1"/>
  <c r="AB9" i="38" s="1"/>
  <c r="J26" i="38"/>
  <c r="F49" i="38" s="1"/>
  <c r="F51" i="38" s="1"/>
  <c r="F47" i="37"/>
  <c r="B44" i="37"/>
  <c r="B46" i="37" s="1"/>
  <c r="AB9" i="37" s="1"/>
  <c r="J26" i="37"/>
  <c r="F49" i="37" s="1"/>
  <c r="F51" i="37" s="1"/>
  <c r="J26" i="1"/>
  <c r="F49" i="1" s="1"/>
  <c r="F51" i="1" s="1"/>
  <c r="B44" i="1"/>
  <c r="AB10" i="40"/>
  <c r="AB10" i="39"/>
  <c r="AB11" i="38"/>
  <c r="AB11" i="37"/>
  <c r="B43" i="40"/>
  <c r="B44" i="40" s="1"/>
  <c r="F41" i="40"/>
  <c r="F36" i="40"/>
  <c r="F37" i="40" s="1"/>
  <c r="F38" i="40" s="1"/>
  <c r="Q9" i="40" s="1"/>
  <c r="J35" i="40"/>
  <c r="J30" i="40" s="1"/>
  <c r="B35" i="40"/>
  <c r="B34" i="40"/>
  <c r="J32" i="40"/>
  <c r="B32" i="40"/>
  <c r="B31" i="40"/>
  <c r="B47" i="40" s="1"/>
  <c r="B43" i="39"/>
  <c r="B44" i="39" s="1"/>
  <c r="F41" i="39"/>
  <c r="F36" i="39"/>
  <c r="F37" i="39" s="1"/>
  <c r="F38" i="39" s="1"/>
  <c r="Q9" i="39" s="1"/>
  <c r="J35" i="39"/>
  <c r="AB11" i="39" s="1"/>
  <c r="B35" i="39"/>
  <c r="B34" i="39"/>
  <c r="J32" i="39"/>
  <c r="B32" i="39"/>
  <c r="B31" i="39"/>
  <c r="B47" i="39" s="1"/>
  <c r="B43" i="38"/>
  <c r="B45" i="38" s="1"/>
  <c r="J41" i="38"/>
  <c r="AB12" i="38" s="1"/>
  <c r="J40" i="38"/>
  <c r="I40" i="38"/>
  <c r="J39" i="38"/>
  <c r="J38" i="38"/>
  <c r="I38" i="38"/>
  <c r="F37" i="38"/>
  <c r="F36" i="38"/>
  <c r="B35" i="38"/>
  <c r="J34" i="38"/>
  <c r="B34" i="38"/>
  <c r="B32" i="38"/>
  <c r="J31" i="38"/>
  <c r="U9" i="38" s="1"/>
  <c r="B31" i="38"/>
  <c r="B43" i="37"/>
  <c r="B45" i="37" s="1"/>
  <c r="J41" i="37"/>
  <c r="J40" i="37"/>
  <c r="I40" i="37"/>
  <c r="J39" i="37"/>
  <c r="J38" i="37"/>
  <c r="I38" i="37"/>
  <c r="F37" i="37"/>
  <c r="F40" i="37" s="1"/>
  <c r="R9" i="37" s="1"/>
  <c r="F36" i="37"/>
  <c r="AB8" i="37" s="1"/>
  <c r="B35" i="37"/>
  <c r="J34" i="37"/>
  <c r="B34" i="37"/>
  <c r="B32" i="37"/>
  <c r="J31" i="37"/>
  <c r="U9" i="37" s="1"/>
  <c r="B31" i="37"/>
  <c r="J35" i="34"/>
  <c r="J41" i="1"/>
  <c r="AI49" i="40"/>
  <c r="AO32" i="40" s="1"/>
  <c r="S45" i="41" s="1"/>
  <c r="AN32" i="40"/>
  <c r="R45" i="41" s="1"/>
  <c r="AI48" i="40"/>
  <c r="AO31" i="40" s="1"/>
  <c r="S44" i="41" s="1"/>
  <c r="AN31" i="40"/>
  <c r="R44" i="41" s="1"/>
  <c r="AI47" i="40"/>
  <c r="AO30" i="40" s="1"/>
  <c r="S43" i="41" s="1"/>
  <c r="AN30" i="40"/>
  <c r="R43" i="41" s="1"/>
  <c r="AI46" i="40"/>
  <c r="AO29" i="40" s="1"/>
  <c r="S42" i="41" s="1"/>
  <c r="AN29" i="40"/>
  <c r="R42" i="41" s="1"/>
  <c r="AI45" i="40"/>
  <c r="AO28" i="40" s="1"/>
  <c r="S41" i="41" s="1"/>
  <c r="AF45" i="40"/>
  <c r="AG45" i="40" s="1"/>
  <c r="AN28" i="40"/>
  <c r="R41" i="41" s="1"/>
  <c r="AA45" i="40"/>
  <c r="AA46" i="40" s="1"/>
  <c r="AI44" i="40"/>
  <c r="AO27" i="40" s="1"/>
  <c r="S40" i="41" s="1"/>
  <c r="AG44" i="40"/>
  <c r="AN27" i="40"/>
  <c r="R40" i="41" s="1"/>
  <c r="AB44" i="40"/>
  <c r="AI43" i="40"/>
  <c r="AO26" i="40" s="1"/>
  <c r="S39" i="41" s="1"/>
  <c r="AF43" i="40"/>
  <c r="AG43" i="40" s="1"/>
  <c r="AN26" i="40"/>
  <c r="R39" i="41" s="1"/>
  <c r="AA43" i="40"/>
  <c r="AA42" i="40" s="1"/>
  <c r="AA41" i="40" s="1"/>
  <c r="AI42" i="40"/>
  <c r="AO25" i="40" s="1"/>
  <c r="S38" i="41" s="1"/>
  <c r="AF42" i="40"/>
  <c r="AG42" i="40" s="1"/>
  <c r="AN25" i="40"/>
  <c r="R38" i="41" s="1"/>
  <c r="AI41" i="40"/>
  <c r="AO24" i="40" s="1"/>
  <c r="S37" i="41" s="1"/>
  <c r="AN24" i="40"/>
  <c r="R37" i="41" s="1"/>
  <c r="AI40" i="40"/>
  <c r="AO23" i="40" s="1"/>
  <c r="S36" i="41" s="1"/>
  <c r="AN23" i="40"/>
  <c r="R36" i="41" s="1"/>
  <c r="AI39" i="40"/>
  <c r="AO22" i="40" s="1"/>
  <c r="S35" i="41" s="1"/>
  <c r="AN22" i="40"/>
  <c r="R35" i="41" s="1"/>
  <c r="AI34" i="40"/>
  <c r="AL32" i="40" s="1"/>
  <c r="P45" i="41" s="1"/>
  <c r="AD34" i="40"/>
  <c r="AM32" i="40" s="1"/>
  <c r="Q45" i="41" s="1"/>
  <c r="AI33" i="40"/>
  <c r="AL31" i="40" s="1"/>
  <c r="P44" i="41" s="1"/>
  <c r="AD33" i="40"/>
  <c r="AM31" i="40" s="1"/>
  <c r="Q44" i="41" s="1"/>
  <c r="AI32" i="40"/>
  <c r="AL30" i="40" s="1"/>
  <c r="P43" i="41" s="1"/>
  <c r="AD32" i="40"/>
  <c r="AM30" i="40" s="1"/>
  <c r="Q43" i="41" s="1"/>
  <c r="AI31" i="40"/>
  <c r="AL29" i="40" s="1"/>
  <c r="P42" i="41" s="1"/>
  <c r="AD31" i="40"/>
  <c r="AM29" i="40" s="1"/>
  <c r="Q42" i="41" s="1"/>
  <c r="AI30" i="40"/>
  <c r="AL28" i="40" s="1"/>
  <c r="P41" i="41" s="1"/>
  <c r="AF30" i="40"/>
  <c r="AG30" i="40" s="1"/>
  <c r="AD30" i="40"/>
  <c r="AM28" i="40" s="1"/>
  <c r="Q41" i="41" s="1"/>
  <c r="AA30" i="40"/>
  <c r="AA31" i="40" s="1"/>
  <c r="AI29" i="40"/>
  <c r="AL27" i="40" s="1"/>
  <c r="P40" i="41" s="1"/>
  <c r="AG29" i="40"/>
  <c r="AD29" i="40"/>
  <c r="AM27" i="40" s="1"/>
  <c r="Q40" i="41" s="1"/>
  <c r="AB29" i="40"/>
  <c r="AI28" i="40"/>
  <c r="AL26" i="40" s="1"/>
  <c r="P39" i="41" s="1"/>
  <c r="AF28" i="40"/>
  <c r="AF27" i="40" s="1"/>
  <c r="AD28" i="40"/>
  <c r="AM26" i="40" s="1"/>
  <c r="Q39" i="41" s="1"/>
  <c r="AA28" i="40"/>
  <c r="AB28" i="40" s="1"/>
  <c r="AI27" i="40"/>
  <c r="AL25" i="40" s="1"/>
  <c r="P38" i="41" s="1"/>
  <c r="AD27" i="40"/>
  <c r="AM25" i="40" s="1"/>
  <c r="Q38" i="41" s="1"/>
  <c r="AI26" i="40"/>
  <c r="AL24" i="40" s="1"/>
  <c r="P37" i="41" s="1"/>
  <c r="AD26" i="40"/>
  <c r="AM24" i="40" s="1"/>
  <c r="Q37" i="41" s="1"/>
  <c r="AI25" i="40"/>
  <c r="AL23" i="40" s="1"/>
  <c r="P36" i="41" s="1"/>
  <c r="AD25" i="40"/>
  <c r="AM23" i="40" s="1"/>
  <c r="Q36" i="41" s="1"/>
  <c r="AI24" i="40"/>
  <c r="AL22" i="40" s="1"/>
  <c r="P35" i="41" s="1"/>
  <c r="AD24" i="40"/>
  <c r="AM22" i="40" s="1"/>
  <c r="Q35" i="41" s="1"/>
  <c r="N10" i="40"/>
  <c r="U9" i="40"/>
  <c r="T8" i="40"/>
  <c r="AI49" i="39"/>
  <c r="AO32" i="39" s="1"/>
  <c r="S30" i="41" s="1"/>
  <c r="AN32" i="39"/>
  <c r="R30" i="41" s="1"/>
  <c r="AI48" i="39"/>
  <c r="AO31" i="39" s="1"/>
  <c r="S29" i="41" s="1"/>
  <c r="AN31" i="39"/>
  <c r="R29" i="41" s="1"/>
  <c r="AI47" i="39"/>
  <c r="AO30" i="39" s="1"/>
  <c r="S28" i="41" s="1"/>
  <c r="AN30" i="39"/>
  <c r="R28" i="41" s="1"/>
  <c r="AI46" i="39"/>
  <c r="AO29" i="39" s="1"/>
  <c r="S27" i="41" s="1"/>
  <c r="AN29" i="39"/>
  <c r="R27" i="41" s="1"/>
  <c r="AI45" i="39"/>
  <c r="AO28" i="39" s="1"/>
  <c r="S26" i="41" s="1"/>
  <c r="AF45" i="39"/>
  <c r="AF46" i="39" s="1"/>
  <c r="AN28" i="39"/>
  <c r="R26" i="41" s="1"/>
  <c r="AA45" i="39"/>
  <c r="AB45" i="39" s="1"/>
  <c r="AI44" i="39"/>
  <c r="AO27" i="39" s="1"/>
  <c r="S25" i="41" s="1"/>
  <c r="AG44" i="39"/>
  <c r="AN27" i="39"/>
  <c r="R25" i="41" s="1"/>
  <c r="AB44" i="39"/>
  <c r="AI43" i="39"/>
  <c r="AO26" i="39" s="1"/>
  <c r="S24" i="41" s="1"/>
  <c r="AF43" i="39"/>
  <c r="AG43" i="39" s="1"/>
  <c r="AN26" i="39"/>
  <c r="R24" i="41" s="1"/>
  <c r="AA43" i="39"/>
  <c r="AB43" i="39" s="1"/>
  <c r="AI42" i="39"/>
  <c r="AO25" i="39" s="1"/>
  <c r="S23" i="41" s="1"/>
  <c r="AN25" i="39"/>
  <c r="R23" i="41" s="1"/>
  <c r="AI41" i="39"/>
  <c r="AO24" i="39" s="1"/>
  <c r="S22" i="41" s="1"/>
  <c r="AN24" i="39"/>
  <c r="R22" i="41" s="1"/>
  <c r="AI40" i="39"/>
  <c r="AO23" i="39" s="1"/>
  <c r="S21" i="41" s="1"/>
  <c r="AN23" i="39"/>
  <c r="R21" i="41" s="1"/>
  <c r="AI39" i="39"/>
  <c r="AO22" i="39" s="1"/>
  <c r="S20" i="41" s="1"/>
  <c r="AN22" i="39"/>
  <c r="R20" i="41" s="1"/>
  <c r="AI34" i="39"/>
  <c r="AL32" i="39" s="1"/>
  <c r="P30" i="41" s="1"/>
  <c r="AD34" i="39"/>
  <c r="AM32" i="39" s="1"/>
  <c r="Q30" i="41" s="1"/>
  <c r="AI33" i="39"/>
  <c r="AL31" i="39" s="1"/>
  <c r="P29" i="41" s="1"/>
  <c r="AD33" i="39"/>
  <c r="AM31" i="39" s="1"/>
  <c r="Q29" i="41" s="1"/>
  <c r="AI32" i="39"/>
  <c r="AL30" i="39" s="1"/>
  <c r="P28" i="41" s="1"/>
  <c r="AD32" i="39"/>
  <c r="AM30" i="39" s="1"/>
  <c r="Q28" i="41" s="1"/>
  <c r="AI31" i="39"/>
  <c r="AL29" i="39" s="1"/>
  <c r="P27" i="41" s="1"/>
  <c r="AD31" i="39"/>
  <c r="AM29" i="39" s="1"/>
  <c r="Q27" i="41" s="1"/>
  <c r="AI30" i="39"/>
  <c r="AL28" i="39" s="1"/>
  <c r="P26" i="41" s="1"/>
  <c r="AF30" i="39"/>
  <c r="AF31" i="39" s="1"/>
  <c r="AD30" i="39"/>
  <c r="AM28" i="39" s="1"/>
  <c r="Q26" i="41" s="1"/>
  <c r="AA30" i="39"/>
  <c r="AB30" i="39" s="1"/>
  <c r="AI29" i="39"/>
  <c r="AL27" i="39" s="1"/>
  <c r="P25" i="41" s="1"/>
  <c r="AG29" i="39"/>
  <c r="AD29" i="39"/>
  <c r="AM27" i="39" s="1"/>
  <c r="Q25" i="41" s="1"/>
  <c r="AB29" i="39"/>
  <c r="AI28" i="39"/>
  <c r="AL26" i="39" s="1"/>
  <c r="P24" i="41" s="1"/>
  <c r="AF28" i="39"/>
  <c r="AG28" i="39" s="1"/>
  <c r="AD28" i="39"/>
  <c r="AM26" i="39" s="1"/>
  <c r="Q24" i="41" s="1"/>
  <c r="AA28" i="39"/>
  <c r="AB28" i="39" s="1"/>
  <c r="AI27" i="39"/>
  <c r="AL25" i="39" s="1"/>
  <c r="P23" i="41" s="1"/>
  <c r="AF27" i="39"/>
  <c r="AF26" i="39" s="1"/>
  <c r="AD27" i="39"/>
  <c r="AM25" i="39" s="1"/>
  <c r="Q23" i="41" s="1"/>
  <c r="AI26" i="39"/>
  <c r="AL24" i="39" s="1"/>
  <c r="P22" i="41" s="1"/>
  <c r="AD26" i="39"/>
  <c r="AM24" i="39" s="1"/>
  <c r="Q22" i="41" s="1"/>
  <c r="AI25" i="39"/>
  <c r="AL23" i="39" s="1"/>
  <c r="P21" i="41" s="1"/>
  <c r="AD25" i="39"/>
  <c r="AM23" i="39" s="1"/>
  <c r="Q21" i="41" s="1"/>
  <c r="AI24" i="39"/>
  <c r="AL22" i="39" s="1"/>
  <c r="P20" i="41" s="1"/>
  <c r="AD24" i="39"/>
  <c r="AM22" i="39" s="1"/>
  <c r="Q20" i="41" s="1"/>
  <c r="N10" i="39"/>
  <c r="U10" i="39" s="1"/>
  <c r="U9" i="39"/>
  <c r="T8" i="39"/>
  <c r="J17" i="38"/>
  <c r="AB14" i="38" s="1"/>
  <c r="AP32" i="38"/>
  <c r="G45" i="41" s="1"/>
  <c r="AP31" i="38"/>
  <c r="G44" i="41" s="1"/>
  <c r="AP30" i="38"/>
  <c r="G43" i="41" s="1"/>
  <c r="AP29" i="38"/>
  <c r="G42" i="41" s="1"/>
  <c r="AP28" i="38"/>
  <c r="G41" i="41" s="1"/>
  <c r="AA60" i="38"/>
  <c r="AA61" i="38" s="1"/>
  <c r="AP27" i="38"/>
  <c r="G40" i="41" s="1"/>
  <c r="AB59" i="38"/>
  <c r="AP26" i="38"/>
  <c r="G39" i="41" s="1"/>
  <c r="AA58" i="38"/>
  <c r="AA57" i="38" s="1"/>
  <c r="AP25" i="38"/>
  <c r="G38" i="41" s="1"/>
  <c r="AP24" i="38"/>
  <c r="G37" i="41" s="1"/>
  <c r="AP23" i="38"/>
  <c r="G36" i="41" s="1"/>
  <c r="AP22" i="38"/>
  <c r="G35" i="41" s="1"/>
  <c r="AI49" i="38"/>
  <c r="AO32" i="38" s="1"/>
  <c r="F45" i="41" s="1"/>
  <c r="AD49" i="38"/>
  <c r="AN32" i="38" s="1"/>
  <c r="E45" i="41" s="1"/>
  <c r="AI48" i="38"/>
  <c r="AO31" i="38" s="1"/>
  <c r="F44" i="41" s="1"/>
  <c r="AD48" i="38"/>
  <c r="AN31" i="38" s="1"/>
  <c r="E44" i="41" s="1"/>
  <c r="AI47" i="38"/>
  <c r="AO30" i="38" s="1"/>
  <c r="F43" i="41" s="1"/>
  <c r="AD47" i="38"/>
  <c r="AN30" i="38" s="1"/>
  <c r="E43" i="41" s="1"/>
  <c r="AI46" i="38"/>
  <c r="AO29" i="38" s="1"/>
  <c r="F42" i="41" s="1"/>
  <c r="AD46" i="38"/>
  <c r="AN29" i="38" s="1"/>
  <c r="E42" i="41" s="1"/>
  <c r="AI45" i="38"/>
  <c r="AO28" i="38" s="1"/>
  <c r="F41" i="41" s="1"/>
  <c r="AF45" i="38"/>
  <c r="AF46" i="38" s="1"/>
  <c r="AD45" i="38"/>
  <c r="AN28" i="38" s="1"/>
  <c r="E41" i="41" s="1"/>
  <c r="AA45" i="38"/>
  <c r="AA46" i="38" s="1"/>
  <c r="AI44" i="38"/>
  <c r="AO27" i="38" s="1"/>
  <c r="F40" i="41" s="1"/>
  <c r="AG44" i="38"/>
  <c r="AD44" i="38"/>
  <c r="AN27" i="38" s="1"/>
  <c r="E40" i="41" s="1"/>
  <c r="AB44" i="38"/>
  <c r="AI43" i="38"/>
  <c r="AO26" i="38" s="1"/>
  <c r="F39" i="41" s="1"/>
  <c r="AF43" i="38"/>
  <c r="AG43" i="38" s="1"/>
  <c r="AD43" i="38"/>
  <c r="AN26" i="38" s="1"/>
  <c r="E39" i="41" s="1"/>
  <c r="AA43" i="38"/>
  <c r="AA42" i="38" s="1"/>
  <c r="AI42" i="38"/>
  <c r="AO25" i="38" s="1"/>
  <c r="F38" i="41" s="1"/>
  <c r="AF42" i="38"/>
  <c r="AG42" i="38" s="1"/>
  <c r="AD42" i="38"/>
  <c r="AN25" i="38" s="1"/>
  <c r="E38" i="41" s="1"/>
  <c r="AI41" i="38"/>
  <c r="AO24" i="38" s="1"/>
  <c r="F37" i="41" s="1"/>
  <c r="AD41" i="38"/>
  <c r="AN24" i="38" s="1"/>
  <c r="E37" i="41" s="1"/>
  <c r="AI40" i="38"/>
  <c r="AO23" i="38" s="1"/>
  <c r="F36" i="41" s="1"/>
  <c r="AD40" i="38"/>
  <c r="AN23" i="38" s="1"/>
  <c r="E36" i="41" s="1"/>
  <c r="AI39" i="38"/>
  <c r="AO22" i="38" s="1"/>
  <c r="F35" i="41" s="1"/>
  <c r="AD39" i="38"/>
  <c r="AN22" i="38" s="1"/>
  <c r="E35" i="41" s="1"/>
  <c r="AI34" i="38"/>
  <c r="AL32" i="38" s="1"/>
  <c r="C45" i="41" s="1"/>
  <c r="AD34" i="38"/>
  <c r="AM32" i="38" s="1"/>
  <c r="D45" i="41" s="1"/>
  <c r="AI33" i="38"/>
  <c r="AL31" i="38" s="1"/>
  <c r="C44" i="41" s="1"/>
  <c r="AD33" i="38"/>
  <c r="AM31" i="38" s="1"/>
  <c r="D44" i="41" s="1"/>
  <c r="AI32" i="38"/>
  <c r="AL30" i="38" s="1"/>
  <c r="C43" i="41" s="1"/>
  <c r="AD32" i="38"/>
  <c r="AM30" i="38" s="1"/>
  <c r="D43" i="41" s="1"/>
  <c r="AI31" i="38"/>
  <c r="AL29" i="38" s="1"/>
  <c r="C42" i="41" s="1"/>
  <c r="AD31" i="38"/>
  <c r="AM29" i="38" s="1"/>
  <c r="D42" i="41" s="1"/>
  <c r="AI30" i="38"/>
  <c r="AL28" i="38" s="1"/>
  <c r="C41" i="41" s="1"/>
  <c r="AG30" i="38"/>
  <c r="AF30" i="38"/>
  <c r="AF31" i="38" s="1"/>
  <c r="AD30" i="38"/>
  <c r="AM28" i="38" s="1"/>
  <c r="D41" i="41" s="1"/>
  <c r="AA30" i="38"/>
  <c r="AA31" i="38" s="1"/>
  <c r="AI29" i="38"/>
  <c r="AL27" i="38" s="1"/>
  <c r="C40" i="41" s="1"/>
  <c r="AG29" i="38"/>
  <c r="AD29" i="38"/>
  <c r="AM27" i="38" s="1"/>
  <c r="D40" i="41" s="1"/>
  <c r="AB29" i="38"/>
  <c r="AI28" i="38"/>
  <c r="AL26" i="38" s="1"/>
  <c r="C39" i="41" s="1"/>
  <c r="AF28" i="38"/>
  <c r="AG28" i="38" s="1"/>
  <c r="AD28" i="38"/>
  <c r="AM26" i="38" s="1"/>
  <c r="D39" i="41" s="1"/>
  <c r="AA28" i="38"/>
  <c r="AA27" i="38" s="1"/>
  <c r="AI27" i="38"/>
  <c r="AL25" i="38" s="1"/>
  <c r="C38" i="41" s="1"/>
  <c r="AD27" i="38"/>
  <c r="AM25" i="38" s="1"/>
  <c r="D38" i="41" s="1"/>
  <c r="AI26" i="38"/>
  <c r="AL24" i="38" s="1"/>
  <c r="C37" i="41" s="1"/>
  <c r="AD26" i="38"/>
  <c r="AM24" i="38" s="1"/>
  <c r="D37" i="41" s="1"/>
  <c r="AI25" i="38"/>
  <c r="AL23" i="38" s="1"/>
  <c r="C36" i="41" s="1"/>
  <c r="AD25" i="38"/>
  <c r="AM23" i="38" s="1"/>
  <c r="D36" i="41" s="1"/>
  <c r="AI24" i="38"/>
  <c r="AL22" i="38" s="1"/>
  <c r="C35" i="41" s="1"/>
  <c r="AD24" i="38"/>
  <c r="AM22" i="38" s="1"/>
  <c r="D35" i="41" s="1"/>
  <c r="N10" i="38"/>
  <c r="X9" i="38"/>
  <c r="T9" i="38"/>
  <c r="V8" i="38"/>
  <c r="U9" i="34"/>
  <c r="AP32" i="37"/>
  <c r="G30" i="41" s="1"/>
  <c r="AP31" i="37"/>
  <c r="G29" i="41" s="1"/>
  <c r="AP30" i="37"/>
  <c r="G28" i="41" s="1"/>
  <c r="AP29" i="37"/>
  <c r="G27" i="41" s="1"/>
  <c r="AP28" i="37"/>
  <c r="G26" i="41" s="1"/>
  <c r="AA60" i="37"/>
  <c r="AA61" i="37" s="1"/>
  <c r="AP27" i="37"/>
  <c r="G25" i="41" s="1"/>
  <c r="AB59" i="37"/>
  <c r="AP26" i="37"/>
  <c r="G24" i="41" s="1"/>
  <c r="AA58" i="37"/>
  <c r="AA57" i="37" s="1"/>
  <c r="AP25" i="37"/>
  <c r="G23" i="41" s="1"/>
  <c r="AP24" i="37"/>
  <c r="G22" i="41" s="1"/>
  <c r="AP23" i="37"/>
  <c r="G21" i="41" s="1"/>
  <c r="AP22" i="37"/>
  <c r="G20" i="41" s="1"/>
  <c r="AI49" i="37"/>
  <c r="AO32" i="37" s="1"/>
  <c r="F30" i="41" s="1"/>
  <c r="AD49" i="37"/>
  <c r="AN32" i="37" s="1"/>
  <c r="E30" i="41" s="1"/>
  <c r="AI48" i="37"/>
  <c r="AO31" i="37" s="1"/>
  <c r="F29" i="41" s="1"/>
  <c r="AD48" i="37"/>
  <c r="AN31" i="37" s="1"/>
  <c r="E29" i="41" s="1"/>
  <c r="AI47" i="37"/>
  <c r="AO30" i="37" s="1"/>
  <c r="F28" i="41" s="1"/>
  <c r="AD47" i="37"/>
  <c r="AN30" i="37" s="1"/>
  <c r="E28" i="41" s="1"/>
  <c r="AI46" i="37"/>
  <c r="AO29" i="37" s="1"/>
  <c r="F27" i="41" s="1"/>
  <c r="AD46" i="37"/>
  <c r="AN29" i="37" s="1"/>
  <c r="E27" i="41" s="1"/>
  <c r="AI45" i="37"/>
  <c r="AO28" i="37" s="1"/>
  <c r="F26" i="41" s="1"/>
  <c r="AG45" i="37"/>
  <c r="AF45" i="37"/>
  <c r="AF46" i="37" s="1"/>
  <c r="AD45" i="37"/>
  <c r="AN28" i="37" s="1"/>
  <c r="E26" i="41" s="1"/>
  <c r="AA45" i="37"/>
  <c r="AA46" i="37" s="1"/>
  <c r="AI44" i="37"/>
  <c r="AO27" i="37" s="1"/>
  <c r="F25" i="41" s="1"/>
  <c r="AG44" i="37"/>
  <c r="AD44" i="37"/>
  <c r="AN27" i="37" s="1"/>
  <c r="E25" i="41" s="1"/>
  <c r="AB44" i="37"/>
  <c r="AI43" i="37"/>
  <c r="AO26" i="37" s="1"/>
  <c r="F24" i="41" s="1"/>
  <c r="AF43" i="37"/>
  <c r="AF42" i="37" s="1"/>
  <c r="AD43" i="37"/>
  <c r="AN26" i="37" s="1"/>
  <c r="E24" i="41" s="1"/>
  <c r="AA43" i="37"/>
  <c r="AA42" i="37" s="1"/>
  <c r="AA41" i="37" s="1"/>
  <c r="AA40" i="37" s="1"/>
  <c r="AI42" i="37"/>
  <c r="AO25" i="37" s="1"/>
  <c r="F23" i="41" s="1"/>
  <c r="AD42" i="37"/>
  <c r="AN25" i="37" s="1"/>
  <c r="E23" i="41" s="1"/>
  <c r="AI41" i="37"/>
  <c r="AO24" i="37" s="1"/>
  <c r="F22" i="41" s="1"/>
  <c r="AD41" i="37"/>
  <c r="AN24" i="37" s="1"/>
  <c r="E22" i="41" s="1"/>
  <c r="AB41" i="37"/>
  <c r="AI40" i="37"/>
  <c r="AO23" i="37" s="1"/>
  <c r="F21" i="41" s="1"/>
  <c r="AD40" i="37"/>
  <c r="AN23" i="37" s="1"/>
  <c r="E21" i="41" s="1"/>
  <c r="AI39" i="37"/>
  <c r="AO22" i="37" s="1"/>
  <c r="F20" i="41" s="1"/>
  <c r="AD39" i="37"/>
  <c r="AN22" i="37" s="1"/>
  <c r="E20" i="41" s="1"/>
  <c r="AI34" i="37"/>
  <c r="AL32" i="37" s="1"/>
  <c r="C30" i="41" s="1"/>
  <c r="AD34" i="37"/>
  <c r="AM32" i="37" s="1"/>
  <c r="D30" i="41" s="1"/>
  <c r="AI33" i="37"/>
  <c r="AL31" i="37" s="1"/>
  <c r="C29" i="41" s="1"/>
  <c r="AD33" i="37"/>
  <c r="AM31" i="37" s="1"/>
  <c r="D29" i="41" s="1"/>
  <c r="AI32" i="37"/>
  <c r="AL30" i="37" s="1"/>
  <c r="C28" i="41" s="1"/>
  <c r="AD32" i="37"/>
  <c r="AM30" i="37" s="1"/>
  <c r="D28" i="41" s="1"/>
  <c r="AI31" i="37"/>
  <c r="AL29" i="37" s="1"/>
  <c r="C27" i="41" s="1"/>
  <c r="AD31" i="37"/>
  <c r="AM29" i="37" s="1"/>
  <c r="D27" i="41" s="1"/>
  <c r="AI30" i="37"/>
  <c r="AL28" i="37" s="1"/>
  <c r="C26" i="41" s="1"/>
  <c r="AF30" i="37"/>
  <c r="AF31" i="37" s="1"/>
  <c r="AD30" i="37"/>
  <c r="AM28" i="37" s="1"/>
  <c r="D26" i="41" s="1"/>
  <c r="AA30" i="37"/>
  <c r="AA31" i="37" s="1"/>
  <c r="AA32" i="37" s="1"/>
  <c r="AI29" i="37"/>
  <c r="AL27" i="37" s="1"/>
  <c r="C25" i="41" s="1"/>
  <c r="AG29" i="37"/>
  <c r="AD29" i="37"/>
  <c r="AM27" i="37" s="1"/>
  <c r="D25" i="41" s="1"/>
  <c r="AB29" i="37"/>
  <c r="AI28" i="37"/>
  <c r="AL26" i="37" s="1"/>
  <c r="C24" i="41" s="1"/>
  <c r="AF28" i="37"/>
  <c r="AG28" i="37" s="1"/>
  <c r="AD28" i="37"/>
  <c r="AM26" i="37" s="1"/>
  <c r="D24" i="41" s="1"/>
  <c r="AB28" i="37"/>
  <c r="AA28" i="37"/>
  <c r="AI27" i="37"/>
  <c r="AL25" i="37" s="1"/>
  <c r="C23" i="41" s="1"/>
  <c r="AD27" i="37"/>
  <c r="AM25" i="37" s="1"/>
  <c r="D23" i="41" s="1"/>
  <c r="AA27" i="37"/>
  <c r="AA26" i="37" s="1"/>
  <c r="AI26" i="37"/>
  <c r="AL24" i="37" s="1"/>
  <c r="C22" i="41" s="1"/>
  <c r="AD26" i="37"/>
  <c r="AM24" i="37" s="1"/>
  <c r="D22" i="41" s="1"/>
  <c r="AI25" i="37"/>
  <c r="AL23" i="37" s="1"/>
  <c r="C21" i="41" s="1"/>
  <c r="AD25" i="37"/>
  <c r="AM23" i="37" s="1"/>
  <c r="D21" i="41" s="1"/>
  <c r="AI24" i="37"/>
  <c r="AL22" i="37" s="1"/>
  <c r="C20" i="41" s="1"/>
  <c r="AD24" i="37"/>
  <c r="AM22" i="37" s="1"/>
  <c r="D20" i="41" s="1"/>
  <c r="N10" i="37"/>
  <c r="X9" i="37"/>
  <c r="T9" i="37"/>
  <c r="V8" i="37"/>
  <c r="T8" i="34"/>
  <c r="F36" i="34"/>
  <c r="F37" i="34" s="1"/>
  <c r="F38" i="34" s="1"/>
  <c r="B35" i="34"/>
  <c r="B34" i="34"/>
  <c r="B32" i="34"/>
  <c r="B31" i="34"/>
  <c r="B31" i="1"/>
  <c r="V8" i="1"/>
  <c r="AF61" i="1" l="1"/>
  <c r="AG57" i="1"/>
  <c r="AB43" i="40"/>
  <c r="AB13" i="1"/>
  <c r="AF41" i="40"/>
  <c r="AG41" i="40" s="1"/>
  <c r="AB13" i="37"/>
  <c r="F38" i="37"/>
  <c r="F41" i="37" s="1"/>
  <c r="Q9" i="37" s="1"/>
  <c r="AB13" i="38"/>
  <c r="AF62" i="38"/>
  <c r="AG61" i="38"/>
  <c r="AG56" i="38"/>
  <c r="AF55" i="38"/>
  <c r="AG57" i="38"/>
  <c r="AG60" i="38"/>
  <c r="AF62" i="37"/>
  <c r="AG61" i="37"/>
  <c r="AF57" i="37"/>
  <c r="AG60" i="37"/>
  <c r="AF54" i="1"/>
  <c r="AG54" i="1" s="1"/>
  <c r="F50" i="37"/>
  <c r="J32" i="37" s="1"/>
  <c r="W9" i="37" s="1"/>
  <c r="AB8" i="39"/>
  <c r="AB8" i="40"/>
  <c r="AF46" i="40"/>
  <c r="AG46" i="40" s="1"/>
  <c r="J37" i="37"/>
  <c r="S9" i="37" s="1"/>
  <c r="F38" i="38"/>
  <c r="F41" i="38" s="1"/>
  <c r="Q9" i="38" s="1"/>
  <c r="F40" i="38"/>
  <c r="R9" i="38" s="1"/>
  <c r="AB8" i="38"/>
  <c r="F50" i="38"/>
  <c r="J32" i="38" s="1"/>
  <c r="W9" i="38" s="1"/>
  <c r="F48" i="1"/>
  <c r="F50" i="1" s="1"/>
  <c r="J32" i="1" s="1"/>
  <c r="AB11" i="40"/>
  <c r="AB12" i="37"/>
  <c r="B50" i="37"/>
  <c r="B33" i="40"/>
  <c r="B46" i="40" s="1"/>
  <c r="B45" i="40"/>
  <c r="J30" i="39"/>
  <c r="R9" i="39" s="1"/>
  <c r="B45" i="39"/>
  <c r="B33" i="39"/>
  <c r="B46" i="39" s="1"/>
  <c r="J37" i="38"/>
  <c r="S9" i="38" s="1"/>
  <c r="B50" i="38"/>
  <c r="B47" i="38"/>
  <c r="B47" i="37"/>
  <c r="AB27" i="38"/>
  <c r="AA26" i="38"/>
  <c r="AA25" i="37"/>
  <c r="AB26" i="37"/>
  <c r="AG42" i="37"/>
  <c r="AF41" i="37"/>
  <c r="AF27" i="38"/>
  <c r="AB27" i="37"/>
  <c r="AG30" i="37"/>
  <c r="AG45" i="39"/>
  <c r="AG43" i="37"/>
  <c r="AB28" i="38"/>
  <c r="AA27" i="40"/>
  <c r="AA27" i="39"/>
  <c r="AA26" i="39" s="1"/>
  <c r="AB26" i="39" s="1"/>
  <c r="AG30" i="39"/>
  <c r="AA46" i="39"/>
  <c r="AB46" i="39" s="1"/>
  <c r="AB42" i="40"/>
  <c r="AF41" i="38"/>
  <c r="AF27" i="37"/>
  <c r="AG27" i="37" s="1"/>
  <c r="R9" i="40"/>
  <c r="AF26" i="40"/>
  <c r="AG27" i="40"/>
  <c r="AB46" i="40"/>
  <c r="AA47" i="40"/>
  <c r="AB41" i="40"/>
  <c r="AA40" i="40"/>
  <c r="AA32" i="40"/>
  <c r="AB31" i="40"/>
  <c r="AB45" i="40"/>
  <c r="AG28" i="40"/>
  <c r="AB30" i="40"/>
  <c r="AF40" i="40"/>
  <c r="N11" i="40"/>
  <c r="Q10" i="40"/>
  <c r="AF31" i="40"/>
  <c r="U10" i="40"/>
  <c r="Q10" i="39"/>
  <c r="AG46" i="39"/>
  <c r="AF47" i="39"/>
  <c r="AF32" i="39"/>
  <c r="AG31" i="39"/>
  <c r="AF25" i="39"/>
  <c r="AG26" i="39"/>
  <c r="N11" i="39"/>
  <c r="AA31" i="39"/>
  <c r="AG27" i="39"/>
  <c r="AA42" i="39"/>
  <c r="AF42" i="39"/>
  <c r="U10" i="38"/>
  <c r="AF47" i="38"/>
  <c r="AG46" i="38"/>
  <c r="AA62" i="38"/>
  <c r="AB61" i="38"/>
  <c r="AB31" i="38"/>
  <c r="AA32" i="38"/>
  <c r="AF32" i="38"/>
  <c r="AG31" i="38"/>
  <c r="AA41" i="38"/>
  <c r="AB42" i="38"/>
  <c r="AA47" i="38"/>
  <c r="AB46" i="38"/>
  <c r="AA56" i="38"/>
  <c r="AB57" i="38"/>
  <c r="X10" i="38"/>
  <c r="AB43" i="38"/>
  <c r="AB45" i="38"/>
  <c r="AB58" i="38"/>
  <c r="AB60" i="38"/>
  <c r="N11" i="38"/>
  <c r="AG45" i="38"/>
  <c r="AB30" i="38"/>
  <c r="T10" i="38"/>
  <c r="U10" i="37"/>
  <c r="AB40" i="37"/>
  <c r="AA39" i="37"/>
  <c r="AB39" i="37" s="1"/>
  <c r="AF32" i="37"/>
  <c r="AG31" i="37"/>
  <c r="AA62" i="37"/>
  <c r="AB61" i="37"/>
  <c r="AA47" i="37"/>
  <c r="AB46" i="37"/>
  <c r="AA33" i="37"/>
  <c r="AB32" i="37"/>
  <c r="AB31" i="37"/>
  <c r="AA56" i="37"/>
  <c r="AB57" i="37"/>
  <c r="AB42" i="37"/>
  <c r="AF47" i="37"/>
  <c r="AG46" i="37"/>
  <c r="AB43" i="37"/>
  <c r="AB45" i="37"/>
  <c r="AB58" i="37"/>
  <c r="AF26" i="37"/>
  <c r="AB60" i="37"/>
  <c r="R10" i="37"/>
  <c r="N11" i="37"/>
  <c r="AB30" i="37"/>
  <c r="X10" i="37"/>
  <c r="T10" i="37"/>
  <c r="B47" i="34"/>
  <c r="AA25" i="39" l="1"/>
  <c r="AF47" i="40"/>
  <c r="AF62" i="1"/>
  <c r="AG61" i="1"/>
  <c r="AG62" i="38"/>
  <c r="AF63" i="38"/>
  <c r="AG55" i="38"/>
  <c r="AF54" i="38"/>
  <c r="AG54" i="38" s="1"/>
  <c r="AF63" i="37"/>
  <c r="AG62" i="37"/>
  <c r="AF56" i="37"/>
  <c r="AG57" i="37"/>
  <c r="AA47" i="39"/>
  <c r="R10" i="38"/>
  <c r="W10" i="38"/>
  <c r="W10" i="37"/>
  <c r="B48" i="40"/>
  <c r="AB9" i="40" s="1"/>
  <c r="X9" i="40"/>
  <c r="B48" i="39"/>
  <c r="AB9" i="39" s="1"/>
  <c r="X9" i="39"/>
  <c r="B33" i="38"/>
  <c r="B49" i="38" s="1"/>
  <c r="B51" i="38" s="1"/>
  <c r="AB10" i="38" s="1"/>
  <c r="B48" i="38"/>
  <c r="B33" i="37"/>
  <c r="B49" i="37" s="1"/>
  <c r="B51" i="37" s="1"/>
  <c r="AB10" i="37" s="1"/>
  <c r="B48" i="37"/>
  <c r="S10" i="37"/>
  <c r="AB27" i="39"/>
  <c r="AA24" i="37"/>
  <c r="AB24" i="37" s="1"/>
  <c r="AB25" i="37"/>
  <c r="Q10" i="37"/>
  <c r="AG27" i="38"/>
  <c r="AF26" i="38"/>
  <c r="AG41" i="38"/>
  <c r="AF40" i="38"/>
  <c r="AB27" i="40"/>
  <c r="AA26" i="40"/>
  <c r="AB26" i="38"/>
  <c r="AA25" i="38"/>
  <c r="AG41" i="37"/>
  <c r="AF40" i="37"/>
  <c r="R10" i="40"/>
  <c r="S10" i="38"/>
  <c r="R10" i="39"/>
  <c r="X11" i="40"/>
  <c r="U11" i="40"/>
  <c r="R11" i="40"/>
  <c r="Q11" i="40"/>
  <c r="N12" i="40"/>
  <c r="AB47" i="40"/>
  <c r="AA48" i="40"/>
  <c r="X10" i="40"/>
  <c r="AG40" i="40"/>
  <c r="AF39" i="40"/>
  <c r="AG39" i="40" s="1"/>
  <c r="AF25" i="40"/>
  <c r="AF24" i="40" s="1"/>
  <c r="AG26" i="40"/>
  <c r="AF32" i="40"/>
  <c r="AG31" i="40"/>
  <c r="AB40" i="40"/>
  <c r="AA39" i="40"/>
  <c r="AB39" i="40" s="1"/>
  <c r="AB32" i="40"/>
  <c r="AA33" i="40"/>
  <c r="AF48" i="40"/>
  <c r="AG47" i="40"/>
  <c r="X10" i="39"/>
  <c r="AG42" i="39"/>
  <c r="AF41" i="39"/>
  <c r="AA41" i="39"/>
  <c r="AB42" i="39"/>
  <c r="AG25" i="39"/>
  <c r="AF24" i="39"/>
  <c r="AG24" i="39" s="1"/>
  <c r="AF48" i="39"/>
  <c r="AG47" i="39"/>
  <c r="AB47" i="39"/>
  <c r="AA48" i="39"/>
  <c r="AB25" i="39"/>
  <c r="AA24" i="39"/>
  <c r="AB24" i="39" s="1"/>
  <c r="AA32" i="39"/>
  <c r="AB31" i="39"/>
  <c r="X11" i="39"/>
  <c r="U11" i="39"/>
  <c r="R11" i="39"/>
  <c r="N12" i="39"/>
  <c r="Q11" i="39"/>
  <c r="AG32" i="39"/>
  <c r="AF33" i="39"/>
  <c r="Q10" i="38"/>
  <c r="AA40" i="38"/>
  <c r="AB41" i="38"/>
  <c r="AF33" i="38"/>
  <c r="AG32" i="38"/>
  <c r="AA63" i="38"/>
  <c r="AB62" i="38"/>
  <c r="AB56" i="38"/>
  <c r="AA55" i="38"/>
  <c r="AF48" i="38"/>
  <c r="AG47" i="38"/>
  <c r="N12" i="38"/>
  <c r="R11" i="38"/>
  <c r="S11" i="38"/>
  <c r="Q11" i="38"/>
  <c r="X11" i="38"/>
  <c r="W11" i="38"/>
  <c r="U11" i="38"/>
  <c r="T11" i="38"/>
  <c r="AA48" i="38"/>
  <c r="AB47" i="38"/>
  <c r="AA33" i="38"/>
  <c r="AB32" i="38"/>
  <c r="AA48" i="37"/>
  <c r="AB47" i="37"/>
  <c r="AF25" i="37"/>
  <c r="AG26" i="37"/>
  <c r="AA63" i="37"/>
  <c r="AB62" i="37"/>
  <c r="N12" i="37"/>
  <c r="R11" i="37"/>
  <c r="Q11" i="37"/>
  <c r="X11" i="37"/>
  <c r="W11" i="37"/>
  <c r="U11" i="37"/>
  <c r="T11" i="37"/>
  <c r="S11" i="37"/>
  <c r="AB56" i="37"/>
  <c r="AA55" i="37"/>
  <c r="AF33" i="37"/>
  <c r="AG32" i="37"/>
  <c r="AF48" i="37"/>
  <c r="AG47" i="37"/>
  <c r="AA34" i="37"/>
  <c r="AB34" i="37" s="1"/>
  <c r="AB33" i="37"/>
  <c r="AG62" i="1" l="1"/>
  <c r="AF63" i="1"/>
  <c r="AF64" i="38"/>
  <c r="AG64" i="38" s="1"/>
  <c r="AG63" i="38"/>
  <c r="AF64" i="37"/>
  <c r="AG64" i="37" s="1"/>
  <c r="AG63" i="37"/>
  <c r="AG56" i="37"/>
  <c r="AF55" i="37"/>
  <c r="F31" i="40"/>
  <c r="F32" i="40" s="1"/>
  <c r="F33" i="40" s="1"/>
  <c r="F31" i="39"/>
  <c r="F32" i="39" s="1"/>
  <c r="F33" i="39" s="1"/>
  <c r="F31" i="38"/>
  <c r="F32" i="38" s="1"/>
  <c r="F33" i="38" s="1"/>
  <c r="F31" i="37"/>
  <c r="F32" i="37" s="1"/>
  <c r="F33" i="37" s="1"/>
  <c r="AF39" i="38"/>
  <c r="AG39" i="38" s="1"/>
  <c r="AG40" i="38"/>
  <c r="AF39" i="37"/>
  <c r="AG39" i="37" s="1"/>
  <c r="AG40" i="37"/>
  <c r="AG26" i="38"/>
  <c r="AF25" i="38"/>
  <c r="AB25" i="38"/>
  <c r="AA24" i="38"/>
  <c r="AB24" i="38" s="1"/>
  <c r="AB26" i="40"/>
  <c r="AA25" i="40"/>
  <c r="AG24" i="40"/>
  <c r="AG25" i="40"/>
  <c r="AG48" i="40"/>
  <c r="AF49" i="40"/>
  <c r="AG49" i="40" s="1"/>
  <c r="AB33" i="40"/>
  <c r="AA34" i="40"/>
  <c r="AB34" i="40" s="1"/>
  <c r="AB48" i="40"/>
  <c r="AA49" i="40"/>
  <c r="AB49" i="40" s="1"/>
  <c r="AG32" i="40"/>
  <c r="AF33" i="40"/>
  <c r="X12" i="40"/>
  <c r="U12" i="40"/>
  <c r="R12" i="40"/>
  <c r="Q12" i="40"/>
  <c r="N13" i="40"/>
  <c r="X12" i="39"/>
  <c r="U12" i="39"/>
  <c r="R12" i="39"/>
  <c r="N13" i="39"/>
  <c r="Q12" i="39"/>
  <c r="AB48" i="39"/>
  <c r="AA49" i="39"/>
  <c r="AB49" i="39" s="1"/>
  <c r="AG41" i="39"/>
  <c r="AF40" i="39"/>
  <c r="AB32" i="39"/>
  <c r="AA33" i="39"/>
  <c r="AB41" i="39"/>
  <c r="AA40" i="39"/>
  <c r="AG48" i="39"/>
  <c r="AF49" i="39"/>
  <c r="AG49" i="39" s="1"/>
  <c r="AG33" i="39"/>
  <c r="AF34" i="39"/>
  <c r="AG34" i="39" s="1"/>
  <c r="AF49" i="38"/>
  <c r="AG49" i="38" s="1"/>
  <c r="AG48" i="38"/>
  <c r="AG33" i="38"/>
  <c r="AF34" i="38"/>
  <c r="AG34" i="38" s="1"/>
  <c r="X12" i="38"/>
  <c r="W12" i="38"/>
  <c r="U12" i="38"/>
  <c r="T12" i="38"/>
  <c r="S12" i="38"/>
  <c r="N13" i="38"/>
  <c r="R12" i="38"/>
  <c r="Q12" i="38"/>
  <c r="AA54" i="38"/>
  <c r="AB54" i="38" s="1"/>
  <c r="AB55" i="38"/>
  <c r="AA34" i="38"/>
  <c r="AB34" i="38" s="1"/>
  <c r="AB33" i="38"/>
  <c r="AA64" i="38"/>
  <c r="AB64" i="38" s="1"/>
  <c r="AB63" i="38"/>
  <c r="AB40" i="38"/>
  <c r="AA39" i="38"/>
  <c r="AB39" i="38" s="1"/>
  <c r="AA49" i="38"/>
  <c r="AB49" i="38" s="1"/>
  <c r="AB48" i="38"/>
  <c r="AF24" i="37"/>
  <c r="AG24" i="37" s="1"/>
  <c r="AG25" i="37"/>
  <c r="X12" i="37"/>
  <c r="W12" i="37"/>
  <c r="U12" i="37"/>
  <c r="T12" i="37"/>
  <c r="S12" i="37"/>
  <c r="Q12" i="37"/>
  <c r="N13" i="37"/>
  <c r="R12" i="37"/>
  <c r="AA49" i="37"/>
  <c r="AB49" i="37" s="1"/>
  <c r="AB48" i="37"/>
  <c r="AF49" i="37"/>
  <c r="AG49" i="37" s="1"/>
  <c r="AG48" i="37"/>
  <c r="AF34" i="37"/>
  <c r="AG34" i="37" s="1"/>
  <c r="AG33" i="37"/>
  <c r="AA54" i="37"/>
  <c r="AB54" i="37" s="1"/>
  <c r="AB55" i="37"/>
  <c r="AA64" i="37"/>
  <c r="AB64" i="37" s="1"/>
  <c r="AB63" i="37"/>
  <c r="AF64" i="1" l="1"/>
  <c r="AG64" i="1" s="1"/>
  <c r="AG63" i="1"/>
  <c r="AG55" i="37"/>
  <c r="AF54" i="37"/>
  <c r="AG54" i="37" s="1"/>
  <c r="O8" i="39"/>
  <c r="O49" i="39" s="1"/>
  <c r="AG25" i="38"/>
  <c r="AF24" i="38"/>
  <c r="AG24" i="38" s="1"/>
  <c r="AB25" i="40"/>
  <c r="AA24" i="40"/>
  <c r="AB24" i="40" s="1"/>
  <c r="AG33" i="40"/>
  <c r="AF34" i="40"/>
  <c r="AG34" i="40" s="1"/>
  <c r="U13" i="40"/>
  <c r="T13" i="40"/>
  <c r="N14" i="40"/>
  <c r="P14" i="40" s="1"/>
  <c r="S13" i="40"/>
  <c r="R13" i="40"/>
  <c r="Q13" i="40"/>
  <c r="X13" i="40"/>
  <c r="T13" i="39"/>
  <c r="U13" i="39"/>
  <c r="S13" i="39"/>
  <c r="Q13" i="39"/>
  <c r="X13" i="39"/>
  <c r="N14" i="39"/>
  <c r="P14" i="39" s="1"/>
  <c r="R13" i="39"/>
  <c r="AB40" i="39"/>
  <c r="AA39" i="39"/>
  <c r="AB39" i="39" s="1"/>
  <c r="AG40" i="39"/>
  <c r="AF39" i="39"/>
  <c r="AG39" i="39" s="1"/>
  <c r="AB33" i="39"/>
  <c r="AA34" i="39"/>
  <c r="AB34" i="39" s="1"/>
  <c r="O8" i="38"/>
  <c r="T13" i="38"/>
  <c r="S13" i="38"/>
  <c r="N14" i="38"/>
  <c r="R13" i="38"/>
  <c r="Q13" i="38"/>
  <c r="X13" i="38"/>
  <c r="W13" i="38"/>
  <c r="U13" i="38"/>
  <c r="V13" i="38"/>
  <c r="O8" i="37"/>
  <c r="Y8" i="37" s="1"/>
  <c r="T13" i="37"/>
  <c r="S13" i="37"/>
  <c r="N14" i="37"/>
  <c r="R13" i="37"/>
  <c r="Q13" i="37"/>
  <c r="X13" i="37"/>
  <c r="W13" i="37"/>
  <c r="V13" i="37"/>
  <c r="U13" i="37"/>
  <c r="V8" i="39" l="1"/>
  <c r="P10" i="39"/>
  <c r="V10" i="39" s="1"/>
  <c r="X14" i="40"/>
  <c r="U14" i="40"/>
  <c r="R14" i="40"/>
  <c r="Q14" i="40"/>
  <c r="N15" i="40"/>
  <c r="P15" i="40" s="1"/>
  <c r="X14" i="39"/>
  <c r="U14" i="39"/>
  <c r="R14" i="39"/>
  <c r="N15" i="39"/>
  <c r="P15" i="39" s="1"/>
  <c r="Q14" i="39"/>
  <c r="N15" i="38"/>
  <c r="Q14" i="38"/>
  <c r="R14" i="38"/>
  <c r="P14" i="38"/>
  <c r="X14" i="38"/>
  <c r="W14" i="38"/>
  <c r="U14" i="38"/>
  <c r="T14" i="38"/>
  <c r="S14" i="38"/>
  <c r="Y8" i="38"/>
  <c r="O49" i="38"/>
  <c r="N15" i="37"/>
  <c r="Q14" i="37"/>
  <c r="P14" i="37"/>
  <c r="X14" i="37"/>
  <c r="W14" i="37"/>
  <c r="S14" i="37"/>
  <c r="U14" i="37"/>
  <c r="T14" i="37"/>
  <c r="R14" i="37"/>
  <c r="O49" i="37"/>
  <c r="P9" i="39" l="1"/>
  <c r="V9" i="39" s="1"/>
  <c r="P13" i="39"/>
  <c r="V13" i="39" s="1"/>
  <c r="P11" i="39"/>
  <c r="V11" i="39" s="1"/>
  <c r="P12" i="39"/>
  <c r="V12" i="39" s="1"/>
  <c r="N16" i="40"/>
  <c r="P16" i="40" s="1"/>
  <c r="X15" i="40"/>
  <c r="U15" i="40"/>
  <c r="R15" i="40"/>
  <c r="Q15" i="40"/>
  <c r="V14" i="40"/>
  <c r="N16" i="39"/>
  <c r="P16" i="39" s="1"/>
  <c r="X15" i="39"/>
  <c r="U15" i="39"/>
  <c r="Q15" i="39"/>
  <c r="R15" i="39"/>
  <c r="V14" i="39"/>
  <c r="P9" i="38"/>
  <c r="Y14" i="38"/>
  <c r="X15" i="38"/>
  <c r="W15" i="38"/>
  <c r="P15" i="38"/>
  <c r="U15" i="38"/>
  <c r="T15" i="38"/>
  <c r="S15" i="38"/>
  <c r="R15" i="38"/>
  <c r="N16" i="38"/>
  <c r="Q15" i="38"/>
  <c r="X15" i="37"/>
  <c r="W15" i="37"/>
  <c r="U15" i="37"/>
  <c r="Q15" i="37"/>
  <c r="T15" i="37"/>
  <c r="S15" i="37"/>
  <c r="R15" i="37"/>
  <c r="N16" i="37"/>
  <c r="P15" i="37"/>
  <c r="Y14" i="37"/>
  <c r="P12" i="37"/>
  <c r="Y12" i="37" s="1"/>
  <c r="V15" i="40" l="1"/>
  <c r="N17" i="40"/>
  <c r="P17" i="40" s="1"/>
  <c r="X16" i="40"/>
  <c r="Q16" i="40"/>
  <c r="U16" i="40"/>
  <c r="R16" i="40"/>
  <c r="V15" i="39"/>
  <c r="X16" i="39"/>
  <c r="N17" i="39"/>
  <c r="P17" i="39" s="1"/>
  <c r="R16" i="39"/>
  <c r="Q16" i="39"/>
  <c r="U16" i="39"/>
  <c r="P13" i="38"/>
  <c r="Y13" i="38" s="1"/>
  <c r="Y9" i="38"/>
  <c r="P12" i="38"/>
  <c r="Y12" i="38" s="1"/>
  <c r="Y15" i="38"/>
  <c r="P11" i="38"/>
  <c r="Y11" i="38" s="1"/>
  <c r="P10" i="38"/>
  <c r="Y10" i="38" s="1"/>
  <c r="U16" i="38"/>
  <c r="T16" i="38"/>
  <c r="S16" i="38"/>
  <c r="R16" i="38"/>
  <c r="N17" i="38"/>
  <c r="Q16" i="38"/>
  <c r="P16" i="38"/>
  <c r="W16" i="38"/>
  <c r="X16" i="38"/>
  <c r="P11" i="37"/>
  <c r="Y11" i="37" s="1"/>
  <c r="P10" i="37"/>
  <c r="Y10" i="37" s="1"/>
  <c r="U16" i="37"/>
  <c r="T16" i="37"/>
  <c r="X16" i="37"/>
  <c r="S16" i="37"/>
  <c r="R16" i="37"/>
  <c r="N17" i="37"/>
  <c r="Q16" i="37"/>
  <c r="P16" i="37"/>
  <c r="W16" i="37"/>
  <c r="P9" i="37"/>
  <c r="P13" i="37"/>
  <c r="Y13" i="37" s="1"/>
  <c r="Y15" i="37"/>
  <c r="V16" i="40" l="1"/>
  <c r="R17" i="40"/>
  <c r="N18" i="40"/>
  <c r="P18" i="40" s="1"/>
  <c r="X17" i="40"/>
  <c r="U17" i="40"/>
  <c r="Q17" i="40"/>
  <c r="V16" i="39"/>
  <c r="N18" i="39"/>
  <c r="P18" i="39" s="1"/>
  <c r="X17" i="39"/>
  <c r="U17" i="39"/>
  <c r="R17" i="39"/>
  <c r="Q17" i="39"/>
  <c r="Y16" i="38"/>
  <c r="S17" i="38"/>
  <c r="R17" i="38"/>
  <c r="N18" i="38"/>
  <c r="Q17" i="38"/>
  <c r="P17" i="38"/>
  <c r="X17" i="38"/>
  <c r="T17" i="38"/>
  <c r="W17" i="38"/>
  <c r="U17" i="38"/>
  <c r="Y16" i="37"/>
  <c r="S17" i="37"/>
  <c r="R17" i="37"/>
  <c r="N18" i="37"/>
  <c r="X18" i="37" s="1"/>
  <c r="Q17" i="37"/>
  <c r="P17" i="37"/>
  <c r="X17" i="37"/>
  <c r="W17" i="37"/>
  <c r="U17" i="37"/>
  <c r="T17" i="37"/>
  <c r="Y9" i="37"/>
  <c r="Q18" i="40" l="1"/>
  <c r="N19" i="40"/>
  <c r="P19" i="40" s="1"/>
  <c r="X18" i="40"/>
  <c r="S18" i="40"/>
  <c r="T18" i="40"/>
  <c r="T49" i="40" s="1"/>
  <c r="R18" i="40"/>
  <c r="V17" i="40"/>
  <c r="Q18" i="39"/>
  <c r="U18" i="39"/>
  <c r="N19" i="39"/>
  <c r="P19" i="39" s="1"/>
  <c r="X18" i="39"/>
  <c r="T18" i="39"/>
  <c r="T49" i="39" s="1"/>
  <c r="R18" i="39"/>
  <c r="S18" i="39"/>
  <c r="V17" i="39"/>
  <c r="Y17" i="38"/>
  <c r="Q18" i="38"/>
  <c r="N19" i="38"/>
  <c r="X18" i="38"/>
  <c r="P18" i="38"/>
  <c r="W18" i="38"/>
  <c r="R18" i="38"/>
  <c r="V18" i="38"/>
  <c r="V49" i="38" s="1"/>
  <c r="U18" i="38"/>
  <c r="T18" i="38"/>
  <c r="S18" i="38"/>
  <c r="Y17" i="37"/>
  <c r="Q18" i="37"/>
  <c r="P18" i="37"/>
  <c r="W18" i="37"/>
  <c r="V18" i="37"/>
  <c r="V49" i="37" s="1"/>
  <c r="S18" i="37"/>
  <c r="U18" i="37"/>
  <c r="T18" i="37"/>
  <c r="N19" i="37"/>
  <c r="R18" i="37"/>
  <c r="R19" i="40" l="1"/>
  <c r="N20" i="40"/>
  <c r="P20" i="40" s="1"/>
  <c r="X19" i="40"/>
  <c r="U19" i="40"/>
  <c r="Q19" i="40"/>
  <c r="V18" i="39"/>
  <c r="N20" i="39"/>
  <c r="P20" i="39" s="1"/>
  <c r="X19" i="39"/>
  <c r="U19" i="39"/>
  <c r="R19" i="39"/>
  <c r="Q19" i="39"/>
  <c r="Y18" i="38"/>
  <c r="W19" i="38"/>
  <c r="U19" i="38"/>
  <c r="T19" i="38"/>
  <c r="S19" i="38"/>
  <c r="X19" i="38"/>
  <c r="R19" i="38"/>
  <c r="N20" i="38"/>
  <c r="Q19" i="38"/>
  <c r="P19" i="38"/>
  <c r="W19" i="37"/>
  <c r="U19" i="37"/>
  <c r="T19" i="37"/>
  <c r="S19" i="37"/>
  <c r="R19" i="37"/>
  <c r="N20" i="37"/>
  <c r="Q19" i="37"/>
  <c r="P19" i="37"/>
  <c r="X19" i="37"/>
  <c r="Y18" i="37"/>
  <c r="V19" i="40" l="1"/>
  <c r="Q20" i="40"/>
  <c r="N21" i="40"/>
  <c r="P21" i="40" s="1"/>
  <c r="X20" i="40"/>
  <c r="R20" i="40"/>
  <c r="U20" i="40"/>
  <c r="V19" i="39"/>
  <c r="Q20" i="39"/>
  <c r="N21" i="39"/>
  <c r="P21" i="39" s="1"/>
  <c r="X20" i="39"/>
  <c r="R20" i="39"/>
  <c r="U20" i="39"/>
  <c r="T20" i="38"/>
  <c r="S20" i="38"/>
  <c r="U20" i="38"/>
  <c r="R20" i="38"/>
  <c r="N21" i="38"/>
  <c r="Q20" i="38"/>
  <c r="P20" i="38"/>
  <c r="X20" i="38"/>
  <c r="W20" i="38"/>
  <c r="Y19" i="38"/>
  <c r="T20" i="37"/>
  <c r="S20" i="37"/>
  <c r="R20" i="37"/>
  <c r="N21" i="37"/>
  <c r="Q20" i="37"/>
  <c r="P20" i="37"/>
  <c r="W20" i="37"/>
  <c r="X20" i="37"/>
  <c r="U20" i="37"/>
  <c r="Y19" i="37"/>
  <c r="R21" i="40" l="1"/>
  <c r="Q21" i="40"/>
  <c r="N22" i="40"/>
  <c r="P22" i="40" s="1"/>
  <c r="X21" i="40"/>
  <c r="U21" i="40"/>
  <c r="S21" i="40"/>
  <c r="V20" i="40"/>
  <c r="V20" i="39"/>
  <c r="R21" i="39"/>
  <c r="Q21" i="39"/>
  <c r="X21" i="39"/>
  <c r="N22" i="39"/>
  <c r="P22" i="39" s="1"/>
  <c r="S21" i="39"/>
  <c r="U21" i="39"/>
  <c r="Y20" i="38"/>
  <c r="R21" i="38"/>
  <c r="N22" i="38"/>
  <c r="Q21" i="38"/>
  <c r="P21" i="38"/>
  <c r="X21" i="38"/>
  <c r="W21" i="38"/>
  <c r="U21" i="38"/>
  <c r="S21" i="38"/>
  <c r="T21" i="38"/>
  <c r="Y20" i="37"/>
  <c r="R21" i="37"/>
  <c r="N22" i="37"/>
  <c r="Q21" i="37"/>
  <c r="P21" i="37"/>
  <c r="X21" i="37"/>
  <c r="W21" i="37"/>
  <c r="U21" i="37"/>
  <c r="T21" i="37"/>
  <c r="S21" i="37"/>
  <c r="V21" i="40" l="1"/>
  <c r="R22" i="40"/>
  <c r="Q22" i="40"/>
  <c r="U22" i="40"/>
  <c r="N23" i="40"/>
  <c r="P23" i="40" s="1"/>
  <c r="X22" i="40"/>
  <c r="S22" i="40"/>
  <c r="R22" i="39"/>
  <c r="Q22" i="39"/>
  <c r="X22" i="39"/>
  <c r="N23" i="39"/>
  <c r="P23" i="39" s="1"/>
  <c r="U22" i="39"/>
  <c r="S22" i="39"/>
  <c r="V21" i="39"/>
  <c r="Y21" i="38"/>
  <c r="P22" i="38"/>
  <c r="X22" i="38"/>
  <c r="W22" i="38"/>
  <c r="Q22" i="38"/>
  <c r="U22" i="38"/>
  <c r="T22" i="38"/>
  <c r="S22" i="38"/>
  <c r="N23" i="38"/>
  <c r="R22" i="38"/>
  <c r="Y21" i="37"/>
  <c r="P22" i="37"/>
  <c r="X22" i="37"/>
  <c r="R22" i="37"/>
  <c r="W22" i="37"/>
  <c r="U22" i="37"/>
  <c r="T22" i="37"/>
  <c r="S22" i="37"/>
  <c r="N23" i="37"/>
  <c r="Q22" i="37"/>
  <c r="V22" i="40" l="1"/>
  <c r="R23" i="40"/>
  <c r="N24" i="40"/>
  <c r="P24" i="40" s="1"/>
  <c r="Q23" i="40"/>
  <c r="U23" i="40"/>
  <c r="X23" i="40"/>
  <c r="S23" i="40"/>
  <c r="V22" i="39"/>
  <c r="R23" i="39"/>
  <c r="N24" i="39"/>
  <c r="P24" i="39" s="1"/>
  <c r="Q23" i="39"/>
  <c r="X23" i="39"/>
  <c r="S23" i="39"/>
  <c r="U23" i="39"/>
  <c r="Y22" i="38"/>
  <c r="W23" i="38"/>
  <c r="U23" i="38"/>
  <c r="T23" i="38"/>
  <c r="N24" i="38"/>
  <c r="S23" i="38"/>
  <c r="R23" i="38"/>
  <c r="Q23" i="38"/>
  <c r="P23" i="38"/>
  <c r="X23" i="38"/>
  <c r="W23" i="37"/>
  <c r="U23" i="37"/>
  <c r="T23" i="37"/>
  <c r="N24" i="37"/>
  <c r="S23" i="37"/>
  <c r="P23" i="37"/>
  <c r="R23" i="37"/>
  <c r="Q23" i="37"/>
  <c r="X23" i="37"/>
  <c r="Y22" i="37"/>
  <c r="R24" i="40" l="1"/>
  <c r="X24" i="40"/>
  <c r="N25" i="40"/>
  <c r="P25" i="40" s="1"/>
  <c r="U24" i="40"/>
  <c r="S24" i="40"/>
  <c r="Q24" i="40"/>
  <c r="V23" i="40"/>
  <c r="X24" i="39"/>
  <c r="U24" i="39"/>
  <c r="N25" i="39"/>
  <c r="P25" i="39" s="1"/>
  <c r="S24" i="39"/>
  <c r="Q24" i="39"/>
  <c r="R24" i="39"/>
  <c r="V23" i="39"/>
  <c r="Y23" i="38"/>
  <c r="R24" i="38"/>
  <c r="S24" i="38"/>
  <c r="Q24" i="38"/>
  <c r="P24" i="38"/>
  <c r="N25" i="38"/>
  <c r="X24" i="38"/>
  <c r="W24" i="38"/>
  <c r="U24" i="38"/>
  <c r="T24" i="38"/>
  <c r="Y23" i="37"/>
  <c r="R24" i="37"/>
  <c r="Q24" i="37"/>
  <c r="P24" i="37"/>
  <c r="N25" i="37"/>
  <c r="X24" i="37"/>
  <c r="W24" i="37"/>
  <c r="U24" i="37"/>
  <c r="T24" i="37"/>
  <c r="S24" i="37"/>
  <c r="R25" i="40" l="1"/>
  <c r="Q25" i="40"/>
  <c r="X25" i="40"/>
  <c r="N26" i="40"/>
  <c r="P26" i="40" s="1"/>
  <c r="U25" i="40"/>
  <c r="S25" i="40"/>
  <c r="V24" i="40"/>
  <c r="R25" i="39"/>
  <c r="X25" i="39"/>
  <c r="Q25" i="39"/>
  <c r="N26" i="39"/>
  <c r="P26" i="39" s="1"/>
  <c r="S25" i="39"/>
  <c r="U25" i="39"/>
  <c r="V24" i="39"/>
  <c r="R25" i="38"/>
  <c r="Q25" i="38"/>
  <c r="P25" i="38"/>
  <c r="N26" i="38"/>
  <c r="X25" i="38"/>
  <c r="W25" i="38"/>
  <c r="U25" i="38"/>
  <c r="S25" i="38"/>
  <c r="T25" i="38"/>
  <c r="Y24" i="38"/>
  <c r="R25" i="37"/>
  <c r="Q25" i="37"/>
  <c r="T25" i="37"/>
  <c r="P25" i="37"/>
  <c r="N26" i="37"/>
  <c r="X25" i="37"/>
  <c r="W25" i="37"/>
  <c r="U25" i="37"/>
  <c r="S25" i="37"/>
  <c r="Y24" i="37"/>
  <c r="U26" i="40" l="1"/>
  <c r="S26" i="40"/>
  <c r="X26" i="40"/>
  <c r="R26" i="40"/>
  <c r="Q26" i="40"/>
  <c r="N27" i="40"/>
  <c r="P27" i="40" s="1"/>
  <c r="V25" i="40"/>
  <c r="U26" i="39"/>
  <c r="S26" i="39"/>
  <c r="R26" i="39"/>
  <c r="Q26" i="39"/>
  <c r="N27" i="39"/>
  <c r="P27" i="39" s="1"/>
  <c r="X26" i="39"/>
  <c r="V25" i="39"/>
  <c r="R26" i="38"/>
  <c r="Q26" i="38"/>
  <c r="P26" i="38"/>
  <c r="S26" i="38"/>
  <c r="N27" i="38"/>
  <c r="X26" i="38"/>
  <c r="W26" i="38"/>
  <c r="U26" i="38"/>
  <c r="T26" i="38"/>
  <c r="Y25" i="38"/>
  <c r="Y25" i="37"/>
  <c r="R26" i="37"/>
  <c r="Q26" i="37"/>
  <c r="P26" i="37"/>
  <c r="N27" i="37"/>
  <c r="X26" i="37"/>
  <c r="T26" i="37"/>
  <c r="W26" i="37"/>
  <c r="U26" i="37"/>
  <c r="S26" i="37"/>
  <c r="V26" i="40" l="1"/>
  <c r="X27" i="40"/>
  <c r="N28" i="40"/>
  <c r="P28" i="40" s="1"/>
  <c r="U27" i="40"/>
  <c r="S27" i="40"/>
  <c r="R27" i="40"/>
  <c r="Q27" i="40"/>
  <c r="X27" i="39"/>
  <c r="N28" i="39"/>
  <c r="P28" i="39" s="1"/>
  <c r="U27" i="39"/>
  <c r="S27" i="39"/>
  <c r="R27" i="39"/>
  <c r="Q27" i="39"/>
  <c r="V26" i="39"/>
  <c r="R27" i="38"/>
  <c r="Q27" i="38"/>
  <c r="S27" i="38"/>
  <c r="P27" i="38"/>
  <c r="N28" i="38"/>
  <c r="X27" i="38"/>
  <c r="W27" i="38"/>
  <c r="U27" i="38"/>
  <c r="T27" i="38"/>
  <c r="Y26" i="38"/>
  <c r="Y26" i="37"/>
  <c r="R27" i="37"/>
  <c r="Q27" i="37"/>
  <c r="T27" i="37"/>
  <c r="P27" i="37"/>
  <c r="N28" i="37"/>
  <c r="X27" i="37"/>
  <c r="W27" i="37"/>
  <c r="U27" i="37"/>
  <c r="S27" i="37"/>
  <c r="X28" i="40" l="1"/>
  <c r="N29" i="40"/>
  <c r="P29" i="40" s="1"/>
  <c r="U28" i="40"/>
  <c r="R28" i="40"/>
  <c r="S28" i="40"/>
  <c r="Q28" i="40"/>
  <c r="V27" i="40"/>
  <c r="V27" i="39"/>
  <c r="U28" i="39"/>
  <c r="X28" i="39"/>
  <c r="N29" i="39"/>
  <c r="P29" i="39" s="1"/>
  <c r="S28" i="39"/>
  <c r="R28" i="39"/>
  <c r="Q28" i="39"/>
  <c r="Y27" i="38"/>
  <c r="R28" i="38"/>
  <c r="Q28" i="38"/>
  <c r="P28" i="38"/>
  <c r="N29" i="38"/>
  <c r="X28" i="38"/>
  <c r="W28" i="38"/>
  <c r="U28" i="38"/>
  <c r="S28" i="38"/>
  <c r="T28" i="38"/>
  <c r="R28" i="37"/>
  <c r="Q28" i="37"/>
  <c r="P28" i="37"/>
  <c r="N29" i="37"/>
  <c r="X28" i="37"/>
  <c r="T28" i="37"/>
  <c r="W28" i="37"/>
  <c r="U28" i="37"/>
  <c r="S28" i="37"/>
  <c r="Y27" i="37"/>
  <c r="R29" i="40" l="1"/>
  <c r="Q29" i="40"/>
  <c r="N30" i="40"/>
  <c r="P30" i="40" s="1"/>
  <c r="X29" i="40"/>
  <c r="S29" i="40"/>
  <c r="U29" i="40"/>
  <c r="V28" i="40"/>
  <c r="R29" i="39"/>
  <c r="X29" i="39"/>
  <c r="Q29" i="39"/>
  <c r="N30" i="39"/>
  <c r="P30" i="39" s="1"/>
  <c r="U29" i="39"/>
  <c r="S29" i="39"/>
  <c r="V28" i="39"/>
  <c r="R29" i="38"/>
  <c r="Q29" i="38"/>
  <c r="P29" i="38"/>
  <c r="S29" i="38"/>
  <c r="X29" i="38"/>
  <c r="W29" i="38"/>
  <c r="N30" i="38"/>
  <c r="U29" i="38"/>
  <c r="T29" i="38"/>
  <c r="Y28" i="38"/>
  <c r="Y28" i="37"/>
  <c r="R29" i="37"/>
  <c r="Q29" i="37"/>
  <c r="T29" i="37"/>
  <c r="P29" i="37"/>
  <c r="X29" i="37"/>
  <c r="W29" i="37"/>
  <c r="N30" i="37"/>
  <c r="U29" i="37"/>
  <c r="S29" i="37"/>
  <c r="V29" i="40" l="1"/>
  <c r="U30" i="40"/>
  <c r="S30" i="40"/>
  <c r="R30" i="40"/>
  <c r="N31" i="40"/>
  <c r="P31" i="40" s="1"/>
  <c r="Q30" i="40"/>
  <c r="X30" i="40"/>
  <c r="V29" i="39"/>
  <c r="S30" i="39"/>
  <c r="U30" i="39"/>
  <c r="R30" i="39"/>
  <c r="Q30" i="39"/>
  <c r="N31" i="39"/>
  <c r="P31" i="39" s="1"/>
  <c r="X30" i="39"/>
  <c r="Y29" i="38"/>
  <c r="T30" i="38"/>
  <c r="S30" i="38"/>
  <c r="N31" i="38"/>
  <c r="R30" i="38"/>
  <c r="Q30" i="38"/>
  <c r="U30" i="38"/>
  <c r="P30" i="38"/>
  <c r="X30" i="38"/>
  <c r="W30" i="38"/>
  <c r="T30" i="37"/>
  <c r="S30" i="37"/>
  <c r="N31" i="37"/>
  <c r="R30" i="37"/>
  <c r="W30" i="37"/>
  <c r="Q30" i="37"/>
  <c r="P30" i="37"/>
  <c r="X30" i="37"/>
  <c r="U30" i="37"/>
  <c r="Y29" i="37"/>
  <c r="V30" i="40" l="1"/>
  <c r="U31" i="40"/>
  <c r="S31" i="40"/>
  <c r="R31" i="40"/>
  <c r="Q31" i="40"/>
  <c r="N32" i="40"/>
  <c r="P32" i="40" s="1"/>
  <c r="X31" i="40"/>
  <c r="V30" i="39"/>
  <c r="S31" i="39"/>
  <c r="Q31" i="39"/>
  <c r="U31" i="39"/>
  <c r="R31" i="39"/>
  <c r="N32" i="39"/>
  <c r="P32" i="39" s="1"/>
  <c r="X31" i="39"/>
  <c r="Y30" i="38"/>
  <c r="Q31" i="38"/>
  <c r="P31" i="38"/>
  <c r="X31" i="38"/>
  <c r="R31" i="38"/>
  <c r="W31" i="38"/>
  <c r="U31" i="38"/>
  <c r="T31" i="38"/>
  <c r="N32" i="38"/>
  <c r="S31" i="38"/>
  <c r="Q31" i="37"/>
  <c r="P31" i="37"/>
  <c r="X31" i="37"/>
  <c r="W31" i="37"/>
  <c r="S31" i="37"/>
  <c r="U31" i="37"/>
  <c r="T31" i="37"/>
  <c r="N32" i="37"/>
  <c r="R31" i="37"/>
  <c r="Y30" i="37"/>
  <c r="V31" i="40" l="1"/>
  <c r="U32" i="40"/>
  <c r="S32" i="40"/>
  <c r="R32" i="40"/>
  <c r="X32" i="40"/>
  <c r="Q32" i="40"/>
  <c r="N33" i="40"/>
  <c r="P33" i="40" s="1"/>
  <c r="V31" i="39"/>
  <c r="U32" i="39"/>
  <c r="R32" i="39"/>
  <c r="S32" i="39"/>
  <c r="Q32" i="39"/>
  <c r="N33" i="39"/>
  <c r="P33" i="39" s="1"/>
  <c r="X32" i="39"/>
  <c r="Y31" i="38"/>
  <c r="W32" i="38"/>
  <c r="U32" i="38"/>
  <c r="T32" i="38"/>
  <c r="S32" i="38"/>
  <c r="R32" i="38"/>
  <c r="X32" i="38"/>
  <c r="N33" i="38"/>
  <c r="Q32" i="38"/>
  <c r="P32" i="38"/>
  <c r="W32" i="37"/>
  <c r="U32" i="37"/>
  <c r="T32" i="37"/>
  <c r="S32" i="37"/>
  <c r="R32" i="37"/>
  <c r="P32" i="37"/>
  <c r="N33" i="37"/>
  <c r="Q32" i="37"/>
  <c r="X32" i="37"/>
  <c r="Y31" i="37"/>
  <c r="V32" i="40" l="1"/>
  <c r="U33" i="40"/>
  <c r="S33" i="40"/>
  <c r="X33" i="40"/>
  <c r="R33" i="40"/>
  <c r="Q33" i="40"/>
  <c r="N34" i="40"/>
  <c r="P34" i="40" s="1"/>
  <c r="V32" i="39"/>
  <c r="U33" i="39"/>
  <c r="S33" i="39"/>
  <c r="R33" i="39"/>
  <c r="Q33" i="39"/>
  <c r="N34" i="39"/>
  <c r="P34" i="39" s="1"/>
  <c r="X33" i="39"/>
  <c r="T33" i="38"/>
  <c r="S33" i="38"/>
  <c r="R33" i="38"/>
  <c r="N34" i="38"/>
  <c r="Q33" i="38"/>
  <c r="U33" i="38"/>
  <c r="P33" i="38"/>
  <c r="X33" i="38"/>
  <c r="W33" i="38"/>
  <c r="Y32" i="38"/>
  <c r="Y32" i="37"/>
  <c r="T33" i="37"/>
  <c r="S33" i="37"/>
  <c r="R33" i="37"/>
  <c r="N34" i="37"/>
  <c r="Q33" i="37"/>
  <c r="P33" i="37"/>
  <c r="W33" i="37"/>
  <c r="X33" i="37"/>
  <c r="U33" i="37"/>
  <c r="V33" i="40" l="1"/>
  <c r="U34" i="40"/>
  <c r="S34" i="40"/>
  <c r="N35" i="40"/>
  <c r="P35" i="40" s="1"/>
  <c r="R34" i="40"/>
  <c r="Q34" i="40"/>
  <c r="X34" i="40"/>
  <c r="V33" i="39"/>
  <c r="U34" i="39"/>
  <c r="S34" i="39"/>
  <c r="R34" i="39"/>
  <c r="Q34" i="39"/>
  <c r="N35" i="39"/>
  <c r="P35" i="39" s="1"/>
  <c r="X34" i="39"/>
  <c r="R34" i="38"/>
  <c r="Q34" i="38"/>
  <c r="N35" i="38"/>
  <c r="P34" i="38"/>
  <c r="S34" i="38"/>
  <c r="X34" i="38"/>
  <c r="W34" i="38"/>
  <c r="U34" i="38"/>
  <c r="T34" i="38"/>
  <c r="Y33" i="38"/>
  <c r="Y33" i="37"/>
  <c r="R34" i="37"/>
  <c r="Q34" i="37"/>
  <c r="N35" i="37"/>
  <c r="P34" i="37"/>
  <c r="X34" i="37"/>
  <c r="W34" i="37"/>
  <c r="U34" i="37"/>
  <c r="T34" i="37"/>
  <c r="S34" i="37"/>
  <c r="V34" i="40" l="1"/>
  <c r="U35" i="40"/>
  <c r="S35" i="40"/>
  <c r="R35" i="40"/>
  <c r="N36" i="40"/>
  <c r="P36" i="40" s="1"/>
  <c r="Q35" i="40"/>
  <c r="X35" i="40"/>
  <c r="V34" i="39"/>
  <c r="N36" i="39"/>
  <c r="P36" i="39" s="1"/>
  <c r="U35" i="39"/>
  <c r="S35" i="39"/>
  <c r="Q35" i="39"/>
  <c r="R35" i="39"/>
  <c r="X35" i="39"/>
  <c r="Y34" i="38"/>
  <c r="Q35" i="38"/>
  <c r="P35" i="38"/>
  <c r="R35" i="38"/>
  <c r="X35" i="38"/>
  <c r="W35" i="38"/>
  <c r="U35" i="38"/>
  <c r="T35" i="38"/>
  <c r="N36" i="38"/>
  <c r="S35" i="38"/>
  <c r="Q35" i="37"/>
  <c r="P35" i="37"/>
  <c r="N36" i="37"/>
  <c r="X35" i="37"/>
  <c r="W35" i="37"/>
  <c r="U35" i="37"/>
  <c r="S35" i="37"/>
  <c r="T35" i="37"/>
  <c r="R35" i="37"/>
  <c r="Y34" i="37"/>
  <c r="V35" i="40" l="1"/>
  <c r="S36" i="40"/>
  <c r="R36" i="40"/>
  <c r="N37" i="40"/>
  <c r="P37" i="40" s="1"/>
  <c r="Q36" i="40"/>
  <c r="X36" i="40"/>
  <c r="U36" i="40"/>
  <c r="V35" i="39"/>
  <c r="S36" i="39"/>
  <c r="Q36" i="39"/>
  <c r="R36" i="39"/>
  <c r="N37" i="39"/>
  <c r="P37" i="39" s="1"/>
  <c r="X36" i="39"/>
  <c r="U36" i="39"/>
  <c r="U36" i="38"/>
  <c r="N37" i="38"/>
  <c r="T36" i="38"/>
  <c r="S36" i="38"/>
  <c r="R36" i="38"/>
  <c r="Q36" i="38"/>
  <c r="W36" i="38"/>
  <c r="P36" i="38"/>
  <c r="X36" i="38"/>
  <c r="Y35" i="38"/>
  <c r="U36" i="37"/>
  <c r="N37" i="37"/>
  <c r="T36" i="37"/>
  <c r="S36" i="37"/>
  <c r="R36" i="37"/>
  <c r="X36" i="37"/>
  <c r="Q36" i="37"/>
  <c r="P36" i="37"/>
  <c r="W36" i="37"/>
  <c r="Y35" i="37"/>
  <c r="Q37" i="40" l="1"/>
  <c r="N38" i="40"/>
  <c r="P38" i="40" s="1"/>
  <c r="X37" i="40"/>
  <c r="S37" i="40"/>
  <c r="U37" i="40"/>
  <c r="R37" i="40"/>
  <c r="V36" i="40"/>
  <c r="V36" i="39"/>
  <c r="Q37" i="39"/>
  <c r="N38" i="39"/>
  <c r="P38" i="39" s="1"/>
  <c r="X37" i="39"/>
  <c r="U37" i="39"/>
  <c r="S37" i="39"/>
  <c r="R37" i="39"/>
  <c r="Y36" i="38"/>
  <c r="P37" i="38"/>
  <c r="X37" i="38"/>
  <c r="W37" i="38"/>
  <c r="U37" i="38"/>
  <c r="N38" i="38"/>
  <c r="T37" i="38"/>
  <c r="S37" i="38"/>
  <c r="R37" i="38"/>
  <c r="Q37" i="38"/>
  <c r="Y36" i="37"/>
  <c r="P37" i="37"/>
  <c r="X37" i="37"/>
  <c r="W37" i="37"/>
  <c r="R37" i="37"/>
  <c r="U37" i="37"/>
  <c r="N38" i="37"/>
  <c r="T37" i="37"/>
  <c r="S37" i="37"/>
  <c r="Q37" i="37"/>
  <c r="V37" i="40" l="1"/>
  <c r="R38" i="40"/>
  <c r="X38" i="40"/>
  <c r="U38" i="40"/>
  <c r="S38" i="40"/>
  <c r="N39" i="40"/>
  <c r="P39" i="40" s="1"/>
  <c r="Q38" i="40"/>
  <c r="X38" i="39"/>
  <c r="U38" i="39"/>
  <c r="S38" i="39"/>
  <c r="N39" i="39"/>
  <c r="P39" i="39" s="1"/>
  <c r="Q38" i="39"/>
  <c r="R38" i="39"/>
  <c r="V37" i="39"/>
  <c r="Y37" i="38"/>
  <c r="S38" i="38"/>
  <c r="R38" i="38"/>
  <c r="Q38" i="38"/>
  <c r="P38" i="38"/>
  <c r="N39" i="38"/>
  <c r="X38" i="38"/>
  <c r="T38" i="38"/>
  <c r="W38" i="38"/>
  <c r="U38" i="38"/>
  <c r="S38" i="37"/>
  <c r="R38" i="37"/>
  <c r="U38" i="37"/>
  <c r="Q38" i="37"/>
  <c r="P38" i="37"/>
  <c r="X38" i="37"/>
  <c r="W38" i="37"/>
  <c r="N39" i="37"/>
  <c r="T38" i="37"/>
  <c r="Y37" i="37"/>
  <c r="N40" i="40" l="1"/>
  <c r="P40" i="40" s="1"/>
  <c r="X39" i="40"/>
  <c r="U39" i="40"/>
  <c r="S39" i="40"/>
  <c r="R39" i="40"/>
  <c r="Q39" i="40"/>
  <c r="V38" i="40"/>
  <c r="N40" i="39"/>
  <c r="P40" i="39" s="1"/>
  <c r="X39" i="39"/>
  <c r="U39" i="39"/>
  <c r="S39" i="39"/>
  <c r="R39" i="39"/>
  <c r="Q39" i="39"/>
  <c r="V38" i="39"/>
  <c r="W39" i="38"/>
  <c r="U39" i="38"/>
  <c r="T39" i="38"/>
  <c r="S39" i="38"/>
  <c r="N40" i="38"/>
  <c r="R39" i="38"/>
  <c r="Q39" i="38"/>
  <c r="X39" i="38"/>
  <c r="P39" i="38"/>
  <c r="Y38" i="38"/>
  <c r="Y38" i="37"/>
  <c r="W39" i="37"/>
  <c r="U39" i="37"/>
  <c r="T39" i="37"/>
  <c r="S39" i="37"/>
  <c r="N40" i="37"/>
  <c r="R39" i="37"/>
  <c r="P39" i="37"/>
  <c r="Q39" i="37"/>
  <c r="X39" i="37"/>
  <c r="V39" i="40" l="1"/>
  <c r="N41" i="40"/>
  <c r="P41" i="40" s="1"/>
  <c r="X40" i="40"/>
  <c r="U40" i="40"/>
  <c r="S40" i="40"/>
  <c r="R40" i="40"/>
  <c r="Q40" i="40"/>
  <c r="V39" i="39"/>
  <c r="N41" i="39"/>
  <c r="P41" i="39" s="1"/>
  <c r="X40" i="39"/>
  <c r="U40" i="39"/>
  <c r="S40" i="39"/>
  <c r="R40" i="39"/>
  <c r="Q40" i="39"/>
  <c r="Y39" i="38"/>
  <c r="S40" i="38"/>
  <c r="R40" i="38"/>
  <c r="T40" i="38"/>
  <c r="N41" i="38"/>
  <c r="Q40" i="38"/>
  <c r="P40" i="38"/>
  <c r="X40" i="38"/>
  <c r="W40" i="38"/>
  <c r="U40" i="38"/>
  <c r="Y39" i="37"/>
  <c r="S40" i="37"/>
  <c r="R40" i="37"/>
  <c r="N41" i="37"/>
  <c r="Q40" i="37"/>
  <c r="P40" i="37"/>
  <c r="X40" i="37"/>
  <c r="W40" i="37"/>
  <c r="U40" i="37"/>
  <c r="T40" i="37"/>
  <c r="V40" i="40" l="1"/>
  <c r="R41" i="40"/>
  <c r="X41" i="40"/>
  <c r="N42" i="40"/>
  <c r="P42" i="40" s="1"/>
  <c r="U41" i="40"/>
  <c r="S41" i="40"/>
  <c r="Q41" i="40"/>
  <c r="V40" i="39"/>
  <c r="X41" i="39"/>
  <c r="N42" i="39"/>
  <c r="P42" i="39" s="1"/>
  <c r="U41" i="39"/>
  <c r="S41" i="39"/>
  <c r="Q41" i="39"/>
  <c r="R41" i="39"/>
  <c r="Y40" i="38"/>
  <c r="Q41" i="38"/>
  <c r="P41" i="38"/>
  <c r="N42" i="38"/>
  <c r="X41" i="38"/>
  <c r="W41" i="38"/>
  <c r="U41" i="38"/>
  <c r="T41" i="38"/>
  <c r="S41" i="38"/>
  <c r="R41" i="38"/>
  <c r="Q41" i="37"/>
  <c r="P41" i="37"/>
  <c r="N42" i="37"/>
  <c r="X41" i="37"/>
  <c r="W41" i="37"/>
  <c r="U41" i="37"/>
  <c r="T41" i="37"/>
  <c r="S41" i="37"/>
  <c r="R41" i="37"/>
  <c r="Y40" i="37"/>
  <c r="R42" i="40" l="1"/>
  <c r="Q42" i="40"/>
  <c r="N43" i="40"/>
  <c r="P43" i="40" s="1"/>
  <c r="X42" i="40"/>
  <c r="U42" i="40"/>
  <c r="S42" i="40"/>
  <c r="V41" i="40"/>
  <c r="R42" i="39"/>
  <c r="Q42" i="39"/>
  <c r="N43" i="39"/>
  <c r="P43" i="39" s="1"/>
  <c r="X42" i="39"/>
  <c r="S42" i="39"/>
  <c r="U42" i="39"/>
  <c r="V41" i="39"/>
  <c r="Y41" i="38"/>
  <c r="Q42" i="38"/>
  <c r="N43" i="38"/>
  <c r="P42" i="38"/>
  <c r="X42" i="38"/>
  <c r="R42" i="38"/>
  <c r="W42" i="38"/>
  <c r="U42" i="38"/>
  <c r="T42" i="38"/>
  <c r="S42" i="38"/>
  <c r="Q42" i="37"/>
  <c r="N43" i="37"/>
  <c r="P42" i="37"/>
  <c r="R42" i="37"/>
  <c r="X42" i="37"/>
  <c r="W42" i="37"/>
  <c r="U42" i="37"/>
  <c r="T42" i="37"/>
  <c r="S42" i="37"/>
  <c r="Y41" i="37"/>
  <c r="V42" i="40" l="1"/>
  <c r="S43" i="40"/>
  <c r="R43" i="40"/>
  <c r="Q43" i="40"/>
  <c r="N44" i="40"/>
  <c r="P44" i="40" s="1"/>
  <c r="X43" i="40"/>
  <c r="U43" i="40"/>
  <c r="V42" i="39"/>
  <c r="S43" i="39"/>
  <c r="R43" i="39"/>
  <c r="Q43" i="39"/>
  <c r="N44" i="39"/>
  <c r="P44" i="39" s="1"/>
  <c r="X43" i="39"/>
  <c r="U43" i="39"/>
  <c r="N44" i="38"/>
  <c r="P43" i="38"/>
  <c r="X43" i="38"/>
  <c r="W43" i="38"/>
  <c r="Q43" i="38"/>
  <c r="U43" i="38"/>
  <c r="T43" i="38"/>
  <c r="S43" i="38"/>
  <c r="R43" i="38"/>
  <c r="Y42" i="38"/>
  <c r="Y42" i="37"/>
  <c r="N44" i="37"/>
  <c r="P43" i="37"/>
  <c r="X43" i="37"/>
  <c r="Q43" i="37"/>
  <c r="W43" i="37"/>
  <c r="U43" i="37"/>
  <c r="T43" i="37"/>
  <c r="S43" i="37"/>
  <c r="R43" i="37"/>
  <c r="N45" i="40" l="1"/>
  <c r="P45" i="40" s="1"/>
  <c r="U44" i="40"/>
  <c r="X44" i="40"/>
  <c r="S44" i="40"/>
  <c r="R44" i="40"/>
  <c r="Q44" i="40"/>
  <c r="V43" i="40"/>
  <c r="N45" i="39"/>
  <c r="P45" i="39" s="1"/>
  <c r="U44" i="39"/>
  <c r="S44" i="39"/>
  <c r="R44" i="39"/>
  <c r="Q44" i="39"/>
  <c r="X44" i="39"/>
  <c r="V43" i="39"/>
  <c r="Y43" i="38"/>
  <c r="X44" i="38"/>
  <c r="N45" i="38"/>
  <c r="W44" i="38"/>
  <c r="P44" i="38"/>
  <c r="U44" i="38"/>
  <c r="T44" i="38"/>
  <c r="S44" i="38"/>
  <c r="R44" i="38"/>
  <c r="Q44" i="38"/>
  <c r="Y43" i="37"/>
  <c r="X44" i="37"/>
  <c r="N45" i="37"/>
  <c r="W44" i="37"/>
  <c r="U44" i="37"/>
  <c r="T44" i="37"/>
  <c r="S44" i="37"/>
  <c r="R44" i="37"/>
  <c r="P44" i="37"/>
  <c r="Q44" i="37"/>
  <c r="V44" i="40" l="1"/>
  <c r="N46" i="40"/>
  <c r="P46" i="40" s="1"/>
  <c r="X45" i="40"/>
  <c r="U45" i="40"/>
  <c r="S45" i="40"/>
  <c r="R45" i="40"/>
  <c r="Q45" i="40"/>
  <c r="N46" i="39"/>
  <c r="P46" i="39" s="1"/>
  <c r="X45" i="39"/>
  <c r="U45" i="39"/>
  <c r="S45" i="39"/>
  <c r="R45" i="39"/>
  <c r="Q45" i="39"/>
  <c r="V44" i="39"/>
  <c r="N46" i="38"/>
  <c r="P45" i="38"/>
  <c r="X45" i="38"/>
  <c r="W45" i="38"/>
  <c r="U45" i="38"/>
  <c r="T45" i="38"/>
  <c r="Q45" i="38"/>
  <c r="S45" i="38"/>
  <c r="R45" i="38"/>
  <c r="Y44" i="38"/>
  <c r="N46" i="37"/>
  <c r="P45" i="37"/>
  <c r="X45" i="37"/>
  <c r="W45" i="37"/>
  <c r="U45" i="37"/>
  <c r="T45" i="37"/>
  <c r="S45" i="37"/>
  <c r="Q45" i="37"/>
  <c r="R45" i="37"/>
  <c r="Y44" i="37"/>
  <c r="V45" i="40" l="1"/>
  <c r="N47" i="40"/>
  <c r="P47" i="40" s="1"/>
  <c r="X46" i="40"/>
  <c r="R46" i="40"/>
  <c r="U46" i="40"/>
  <c r="S46" i="40"/>
  <c r="Q46" i="40"/>
  <c r="V45" i="39"/>
  <c r="N47" i="39"/>
  <c r="P47" i="39" s="1"/>
  <c r="X46" i="39"/>
  <c r="U46" i="39"/>
  <c r="S46" i="39"/>
  <c r="Q46" i="39"/>
  <c r="R46" i="39"/>
  <c r="Y45" i="38"/>
  <c r="X46" i="38"/>
  <c r="W46" i="38"/>
  <c r="U46" i="38"/>
  <c r="T46" i="38"/>
  <c r="S46" i="38"/>
  <c r="R46" i="38"/>
  <c r="Q46" i="38"/>
  <c r="N47" i="38"/>
  <c r="P46" i="38"/>
  <c r="Y45" i="37"/>
  <c r="X46" i="37"/>
  <c r="W46" i="37"/>
  <c r="U46" i="37"/>
  <c r="N47" i="37"/>
  <c r="T46" i="37"/>
  <c r="S46" i="37"/>
  <c r="R46" i="37"/>
  <c r="P46" i="37"/>
  <c r="Q46" i="37"/>
  <c r="Q47" i="40" l="1"/>
  <c r="X47" i="40"/>
  <c r="N48" i="40"/>
  <c r="P48" i="40" s="1"/>
  <c r="U47" i="40"/>
  <c r="R47" i="40"/>
  <c r="S47" i="40"/>
  <c r="V46" i="40"/>
  <c r="Q47" i="39"/>
  <c r="X47" i="39"/>
  <c r="N48" i="39"/>
  <c r="P48" i="39" s="1"/>
  <c r="U47" i="39"/>
  <c r="R47" i="39"/>
  <c r="S47" i="39"/>
  <c r="V46" i="39"/>
  <c r="W47" i="38"/>
  <c r="U47" i="38"/>
  <c r="T47" i="38"/>
  <c r="S47" i="38"/>
  <c r="R47" i="38"/>
  <c r="Q47" i="38"/>
  <c r="N48" i="38"/>
  <c r="P47" i="38"/>
  <c r="X47" i="38"/>
  <c r="Y46" i="38"/>
  <c r="W47" i="37"/>
  <c r="U47" i="37"/>
  <c r="T47" i="37"/>
  <c r="S47" i="37"/>
  <c r="R47" i="37"/>
  <c r="Q47" i="37"/>
  <c r="X47" i="37"/>
  <c r="N48" i="37"/>
  <c r="P47" i="37"/>
  <c r="Y46" i="37"/>
  <c r="S48" i="40" l="1"/>
  <c r="S49" i="40" s="1"/>
  <c r="R48" i="40"/>
  <c r="R49" i="40" s="1"/>
  <c r="Q48" i="40"/>
  <c r="Q49" i="40" s="1"/>
  <c r="P56" i="40" s="1"/>
  <c r="R56" i="40" s="1"/>
  <c r="X48" i="40"/>
  <c r="U48" i="40"/>
  <c r="V47" i="40"/>
  <c r="S48" i="39"/>
  <c r="S49" i="39" s="1"/>
  <c r="R48" i="39"/>
  <c r="R49" i="39" s="1"/>
  <c r="Q48" i="39"/>
  <c r="Q49" i="39" s="1"/>
  <c r="P56" i="39" s="1"/>
  <c r="R56" i="39" s="1"/>
  <c r="X48" i="39"/>
  <c r="U48" i="39"/>
  <c r="U49" i="39" s="1"/>
  <c r="P58" i="39" s="1"/>
  <c r="R58" i="39" s="1"/>
  <c r="V47" i="39"/>
  <c r="Y47" i="38"/>
  <c r="U48" i="38"/>
  <c r="U49" i="38" s="1"/>
  <c r="T48" i="38"/>
  <c r="T49" i="38" s="1"/>
  <c r="S48" i="38"/>
  <c r="S49" i="38" s="1"/>
  <c r="S50" i="38" s="1"/>
  <c r="W48" i="38"/>
  <c r="W49" i="38" s="1"/>
  <c r="R48" i="38"/>
  <c r="R49" i="38" s="1"/>
  <c r="Q48" i="38"/>
  <c r="Q49" i="38" s="1"/>
  <c r="P48" i="38"/>
  <c r="X48" i="38"/>
  <c r="X49" i="38" s="1"/>
  <c r="P59" i="38" s="1"/>
  <c r="R59" i="38" s="1"/>
  <c r="U48" i="37"/>
  <c r="U49" i="37" s="1"/>
  <c r="T48" i="37"/>
  <c r="T49" i="37" s="1"/>
  <c r="S48" i="37"/>
  <c r="S49" i="37" s="1"/>
  <c r="R48" i="37"/>
  <c r="R49" i="37" s="1"/>
  <c r="W48" i="37"/>
  <c r="W49" i="37" s="1"/>
  <c r="Q48" i="37"/>
  <c r="Q49" i="37" s="1"/>
  <c r="P48" i="37"/>
  <c r="X48" i="37"/>
  <c r="X49" i="37" s="1"/>
  <c r="P59" i="37" s="1"/>
  <c r="R59" i="37" s="1"/>
  <c r="Y47" i="37"/>
  <c r="R50" i="40" l="1"/>
  <c r="R50" i="39"/>
  <c r="P57" i="37"/>
  <c r="R57" i="37" s="1"/>
  <c r="S50" i="37"/>
  <c r="P57" i="40"/>
  <c r="R57" i="40" s="1"/>
  <c r="V48" i="40"/>
  <c r="P56" i="38"/>
  <c r="R56" i="38" s="1"/>
  <c r="V48" i="39"/>
  <c r="V49" i="39" s="1"/>
  <c r="AC53" i="39" s="1"/>
  <c r="P49" i="39"/>
  <c r="P55" i="39" s="1"/>
  <c r="P57" i="39"/>
  <c r="R57" i="39" s="1"/>
  <c r="Y48" i="38"/>
  <c r="Y49" i="38" s="1"/>
  <c r="P49" i="38"/>
  <c r="P55" i="38" s="1"/>
  <c r="P57" i="38"/>
  <c r="R57" i="38" s="1"/>
  <c r="P58" i="38"/>
  <c r="R58" i="38" s="1"/>
  <c r="P56" i="37"/>
  <c r="R56" i="37" s="1"/>
  <c r="Y48" i="37"/>
  <c r="Y49" i="37" s="1"/>
  <c r="AC68" i="37" s="1"/>
  <c r="P49" i="37"/>
  <c r="P55" i="37" s="1"/>
  <c r="P58" i="37"/>
  <c r="R58" i="37" s="1"/>
  <c r="AH53" i="38" l="1"/>
  <c r="AC68" i="38"/>
  <c r="AH53" i="37"/>
  <c r="R55" i="39"/>
  <c r="R60" i="39" s="1"/>
  <c r="P60" i="39"/>
  <c r="AH38" i="39"/>
  <c r="AC38" i="39"/>
  <c r="AH23" i="39"/>
  <c r="AC23" i="39"/>
  <c r="B2" i="39"/>
  <c r="B3" i="39" s="1"/>
  <c r="P60" i="38"/>
  <c r="R55" i="38"/>
  <c r="R60" i="38" s="1"/>
  <c r="AH38" i="38"/>
  <c r="B2" i="38"/>
  <c r="B3" i="38" s="1"/>
  <c r="AC38" i="38"/>
  <c r="AC53" i="38"/>
  <c r="AH23" i="38"/>
  <c r="AC23" i="38"/>
  <c r="P60" i="37"/>
  <c r="R55" i="37"/>
  <c r="R60" i="37" s="1"/>
  <c r="AH38" i="37"/>
  <c r="B2" i="37"/>
  <c r="B3" i="37" s="1"/>
  <c r="AC38" i="37"/>
  <c r="AC53" i="37"/>
  <c r="AH23" i="37"/>
  <c r="AC23" i="37"/>
  <c r="J40" i="1" l="1"/>
  <c r="J39" i="1"/>
  <c r="J38" i="1"/>
  <c r="F36" i="1"/>
  <c r="F38" i="1" s="1"/>
  <c r="F41" i="1" s="1"/>
  <c r="J31" i="1"/>
  <c r="B35" i="1"/>
  <c r="B34" i="1"/>
  <c r="B46" i="1"/>
  <c r="B32" i="1"/>
  <c r="I40" i="1"/>
  <c r="I38" i="1"/>
  <c r="J37" i="1" l="1"/>
  <c r="B43" i="1" l="1"/>
  <c r="B45" i="1" s="1"/>
  <c r="AB8" i="34"/>
  <c r="F41" i="34"/>
  <c r="B43" i="34"/>
  <c r="B44" i="34" s="1"/>
  <c r="B45" i="34" l="1"/>
  <c r="B47" i="1"/>
  <c r="B33" i="34"/>
  <c r="B46" i="34" s="1"/>
  <c r="J30" i="34"/>
  <c r="B33" i="1" l="1"/>
  <c r="B49" i="1" s="1"/>
  <c r="B48" i="1"/>
  <c r="Q9" i="34" l="1"/>
  <c r="AI49" i="34"/>
  <c r="AO32" i="34" s="1"/>
  <c r="AN32" i="34"/>
  <c r="R15" i="41" s="1"/>
  <c r="AI48" i="34"/>
  <c r="AO31" i="34" s="1"/>
  <c r="AN31" i="34"/>
  <c r="R14" i="41" s="1"/>
  <c r="AI47" i="34"/>
  <c r="AO30" i="34" s="1"/>
  <c r="AN30" i="34"/>
  <c r="R13" i="41" s="1"/>
  <c r="AI46" i="34"/>
  <c r="AO29" i="34" s="1"/>
  <c r="AN29" i="34"/>
  <c r="R12" i="41" s="1"/>
  <c r="AI45" i="34"/>
  <c r="AO28" i="34" s="1"/>
  <c r="AF45" i="34"/>
  <c r="AG45" i="34" s="1"/>
  <c r="AN28" i="34"/>
  <c r="R11" i="41" s="1"/>
  <c r="AA45" i="34"/>
  <c r="AA46" i="34" s="1"/>
  <c r="AA47" i="34" s="1"/>
  <c r="AA48" i="34" s="1"/>
  <c r="AA49" i="34" s="1"/>
  <c r="AI44" i="34"/>
  <c r="AO27" i="34" s="1"/>
  <c r="AG44" i="34"/>
  <c r="AN27" i="34"/>
  <c r="R10" i="41" s="1"/>
  <c r="AI43" i="34"/>
  <c r="AO26" i="34" s="1"/>
  <c r="AF43" i="34"/>
  <c r="AG43" i="34" s="1"/>
  <c r="AN26" i="34"/>
  <c r="R9" i="41" s="1"/>
  <c r="AA43" i="34"/>
  <c r="AA42" i="34" s="1"/>
  <c r="AA41" i="34" s="1"/>
  <c r="AA40" i="34" s="1"/>
  <c r="AA39" i="34" s="1"/>
  <c r="AI42" i="34"/>
  <c r="AO25" i="34" s="1"/>
  <c r="AN25" i="34"/>
  <c r="R8" i="41" s="1"/>
  <c r="AI41" i="34"/>
  <c r="AO24" i="34" s="1"/>
  <c r="AN24" i="34"/>
  <c r="R7" i="41" s="1"/>
  <c r="AI40" i="34"/>
  <c r="AO23" i="34" s="1"/>
  <c r="AN23" i="34"/>
  <c r="R6" i="41" s="1"/>
  <c r="AI39" i="34"/>
  <c r="AO22" i="34" s="1"/>
  <c r="AN22" i="34"/>
  <c r="R5" i="41" s="1"/>
  <c r="AI34" i="34"/>
  <c r="AL32" i="34" s="1"/>
  <c r="P15" i="41" s="1"/>
  <c r="AD34" i="34"/>
  <c r="AM32" i="34" s="1"/>
  <c r="Q15" i="41" s="1"/>
  <c r="AI33" i="34"/>
  <c r="AL31" i="34" s="1"/>
  <c r="P14" i="41" s="1"/>
  <c r="AD33" i="34"/>
  <c r="AM31" i="34" s="1"/>
  <c r="Q14" i="41" s="1"/>
  <c r="AI32" i="34"/>
  <c r="AL30" i="34" s="1"/>
  <c r="P13" i="41" s="1"/>
  <c r="AD32" i="34"/>
  <c r="AM30" i="34" s="1"/>
  <c r="Q13" i="41" s="1"/>
  <c r="AI31" i="34"/>
  <c r="AL29" i="34" s="1"/>
  <c r="P12" i="41" s="1"/>
  <c r="AD31" i="34"/>
  <c r="AM29" i="34" s="1"/>
  <c r="Q12" i="41" s="1"/>
  <c r="R9" i="34"/>
  <c r="AI30" i="34"/>
  <c r="AL28" i="34" s="1"/>
  <c r="P11" i="41" s="1"/>
  <c r="AF30" i="34"/>
  <c r="AF31" i="34" s="1"/>
  <c r="AD30" i="34"/>
  <c r="AM28" i="34" s="1"/>
  <c r="Q11" i="41" s="1"/>
  <c r="AA30" i="34"/>
  <c r="AA31" i="34" s="1"/>
  <c r="AI29" i="34"/>
  <c r="AL27" i="34" s="1"/>
  <c r="P10" i="41" s="1"/>
  <c r="AG29" i="34"/>
  <c r="AD29" i="34"/>
  <c r="AM27" i="34" s="1"/>
  <c r="Q10" i="41" s="1"/>
  <c r="AB29" i="34"/>
  <c r="AI28" i="34"/>
  <c r="AL26" i="34" s="1"/>
  <c r="P9" i="41" s="1"/>
  <c r="AF28" i="34"/>
  <c r="AG28" i="34" s="1"/>
  <c r="AD28" i="34"/>
  <c r="AM26" i="34" s="1"/>
  <c r="Q9" i="41" s="1"/>
  <c r="AA28" i="34"/>
  <c r="AB28" i="34" s="1"/>
  <c r="AI27" i="34"/>
  <c r="AL25" i="34" s="1"/>
  <c r="P8" i="41" s="1"/>
  <c r="AD27" i="34"/>
  <c r="AM25" i="34" s="1"/>
  <c r="Q8" i="41" s="1"/>
  <c r="AI26" i="34"/>
  <c r="AL24" i="34" s="1"/>
  <c r="P7" i="41" s="1"/>
  <c r="AD26" i="34"/>
  <c r="AM24" i="34" s="1"/>
  <c r="Q7" i="41" s="1"/>
  <c r="AI25" i="34"/>
  <c r="AL23" i="34" s="1"/>
  <c r="P6" i="41" s="1"/>
  <c r="AD25" i="34"/>
  <c r="AM23" i="34" s="1"/>
  <c r="Q6" i="41" s="1"/>
  <c r="AI24" i="34"/>
  <c r="AL22" i="34" s="1"/>
  <c r="P5" i="41" s="1"/>
  <c r="AD24" i="34"/>
  <c r="AM22" i="34" s="1"/>
  <c r="Q5" i="41" s="1"/>
  <c r="AB11" i="34"/>
  <c r="AB10" i="34"/>
  <c r="N10" i="34"/>
  <c r="S12" i="41" l="1"/>
  <c r="S7" i="41"/>
  <c r="S13" i="41"/>
  <c r="S8" i="41"/>
  <c r="S14" i="41"/>
  <c r="S10" i="41"/>
  <c r="S5" i="41"/>
  <c r="S11" i="41"/>
  <c r="S15" i="41"/>
  <c r="S6" i="41"/>
  <c r="S9" i="41"/>
  <c r="AA27" i="34"/>
  <c r="AA26" i="34" s="1"/>
  <c r="AA25" i="34" s="1"/>
  <c r="AF42" i="34"/>
  <c r="AG42" i="34" s="1"/>
  <c r="R10" i="34"/>
  <c r="U10" i="34"/>
  <c r="AF27" i="34"/>
  <c r="AB46" i="34"/>
  <c r="AF46" i="34"/>
  <c r="N11" i="34"/>
  <c r="U11" i="34" s="1"/>
  <c r="AB45" i="34"/>
  <c r="AB49" i="34"/>
  <c r="AB39" i="34"/>
  <c r="AF32" i="34"/>
  <c r="AG31" i="34"/>
  <c r="AB26" i="34"/>
  <c r="AA32" i="34"/>
  <c r="AB31" i="34"/>
  <c r="AB30" i="34"/>
  <c r="AB44" i="34"/>
  <c r="AB42" i="34"/>
  <c r="AB43" i="34"/>
  <c r="AB48" i="34"/>
  <c r="Q10" i="34"/>
  <c r="AG30" i="34"/>
  <c r="AB41" i="34"/>
  <c r="AB47" i="34"/>
  <c r="AB40" i="34"/>
  <c r="AF41" i="34" l="1"/>
  <c r="AG41" i="34" s="1"/>
  <c r="AB27" i="34"/>
  <c r="Q11" i="34"/>
  <c r="R11" i="34"/>
  <c r="AG46" i="34"/>
  <c r="AF47" i="34"/>
  <c r="X11" i="34"/>
  <c r="N12" i="34"/>
  <c r="AG27" i="34"/>
  <c r="AF26" i="34"/>
  <c r="X10" i="34"/>
  <c r="AA24" i="34"/>
  <c r="AB24" i="34" s="1"/>
  <c r="AB25" i="34"/>
  <c r="AA33" i="34"/>
  <c r="AB32" i="34"/>
  <c r="AF33" i="34"/>
  <c r="AG32" i="34"/>
  <c r="X9" i="34"/>
  <c r="AF40" i="34" l="1"/>
  <c r="Q12" i="34"/>
  <c r="U12" i="34"/>
  <c r="X12" i="34"/>
  <c r="N13" i="34"/>
  <c r="N14" i="34" s="1"/>
  <c r="U14" i="34" s="1"/>
  <c r="AF48" i="34"/>
  <c r="AG47" i="34"/>
  <c r="R12" i="34"/>
  <c r="AG26" i="34"/>
  <c r="AF25" i="34"/>
  <c r="AF34" i="34"/>
  <c r="AG34" i="34" s="1"/>
  <c r="AG33" i="34"/>
  <c r="AB33" i="34"/>
  <c r="AA34" i="34"/>
  <c r="AB34" i="34" s="1"/>
  <c r="R13" i="34" l="1"/>
  <c r="Q13" i="34"/>
  <c r="AG40" i="34"/>
  <c r="AF39" i="34"/>
  <c r="AG39" i="34" s="1"/>
  <c r="S13" i="34"/>
  <c r="U13" i="34"/>
  <c r="T13" i="34"/>
  <c r="X13" i="34"/>
  <c r="AF24" i="34"/>
  <c r="AG24" i="34" s="1"/>
  <c r="AG25" i="34"/>
  <c r="AF49" i="34"/>
  <c r="AG49" i="34" s="1"/>
  <c r="AG48" i="34"/>
  <c r="Q14" i="34"/>
  <c r="P14" i="34"/>
  <c r="N15" i="34"/>
  <c r="U15" i="34" s="1"/>
  <c r="R14" i="34"/>
  <c r="X14" i="34"/>
  <c r="Q15" i="34" l="1"/>
  <c r="P15" i="34"/>
  <c r="N16" i="34"/>
  <c r="U16" i="34" s="1"/>
  <c r="X15" i="34"/>
  <c r="R15" i="34"/>
  <c r="V14" i="34"/>
  <c r="Q16" i="34" l="1"/>
  <c r="P16" i="34"/>
  <c r="N17" i="34"/>
  <c r="U17" i="34" s="1"/>
  <c r="R16" i="34"/>
  <c r="X16" i="34"/>
  <c r="V15" i="34"/>
  <c r="Q17" i="34" l="1"/>
  <c r="P17" i="34"/>
  <c r="N18" i="34"/>
  <c r="X17" i="34"/>
  <c r="R17" i="34"/>
  <c r="V16" i="34"/>
  <c r="T18" i="34" l="1"/>
  <c r="T49" i="34" s="1"/>
  <c r="S18" i="34"/>
  <c r="U18" i="34"/>
  <c r="V17" i="34"/>
  <c r="Q18" i="34"/>
  <c r="P18" i="34"/>
  <c r="N19" i="34"/>
  <c r="X18" i="34"/>
  <c r="R18" i="34"/>
  <c r="V18" i="34" l="1"/>
  <c r="Q19" i="34"/>
  <c r="R19" i="34"/>
  <c r="P19" i="34"/>
  <c r="N20" i="34"/>
  <c r="X19" i="34"/>
  <c r="U19" i="34"/>
  <c r="Q20" i="34" l="1"/>
  <c r="P20" i="34"/>
  <c r="N21" i="34"/>
  <c r="R20" i="34"/>
  <c r="X20" i="34"/>
  <c r="U20" i="34"/>
  <c r="V19" i="34"/>
  <c r="Q21" i="34" l="1"/>
  <c r="P21" i="34"/>
  <c r="S21" i="34"/>
  <c r="N22" i="34"/>
  <c r="X21" i="34"/>
  <c r="R21" i="34"/>
  <c r="U21" i="34"/>
  <c r="V20" i="34"/>
  <c r="Q22" i="34" l="1"/>
  <c r="P22" i="34"/>
  <c r="R22" i="34"/>
  <c r="N23" i="34"/>
  <c r="S22" i="34"/>
  <c r="X22" i="34"/>
  <c r="U22" i="34"/>
  <c r="V21" i="34"/>
  <c r="V22" i="34" l="1"/>
  <c r="N24" i="34"/>
  <c r="Q23" i="34"/>
  <c r="P23" i="34"/>
  <c r="R23" i="34"/>
  <c r="X23" i="34"/>
  <c r="U23" i="34"/>
  <c r="S23" i="34"/>
  <c r="X24" i="34" l="1"/>
  <c r="Q24" i="34"/>
  <c r="N25" i="34"/>
  <c r="U24" i="34"/>
  <c r="S24" i="34"/>
  <c r="R24" i="34"/>
  <c r="P24" i="34"/>
  <c r="V23" i="34"/>
  <c r="V24" i="34" l="1"/>
  <c r="Q25" i="34"/>
  <c r="R25" i="34"/>
  <c r="P25" i="34"/>
  <c r="X25" i="34"/>
  <c r="N26" i="34"/>
  <c r="S25" i="34"/>
  <c r="U25" i="34"/>
  <c r="V25" i="34" l="1"/>
  <c r="S26" i="34"/>
  <c r="R26" i="34"/>
  <c r="N27" i="34"/>
  <c r="Q26" i="34"/>
  <c r="U26" i="34"/>
  <c r="P26" i="34"/>
  <c r="X26" i="34"/>
  <c r="V26" i="34" l="1"/>
  <c r="N28" i="34"/>
  <c r="U27" i="34"/>
  <c r="S27" i="34"/>
  <c r="R27" i="34"/>
  <c r="Q27" i="34"/>
  <c r="P27" i="34"/>
  <c r="X27" i="34"/>
  <c r="X28" i="34" l="1"/>
  <c r="N29" i="34"/>
  <c r="U28" i="34"/>
  <c r="Q28" i="34"/>
  <c r="P28" i="34"/>
  <c r="S28" i="34"/>
  <c r="R28" i="34"/>
  <c r="V27" i="34"/>
  <c r="Q29" i="34" l="1"/>
  <c r="P29" i="34"/>
  <c r="N30" i="34"/>
  <c r="X29" i="34"/>
  <c r="R29" i="34"/>
  <c r="U29" i="34"/>
  <c r="S29" i="34"/>
  <c r="V28" i="34"/>
  <c r="X30" i="34" l="1"/>
  <c r="U30" i="34"/>
  <c r="S30" i="34"/>
  <c r="R30" i="34"/>
  <c r="Q30" i="34"/>
  <c r="N31" i="34"/>
  <c r="P30" i="34"/>
  <c r="V29" i="34"/>
  <c r="V30" i="34" l="1"/>
  <c r="U31" i="34"/>
  <c r="S31" i="34"/>
  <c r="R31" i="34"/>
  <c r="Q31" i="34"/>
  <c r="X31" i="34"/>
  <c r="N32" i="34"/>
  <c r="P31" i="34"/>
  <c r="V31" i="34" l="1"/>
  <c r="S32" i="34"/>
  <c r="R32" i="34"/>
  <c r="Q32" i="34"/>
  <c r="N33" i="34"/>
  <c r="P32" i="34"/>
  <c r="U32" i="34"/>
  <c r="X32" i="34"/>
  <c r="V32" i="34" l="1"/>
  <c r="R33" i="34"/>
  <c r="Q33" i="34"/>
  <c r="U33" i="34"/>
  <c r="P33" i="34"/>
  <c r="N34" i="34"/>
  <c r="S33" i="34"/>
  <c r="X33" i="34"/>
  <c r="V33" i="34" l="1"/>
  <c r="R34" i="34"/>
  <c r="Q34" i="34"/>
  <c r="P34" i="34"/>
  <c r="N35" i="34"/>
  <c r="X34" i="34"/>
  <c r="U34" i="34"/>
  <c r="S34" i="34"/>
  <c r="N36" i="34" l="1"/>
  <c r="R35" i="34"/>
  <c r="Q35" i="34"/>
  <c r="P35" i="34"/>
  <c r="U35" i="34"/>
  <c r="S35" i="34"/>
  <c r="X35" i="34"/>
  <c r="V34" i="34"/>
  <c r="Q36" i="34" l="1"/>
  <c r="X36" i="34"/>
  <c r="P36" i="34"/>
  <c r="U36" i="34"/>
  <c r="S36" i="34"/>
  <c r="R36" i="34"/>
  <c r="N37" i="34"/>
  <c r="V35" i="34"/>
  <c r="U37" i="34" l="1"/>
  <c r="S37" i="34"/>
  <c r="R37" i="34"/>
  <c r="X37" i="34"/>
  <c r="N38" i="34"/>
  <c r="Q37" i="34"/>
  <c r="P37" i="34"/>
  <c r="V36" i="34"/>
  <c r="V37" i="34" l="1"/>
  <c r="N39" i="34"/>
  <c r="S38" i="34"/>
  <c r="R38" i="34"/>
  <c r="Q38" i="34"/>
  <c r="U38" i="34"/>
  <c r="P38" i="34"/>
  <c r="X38" i="34"/>
  <c r="V38" i="34" l="1"/>
  <c r="N40" i="34"/>
  <c r="X39" i="34"/>
  <c r="P39" i="34"/>
  <c r="Q39" i="34"/>
  <c r="U39" i="34"/>
  <c r="S39" i="34"/>
  <c r="R39" i="34"/>
  <c r="V39" i="34" l="1"/>
  <c r="P40" i="34"/>
  <c r="N41" i="34"/>
  <c r="X40" i="34"/>
  <c r="Q40" i="34"/>
  <c r="R40" i="34"/>
  <c r="U40" i="34"/>
  <c r="S40" i="34"/>
  <c r="V40" i="34" l="1"/>
  <c r="Q41" i="34"/>
  <c r="P41" i="34"/>
  <c r="S41" i="34"/>
  <c r="X41" i="34"/>
  <c r="R41" i="34"/>
  <c r="N42" i="34"/>
  <c r="U41" i="34"/>
  <c r="S42" i="34" l="1"/>
  <c r="U42" i="34"/>
  <c r="R42" i="34"/>
  <c r="Q42" i="34"/>
  <c r="P42" i="34"/>
  <c r="N43" i="34"/>
  <c r="X42" i="34"/>
  <c r="V41" i="34"/>
  <c r="V42" i="34" l="1"/>
  <c r="S43" i="34"/>
  <c r="R43" i="34"/>
  <c r="Q43" i="34"/>
  <c r="U43" i="34"/>
  <c r="P43" i="34"/>
  <c r="N44" i="34"/>
  <c r="X43" i="34"/>
  <c r="V43" i="34" l="1"/>
  <c r="N45" i="34"/>
  <c r="U44" i="34"/>
  <c r="S44" i="34"/>
  <c r="R44" i="34"/>
  <c r="Q44" i="34"/>
  <c r="X44" i="34"/>
  <c r="P44" i="34"/>
  <c r="V44" i="34" l="1"/>
  <c r="N46" i="34"/>
  <c r="X45" i="34"/>
  <c r="U45" i="34"/>
  <c r="P45" i="34"/>
  <c r="S45" i="34"/>
  <c r="Q45" i="34"/>
  <c r="R45" i="34"/>
  <c r="V45" i="34" l="1"/>
  <c r="P46" i="34"/>
  <c r="N47" i="34"/>
  <c r="X46" i="34"/>
  <c r="R46" i="34"/>
  <c r="U46" i="34"/>
  <c r="Q46" i="34"/>
  <c r="S46" i="34"/>
  <c r="Q47" i="34" l="1"/>
  <c r="S47" i="34"/>
  <c r="P47" i="34"/>
  <c r="R47" i="34"/>
  <c r="X47" i="34"/>
  <c r="N48" i="34"/>
  <c r="U47" i="34"/>
  <c r="V46" i="34"/>
  <c r="V47" i="34" l="1"/>
  <c r="S48" i="34"/>
  <c r="S49" i="34" s="1"/>
  <c r="R48" i="34"/>
  <c r="R49" i="34" s="1"/>
  <c r="U48" i="34"/>
  <c r="U49" i="34" s="1"/>
  <c r="P58" i="34" s="1"/>
  <c r="R58" i="34" s="1"/>
  <c r="Q48" i="34"/>
  <c r="Q49" i="34" s="1"/>
  <c r="P56" i="34" s="1"/>
  <c r="R56" i="34" s="1"/>
  <c r="P48" i="34"/>
  <c r="X48" i="34"/>
  <c r="R50" i="34" l="1"/>
  <c r="P57" i="34"/>
  <c r="R57" i="34" s="1"/>
  <c r="V48" i="34"/>
  <c r="AB11" i="1" l="1"/>
  <c r="AB8" i="1"/>
  <c r="T9" i="1"/>
  <c r="B50" i="1"/>
  <c r="B51" i="1" s="1"/>
  <c r="AB59" i="1" l="1"/>
  <c r="AP32" i="1"/>
  <c r="G15" i="41" s="1"/>
  <c r="AP31" i="1"/>
  <c r="G14" i="41" s="1"/>
  <c r="AP30" i="1"/>
  <c r="G13" i="41" s="1"/>
  <c r="AP29" i="1"/>
  <c r="G12" i="41" s="1"/>
  <c r="AP28" i="1"/>
  <c r="G11" i="41" s="1"/>
  <c r="AA60" i="1"/>
  <c r="AA61" i="1" s="1"/>
  <c r="AB61" i="1" s="1"/>
  <c r="AP27" i="1"/>
  <c r="G10" i="41" s="1"/>
  <c r="AP26" i="1"/>
  <c r="G9" i="41" s="1"/>
  <c r="AA58" i="1"/>
  <c r="AA57" i="1" s="1"/>
  <c r="AB57" i="1" s="1"/>
  <c r="AP25" i="1"/>
  <c r="G8" i="41" s="1"/>
  <c r="AP24" i="1"/>
  <c r="G7" i="41" s="1"/>
  <c r="AP23" i="1"/>
  <c r="G6" i="41" s="1"/>
  <c r="AP22" i="1"/>
  <c r="G5" i="41" s="1"/>
  <c r="F37" i="1"/>
  <c r="F40" i="1" s="1"/>
  <c r="AB60" i="1" l="1"/>
  <c r="AB58" i="1"/>
  <c r="AA62" i="1"/>
  <c r="AB62" i="1" s="1"/>
  <c r="AA56" i="1"/>
  <c r="AB56" i="1" s="1"/>
  <c r="AA63" i="1" l="1"/>
  <c r="AB63" i="1" s="1"/>
  <c r="AA55" i="1"/>
  <c r="AB55" i="1" l="1"/>
  <c r="AA54" i="1"/>
  <c r="AB54" i="1"/>
  <c r="AA64" i="1"/>
  <c r="AB64" i="1" s="1"/>
  <c r="U9" i="1" l="1"/>
  <c r="X9" i="1" l="1"/>
  <c r="J34" i="1" l="1"/>
  <c r="Q9" i="1"/>
  <c r="AD44" i="1"/>
  <c r="AN27" i="1" s="1"/>
  <c r="E10" i="41" s="1"/>
  <c r="AD45" i="1"/>
  <c r="AN28" i="1" s="1"/>
  <c r="E11" i="41" s="1"/>
  <c r="AD46" i="1"/>
  <c r="AN29" i="1" s="1"/>
  <c r="E12" i="41" s="1"/>
  <c r="AD47" i="1"/>
  <c r="AN30" i="1" s="1"/>
  <c r="E13" i="41" s="1"/>
  <c r="AD48" i="1"/>
  <c r="AN31" i="1" s="1"/>
  <c r="E14" i="41" s="1"/>
  <c r="AD49" i="1"/>
  <c r="AN32" i="1" s="1"/>
  <c r="E15" i="41" s="1"/>
  <c r="AD40" i="1"/>
  <c r="AN23" i="1" s="1"/>
  <c r="E6" i="41" s="1"/>
  <c r="AD41" i="1"/>
  <c r="AN24" i="1" s="1"/>
  <c r="E7" i="41" s="1"/>
  <c r="AD42" i="1"/>
  <c r="AN25" i="1" s="1"/>
  <c r="E8" i="41" s="1"/>
  <c r="AD43" i="1"/>
  <c r="AN26" i="1" s="1"/>
  <c r="E9" i="41" s="1"/>
  <c r="AD39" i="1"/>
  <c r="AN22" i="1" s="1"/>
  <c r="E5" i="41" s="1"/>
  <c r="AI44" i="1"/>
  <c r="AO27" i="1" s="1"/>
  <c r="F10" i="41" s="1"/>
  <c r="AI49" i="1"/>
  <c r="AO32" i="1" s="1"/>
  <c r="F15" i="41" s="1"/>
  <c r="AI48" i="1"/>
  <c r="AO31" i="1" s="1"/>
  <c r="F14" i="41" s="1"/>
  <c r="AI47" i="1"/>
  <c r="AO30" i="1" s="1"/>
  <c r="F13" i="41" s="1"/>
  <c r="AI46" i="1"/>
  <c r="AO29" i="1" s="1"/>
  <c r="F12" i="41" s="1"/>
  <c r="AI45" i="1"/>
  <c r="AO28" i="1" s="1"/>
  <c r="F11" i="41" s="1"/>
  <c r="AI43" i="1"/>
  <c r="AO26" i="1" s="1"/>
  <c r="F9" i="41" s="1"/>
  <c r="AI42" i="1"/>
  <c r="AO25" i="1" s="1"/>
  <c r="F8" i="41" s="1"/>
  <c r="AI41" i="1"/>
  <c r="AO24" i="1" s="1"/>
  <c r="F7" i="41" s="1"/>
  <c r="AI40" i="1"/>
  <c r="AO23" i="1" s="1"/>
  <c r="F6" i="41" s="1"/>
  <c r="AI39" i="1"/>
  <c r="AO22" i="1" s="1"/>
  <c r="F5" i="41" s="1"/>
  <c r="W9" i="1" l="1"/>
  <c r="AB9" i="1" l="1"/>
  <c r="R9" i="1" l="1"/>
  <c r="AB12" i="1" l="1"/>
  <c r="S9" i="1"/>
  <c r="AG44" i="1" l="1"/>
  <c r="AF45" i="1"/>
  <c r="AG45" i="1" s="1"/>
  <c r="AF43" i="1"/>
  <c r="AG43" i="1" s="1"/>
  <c r="AB44" i="1"/>
  <c r="AA45" i="1"/>
  <c r="AA46" i="1" s="1"/>
  <c r="AB46" i="1" s="1"/>
  <c r="AA43" i="1"/>
  <c r="AA42" i="1" s="1"/>
  <c r="AB42" i="1" s="1"/>
  <c r="AD25" i="1"/>
  <c r="AM23" i="1" s="1"/>
  <c r="D6" i="41" s="1"/>
  <c r="AD26" i="1"/>
  <c r="AM24" i="1" s="1"/>
  <c r="D7" i="41" s="1"/>
  <c r="AD27" i="1"/>
  <c r="AM25" i="1" s="1"/>
  <c r="D8" i="41" s="1"/>
  <c r="AD28" i="1"/>
  <c r="AM26" i="1" s="1"/>
  <c r="D9" i="41" s="1"/>
  <c r="AD29" i="1"/>
  <c r="AM27" i="1" s="1"/>
  <c r="D10" i="41" s="1"/>
  <c r="AD30" i="1"/>
  <c r="AM28" i="1" s="1"/>
  <c r="D11" i="41" s="1"/>
  <c r="AD31" i="1"/>
  <c r="AM29" i="1" s="1"/>
  <c r="D12" i="41" s="1"/>
  <c r="AD32" i="1"/>
  <c r="AM30" i="1" s="1"/>
  <c r="D13" i="41" s="1"/>
  <c r="AD33" i="1"/>
  <c r="AM31" i="1" s="1"/>
  <c r="D14" i="41" s="1"/>
  <c r="AD34" i="1"/>
  <c r="AM32" i="1" s="1"/>
  <c r="D15" i="41" s="1"/>
  <c r="AD24" i="1"/>
  <c r="AM22" i="1" s="1"/>
  <c r="D5" i="41" s="1"/>
  <c r="AI34" i="1"/>
  <c r="AL32" i="1" s="1"/>
  <c r="C15" i="41" s="1"/>
  <c r="AI33" i="1"/>
  <c r="AL31" i="1" s="1"/>
  <c r="C14" i="41" s="1"/>
  <c r="AI32" i="1"/>
  <c r="AL30" i="1" s="1"/>
  <c r="C13" i="41" s="1"/>
  <c r="AI31" i="1"/>
  <c r="AL29" i="1" s="1"/>
  <c r="C12" i="41" s="1"/>
  <c r="AI30" i="1"/>
  <c r="AL28" i="1" s="1"/>
  <c r="C11" i="41" s="1"/>
  <c r="AI28" i="1"/>
  <c r="AL26" i="1" s="1"/>
  <c r="C9" i="41" s="1"/>
  <c r="AI27" i="1"/>
  <c r="AL25" i="1" s="1"/>
  <c r="C8" i="41" s="1"/>
  <c r="AI26" i="1"/>
  <c r="AL24" i="1" s="1"/>
  <c r="C7" i="41" s="1"/>
  <c r="AI25" i="1"/>
  <c r="AL23" i="1" s="1"/>
  <c r="C6" i="41" s="1"/>
  <c r="AI24" i="1"/>
  <c r="AL22" i="1" s="1"/>
  <c r="C5" i="41" s="1"/>
  <c r="AI29" i="1"/>
  <c r="AL27" i="1" s="1"/>
  <c r="C10" i="41" s="1"/>
  <c r="AA30" i="1"/>
  <c r="AA28" i="1"/>
  <c r="AA27" i="1" s="1"/>
  <c r="AF30" i="1"/>
  <c r="AF31" i="1" s="1"/>
  <c r="AF28" i="1"/>
  <c r="AF27" i="1" s="1"/>
  <c r="AF46" i="1" l="1"/>
  <c r="AG46" i="1" s="1"/>
  <c r="AB43" i="1"/>
  <c r="AB45" i="1"/>
  <c r="AF42" i="1"/>
  <c r="AG42" i="1" s="1"/>
  <c r="AA47" i="1"/>
  <c r="AB47" i="1" s="1"/>
  <c r="AA41" i="1"/>
  <c r="AB41" i="1" s="1"/>
  <c r="AB27" i="1"/>
  <c r="AB28" i="1"/>
  <c r="AB30" i="1"/>
  <c r="AB29" i="1"/>
  <c r="AA26" i="1"/>
  <c r="AB26" i="1" s="1"/>
  <c r="AA31" i="1"/>
  <c r="AB31" i="1" s="1"/>
  <c r="AF26" i="1"/>
  <c r="AF32" i="1"/>
  <c r="AF47" i="1" l="1"/>
  <c r="AF48" i="1" s="1"/>
  <c r="AF41" i="1"/>
  <c r="AG41" i="1" s="1"/>
  <c r="AA40" i="1"/>
  <c r="AB40" i="1" s="1"/>
  <c r="AA48" i="1"/>
  <c r="AB48" i="1" s="1"/>
  <c r="AA32" i="1"/>
  <c r="AB32" i="1" s="1"/>
  <c r="AA25" i="1"/>
  <c r="AB25" i="1" s="1"/>
  <c r="AF33" i="1"/>
  <c r="AF25" i="1"/>
  <c r="AG47" i="1" l="1"/>
  <c r="AG48" i="1"/>
  <c r="AF49" i="1"/>
  <c r="AG49" i="1" s="1"/>
  <c r="AF40" i="1"/>
  <c r="AG40" i="1" s="1"/>
  <c r="AA39" i="1"/>
  <c r="AB39" i="1" s="1"/>
  <c r="AA49" i="1"/>
  <c r="AB49" i="1" s="1"/>
  <c r="AA24" i="1"/>
  <c r="AB24" i="1" s="1"/>
  <c r="AA33" i="1"/>
  <c r="AB33" i="1" s="1"/>
  <c r="AF24" i="1"/>
  <c r="AF34" i="1"/>
  <c r="AF39" i="1" l="1"/>
  <c r="AG39" i="1" s="1"/>
  <c r="AA34" i="1"/>
  <c r="AB34" i="1" s="1"/>
  <c r="N10" i="1" l="1"/>
  <c r="T10" i="1" l="1"/>
  <c r="X10" i="1"/>
  <c r="U10" i="1"/>
  <c r="W10" i="1"/>
  <c r="R10" i="1"/>
  <c r="Q10" i="1"/>
  <c r="N11" i="1"/>
  <c r="X11" i="1" l="1"/>
  <c r="T11" i="1"/>
  <c r="U11" i="1"/>
  <c r="W11" i="1"/>
  <c r="R11" i="1"/>
  <c r="Q11" i="1"/>
  <c r="N12" i="1"/>
  <c r="X12" i="1" l="1"/>
  <c r="T12" i="1"/>
  <c r="U12" i="1"/>
  <c r="W12" i="1"/>
  <c r="R12" i="1"/>
  <c r="Q12" i="1"/>
  <c r="N13" i="1"/>
  <c r="V13" i="1" s="1"/>
  <c r="X13" i="1" l="1"/>
  <c r="T13" i="1"/>
  <c r="U13" i="1"/>
  <c r="W13" i="1"/>
  <c r="R13" i="1"/>
  <c r="Q13" i="1"/>
  <c r="N14" i="1"/>
  <c r="X14" i="1" l="1"/>
  <c r="T14" i="1"/>
  <c r="U14" i="1"/>
  <c r="P14" i="1"/>
  <c r="W14" i="1"/>
  <c r="R14" i="1"/>
  <c r="Q14" i="1"/>
  <c r="N15" i="1"/>
  <c r="T15" i="1" l="1"/>
  <c r="X15" i="1"/>
  <c r="U15" i="1"/>
  <c r="P15" i="1"/>
  <c r="W15" i="1"/>
  <c r="R15" i="1"/>
  <c r="Q15" i="1"/>
  <c r="N16" i="1"/>
  <c r="T16" i="1" l="1"/>
  <c r="X16" i="1"/>
  <c r="U16" i="1"/>
  <c r="P16" i="1"/>
  <c r="W16" i="1"/>
  <c r="R16" i="1"/>
  <c r="Q16" i="1"/>
  <c r="N17" i="1"/>
  <c r="X17" i="1" s="1"/>
  <c r="T17" i="1" l="1"/>
  <c r="U17" i="1"/>
  <c r="P17" i="1"/>
  <c r="W17" i="1"/>
  <c r="R17" i="1"/>
  <c r="Q17" i="1"/>
  <c r="N18" i="1"/>
  <c r="V18" i="1" l="1"/>
  <c r="V49" i="1" s="1"/>
  <c r="X18" i="1"/>
  <c r="T18" i="1"/>
  <c r="U18" i="1"/>
  <c r="Q18" i="1"/>
  <c r="W18" i="1"/>
  <c r="P18" i="1"/>
  <c r="R18" i="1"/>
  <c r="N19" i="1"/>
  <c r="T19" i="1" l="1"/>
  <c r="X19" i="1"/>
  <c r="U19" i="1"/>
  <c r="N20" i="1"/>
  <c r="S19" i="1"/>
  <c r="W19" i="1"/>
  <c r="R19" i="1"/>
  <c r="P19" i="1"/>
  <c r="Q19" i="1"/>
  <c r="T20" i="1" l="1"/>
  <c r="X20" i="1"/>
  <c r="U20" i="1"/>
  <c r="Y19" i="1"/>
  <c r="P20" i="1"/>
  <c r="S20" i="1"/>
  <c r="R20" i="1"/>
  <c r="W20" i="1"/>
  <c r="Q20" i="1"/>
  <c r="N21" i="1"/>
  <c r="X21" i="1" l="1"/>
  <c r="T21" i="1"/>
  <c r="U21" i="1"/>
  <c r="Y20" i="1"/>
  <c r="R21" i="1"/>
  <c r="Q21" i="1"/>
  <c r="P21" i="1"/>
  <c r="W21" i="1"/>
  <c r="S21" i="1"/>
  <c r="N22" i="1"/>
  <c r="X22" i="1" l="1"/>
  <c r="T22" i="1"/>
  <c r="U22" i="1"/>
  <c r="Y21" i="1"/>
  <c r="Q22" i="1"/>
  <c r="R22" i="1"/>
  <c r="P22" i="1"/>
  <c r="S22" i="1"/>
  <c r="W22" i="1"/>
  <c r="N23" i="1"/>
  <c r="X23" i="1" l="1"/>
  <c r="T23" i="1"/>
  <c r="U23" i="1"/>
  <c r="Y22" i="1"/>
  <c r="Q23" i="1"/>
  <c r="P23" i="1"/>
  <c r="R23" i="1"/>
  <c r="S23" i="1"/>
  <c r="W23" i="1"/>
  <c r="N24" i="1"/>
  <c r="T24" i="1" l="1"/>
  <c r="X24" i="1"/>
  <c r="U24" i="1"/>
  <c r="Q24" i="1"/>
  <c r="W24" i="1"/>
  <c r="P24" i="1"/>
  <c r="R24" i="1"/>
  <c r="S24" i="1"/>
  <c r="N25" i="1"/>
  <c r="T25" i="1" l="1"/>
  <c r="X25" i="1"/>
  <c r="U25" i="1"/>
  <c r="Y24" i="1"/>
  <c r="R25" i="1"/>
  <c r="P25" i="1"/>
  <c r="W25" i="1"/>
  <c r="Q25" i="1"/>
  <c r="S25" i="1"/>
  <c r="N26" i="1"/>
  <c r="T26" i="1" l="1"/>
  <c r="X26" i="1"/>
  <c r="U26" i="1"/>
  <c r="Y25" i="1"/>
  <c r="W26" i="1"/>
  <c r="P26" i="1"/>
  <c r="Q26" i="1"/>
  <c r="R26" i="1"/>
  <c r="S26" i="1"/>
  <c r="N27" i="1"/>
  <c r="T27" i="1" l="1"/>
  <c r="X27" i="1"/>
  <c r="U27" i="1"/>
  <c r="Y26" i="1"/>
  <c r="S27" i="1"/>
  <c r="Q27" i="1"/>
  <c r="P27" i="1"/>
  <c r="W27" i="1"/>
  <c r="R27" i="1"/>
  <c r="N28" i="1"/>
  <c r="X28" i="1" l="1"/>
  <c r="T28" i="1"/>
  <c r="U28" i="1"/>
  <c r="Y27" i="1"/>
  <c r="P28" i="1"/>
  <c r="S28" i="1"/>
  <c r="W28" i="1"/>
  <c r="R28" i="1"/>
  <c r="Q28" i="1"/>
  <c r="N29" i="1"/>
  <c r="X29" i="1" l="1"/>
  <c r="T29" i="1"/>
  <c r="U29" i="1"/>
  <c r="R29" i="1"/>
  <c r="W29" i="1"/>
  <c r="P29" i="1"/>
  <c r="S29" i="1"/>
  <c r="Q29" i="1"/>
  <c r="N30" i="1"/>
  <c r="X30" i="1" l="1"/>
  <c r="T30" i="1"/>
  <c r="U30" i="1"/>
  <c r="Y29" i="1"/>
  <c r="R30" i="1"/>
  <c r="Q30" i="1"/>
  <c r="P30" i="1"/>
  <c r="S30" i="1"/>
  <c r="W30" i="1"/>
  <c r="N31" i="1"/>
  <c r="T31" i="1" l="1"/>
  <c r="X31" i="1"/>
  <c r="U31" i="1"/>
  <c r="Y30" i="1"/>
  <c r="Q31" i="1"/>
  <c r="W31" i="1"/>
  <c r="R31" i="1"/>
  <c r="P31" i="1"/>
  <c r="S31" i="1"/>
  <c r="N32" i="1"/>
  <c r="X32" i="1" l="1"/>
  <c r="T32" i="1"/>
  <c r="U32" i="1"/>
  <c r="Y31" i="1"/>
  <c r="P32" i="1"/>
  <c r="W32" i="1"/>
  <c r="Q32" i="1"/>
  <c r="R32" i="1"/>
  <c r="S32" i="1"/>
  <c r="N33" i="1"/>
  <c r="T33" i="1" l="1"/>
  <c r="X33" i="1"/>
  <c r="U33" i="1"/>
  <c r="Y32" i="1"/>
  <c r="R33" i="1"/>
  <c r="S33" i="1"/>
  <c r="Q33" i="1"/>
  <c r="W33" i="1"/>
  <c r="P33" i="1"/>
  <c r="N34" i="1"/>
  <c r="T34" i="1" l="1"/>
  <c r="X34" i="1"/>
  <c r="U34" i="1"/>
  <c r="Y33" i="1"/>
  <c r="W34" i="1"/>
  <c r="S34" i="1"/>
  <c r="R34" i="1"/>
  <c r="P34" i="1"/>
  <c r="Q34" i="1"/>
  <c r="N35" i="1"/>
  <c r="T35" i="1" l="1"/>
  <c r="X35" i="1"/>
  <c r="U35" i="1"/>
  <c r="Y34" i="1"/>
  <c r="Y23" i="1"/>
  <c r="Y28" i="1"/>
  <c r="S35" i="1"/>
  <c r="W35" i="1"/>
  <c r="P35" i="1"/>
  <c r="Q35" i="1"/>
  <c r="R35" i="1"/>
  <c r="AG34" i="1"/>
  <c r="AG32" i="1"/>
  <c r="AG31" i="1"/>
  <c r="AG33" i="1"/>
  <c r="AG30" i="1"/>
  <c r="AG29" i="1"/>
  <c r="AG28" i="1"/>
  <c r="AG26" i="1"/>
  <c r="AG25" i="1"/>
  <c r="AG24" i="1"/>
  <c r="AG27" i="1"/>
  <c r="N36" i="1"/>
  <c r="X36" i="1" l="1"/>
  <c r="T36" i="1"/>
  <c r="U36" i="1"/>
  <c r="Y35" i="1"/>
  <c r="P36" i="1"/>
  <c r="S36" i="1"/>
  <c r="W36" i="1"/>
  <c r="R36" i="1"/>
  <c r="Q36" i="1"/>
  <c r="N37" i="1"/>
  <c r="X37" i="1" l="1"/>
  <c r="T37" i="1"/>
  <c r="U37" i="1"/>
  <c r="Y36" i="1"/>
  <c r="R37" i="1"/>
  <c r="P37" i="1"/>
  <c r="Q37" i="1"/>
  <c r="S37" i="1"/>
  <c r="W37" i="1"/>
  <c r="N38" i="1"/>
  <c r="X38" i="1" l="1"/>
  <c r="T38" i="1"/>
  <c r="U38" i="1"/>
  <c r="Y37" i="1"/>
  <c r="R38" i="1"/>
  <c r="S38" i="1"/>
  <c r="P38" i="1"/>
  <c r="Q38" i="1"/>
  <c r="W38" i="1"/>
  <c r="N39" i="1"/>
  <c r="X39" i="1" l="1"/>
  <c r="T39" i="1"/>
  <c r="U39" i="1"/>
  <c r="Y38" i="1"/>
  <c r="Q39" i="1"/>
  <c r="P39" i="1"/>
  <c r="W39" i="1"/>
  <c r="R39" i="1"/>
  <c r="S39" i="1"/>
  <c r="N40" i="1"/>
  <c r="X40" i="1" l="1"/>
  <c r="T40" i="1"/>
  <c r="U40" i="1"/>
  <c r="Y39" i="1"/>
  <c r="Q40" i="1"/>
  <c r="P40" i="1"/>
  <c r="R40" i="1"/>
  <c r="W40" i="1"/>
  <c r="S40" i="1"/>
  <c r="N41" i="1"/>
  <c r="T41" i="1" l="1"/>
  <c r="X41" i="1"/>
  <c r="U41" i="1"/>
  <c r="Y40" i="1"/>
  <c r="S41" i="1"/>
  <c r="P41" i="1"/>
  <c r="Q41" i="1"/>
  <c r="R41" i="1"/>
  <c r="W41" i="1"/>
  <c r="N42" i="1"/>
  <c r="T42" i="1" l="1"/>
  <c r="X42" i="1"/>
  <c r="U42" i="1"/>
  <c r="Y41" i="1"/>
  <c r="W42" i="1"/>
  <c r="R42" i="1"/>
  <c r="P42" i="1"/>
  <c r="Q42" i="1"/>
  <c r="S42" i="1"/>
  <c r="N43" i="1"/>
  <c r="X43" i="1" l="1"/>
  <c r="T43" i="1"/>
  <c r="U43" i="1"/>
  <c r="Y42" i="1"/>
  <c r="S43" i="1"/>
  <c r="W43" i="1"/>
  <c r="Q43" i="1"/>
  <c r="R43" i="1"/>
  <c r="P43" i="1"/>
  <c r="N44" i="1"/>
  <c r="X44" i="1" l="1"/>
  <c r="T44" i="1"/>
  <c r="U44" i="1"/>
  <c r="Y43" i="1"/>
  <c r="P44" i="1"/>
  <c r="S44" i="1"/>
  <c r="W44" i="1"/>
  <c r="Q44" i="1"/>
  <c r="R44" i="1"/>
  <c r="N45" i="1"/>
  <c r="T45" i="1" l="1"/>
  <c r="X45" i="1"/>
  <c r="U45" i="1"/>
  <c r="Y44" i="1"/>
  <c r="R45" i="1"/>
  <c r="P45" i="1"/>
  <c r="W45" i="1"/>
  <c r="S45" i="1"/>
  <c r="Q45" i="1"/>
  <c r="N46" i="1"/>
  <c r="X46" i="1" l="1"/>
  <c r="T46" i="1"/>
  <c r="U46" i="1"/>
  <c r="Y45" i="1"/>
  <c r="R46" i="1"/>
  <c r="S46" i="1"/>
  <c r="P46" i="1"/>
  <c r="W46" i="1"/>
  <c r="Q46" i="1"/>
  <c r="N47" i="1"/>
  <c r="X47" i="1" l="1"/>
  <c r="T47" i="1"/>
  <c r="U47" i="1"/>
  <c r="Y46" i="1"/>
  <c r="Q47" i="1"/>
  <c r="R47" i="1"/>
  <c r="P47" i="1"/>
  <c r="S47" i="1"/>
  <c r="W47" i="1"/>
  <c r="N48" i="1"/>
  <c r="X48" i="1" l="1"/>
  <c r="T48" i="1"/>
  <c r="U48" i="1"/>
  <c r="T49" i="1"/>
  <c r="Y47" i="1"/>
  <c r="R48" i="1"/>
  <c r="Q48" i="1"/>
  <c r="W48" i="1"/>
  <c r="W49" i="1" s="1"/>
  <c r="P48" i="1"/>
  <c r="S48" i="1"/>
  <c r="Y48" i="1" l="1"/>
  <c r="U49" i="1"/>
  <c r="P58" i="1" s="1"/>
  <c r="R58" i="1" s="1"/>
  <c r="R49" i="1"/>
  <c r="Q49" i="1"/>
  <c r="P56" i="1" l="1"/>
  <c r="R56" i="1" s="1"/>
  <c r="S17" i="1" l="1"/>
  <c r="Y17" i="1" s="1"/>
  <c r="S12" i="1" l="1"/>
  <c r="S11" i="1"/>
  <c r="S13" i="1"/>
  <c r="S16" i="1"/>
  <c r="Y16" i="1" s="1"/>
  <c r="S10" i="1"/>
  <c r="S14" i="1"/>
  <c r="Y14" i="1" s="1"/>
  <c r="S18" i="1"/>
  <c r="Y18" i="1" s="1"/>
  <c r="S15" i="1"/>
  <c r="Y15" i="1" s="1"/>
  <c r="S49" i="1" l="1"/>
  <c r="X49" i="1"/>
  <c r="P59" i="1" s="1"/>
  <c r="R59" i="1" s="1"/>
  <c r="P57" i="1" l="1"/>
  <c r="R57" i="1" s="1"/>
  <c r="S50" i="1"/>
  <c r="AB10" i="1"/>
  <c r="F31" i="1"/>
  <c r="O8" i="1" s="1"/>
  <c r="Y8" i="1" s="1"/>
  <c r="O49" i="1" l="1"/>
  <c r="F32" i="1"/>
  <c r="F33" i="1" l="1"/>
  <c r="P10" i="1" s="1"/>
  <c r="Y10" i="1" s="1"/>
  <c r="P11" i="1" l="1"/>
  <c r="Y11" i="1" s="1"/>
  <c r="P9" i="1"/>
  <c r="P12" i="1"/>
  <c r="Y12" i="1" s="1"/>
  <c r="P13" i="1"/>
  <c r="Y13" i="1" s="1"/>
  <c r="P49" i="1" l="1"/>
  <c r="P55" i="1" s="1"/>
  <c r="Y9" i="1"/>
  <c r="Y49" i="1" s="1"/>
  <c r="AH53" i="1" l="1"/>
  <c r="AC68" i="1"/>
  <c r="AC23" i="1"/>
  <c r="AH23" i="1"/>
  <c r="B2" i="1"/>
  <c r="B3" i="1" s="1"/>
  <c r="AH38" i="1"/>
  <c r="AC38" i="1"/>
  <c r="AC53" i="1"/>
  <c r="P60" i="1"/>
  <c r="R55" i="1"/>
  <c r="R60" i="1" s="1"/>
  <c r="B48" i="34"/>
  <c r="F31" i="34" l="1"/>
  <c r="O8" i="34" s="1"/>
  <c r="V8" i="34" s="1"/>
  <c r="AB9" i="34"/>
  <c r="F32" i="34" l="1"/>
  <c r="O49" i="34"/>
  <c r="F33" i="34" l="1"/>
  <c r="P13" i="34" s="1"/>
  <c r="V13" i="34" s="1"/>
  <c r="P10" i="34" l="1"/>
  <c r="V10" i="34" s="1"/>
  <c r="P9" i="34"/>
  <c r="V9" i="34" s="1"/>
  <c r="P12" i="34"/>
  <c r="V12" i="34" s="1"/>
  <c r="P11" i="34"/>
  <c r="V11" i="34" s="1"/>
  <c r="V49" i="34" l="1"/>
  <c r="P49" i="34"/>
  <c r="P55" i="34" s="1"/>
  <c r="R55" i="34" s="1"/>
  <c r="R60" i="34" s="1"/>
  <c r="AC23" i="34" l="1"/>
  <c r="AC53" i="34"/>
  <c r="AC38" i="34"/>
  <c r="P60" i="34"/>
  <c r="B2" i="34"/>
  <c r="B3" i="34" s="1"/>
  <c r="AH23" i="34"/>
  <c r="AH38" i="34"/>
  <c r="U18" i="40" l="1"/>
  <c r="V18" i="40" l="1"/>
  <c r="U49" i="40"/>
  <c r="P58" i="40" s="1"/>
  <c r="R58" i="40" s="1"/>
  <c r="O8" i="40" l="1"/>
  <c r="O49" i="40" l="1"/>
  <c r="V8" i="40"/>
  <c r="P9" i="40" l="1"/>
  <c r="P13" i="40" l="1"/>
  <c r="V13" i="40" s="1"/>
  <c r="P10" i="40"/>
  <c r="V10" i="40" s="1"/>
  <c r="P11" i="40"/>
  <c r="V11" i="40" s="1"/>
  <c r="P12" i="40"/>
  <c r="V12" i="40" s="1"/>
  <c r="V9" i="40"/>
  <c r="P49" i="40" l="1"/>
  <c r="P55" i="40" s="1"/>
  <c r="P60" i="40" s="1"/>
  <c r="V49" i="40"/>
  <c r="AC38" i="40" l="1"/>
  <c r="AC53" i="40"/>
  <c r="R55" i="40"/>
  <c r="R60" i="40" s="1"/>
  <c r="AH38" i="40"/>
  <c r="B2" i="40"/>
  <c r="B3" i="40" s="1"/>
  <c r="AH23" i="40"/>
  <c r="AC23" i="4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tc={D4CEFC3C-7325-4E34-A64D-30E52256CE03}</author>
    <author>tc={928E7189-DF96-4AF8-901E-1C3117C12B69}</author>
    <author>tc={928E7189-DF96-4AF9-901E-1C3117C12B69}</author>
    <author>tc={1D9F2821-F493-4A07-A669-9FD6B09BBBA8}</author>
    <author>tc={BEE3DC45-D192-48E4-B051-DA830092375D}</author>
    <author>tc={004D7F3F-C5C1-4610-A019-7D9E4061B6F1}</author>
    <author>tc={C56CAB35-0F73-4DA9-9E08-15FB1529777D}</author>
  </authors>
  <commentList>
    <comment ref="R7" authorId="0" shapeId="0" xr:uid="{D4CEFC3C-7325-4E34-A64D-30E52256CE03}">
      <text>
        <t>[Threaded comment]
Your version of Excel allows you to read this threaded comment; however, any edits to it will get removed if the file is opened in a newer version of Excel. Learn more: https://go.microsoft.com/fwlink/?linkid=870924
Comment:
    Dipengaruhi dengan growth tidak? 25000 apakah diasumsikan konstan?</t>
      </text>
    </comment>
    <comment ref="U7" authorId="1" shapeId="0" xr:uid="{928E7189-DF96-4AF8-901E-1C3117C12B69}">
      <text>
        <t>[Threaded comment]
Your version of Excel allows you to read this threaded comment; however, any edits to it will get removed if the file is opened in a newer version of Excel. Learn more: https://go.microsoft.com/fwlink/?linkid=870924
Comment:
    Ada battery replacement 8 tahun</t>
      </text>
    </comment>
    <comment ref="W7" authorId="2" shapeId="0" xr:uid="{8A835997-59CE-4BAE-ACDF-6137A8FD70D8}">
      <text>
        <t>[Threaded comment]
Your version of Excel allows you to read this threaded comment; however, any edits to it will get removed if the file is opened in a newer version of Excel. Learn more: https://go.microsoft.com/fwlink/?linkid=870924
Comment:
    Ada battery replacement 8 tahun</t>
      </text>
    </comment>
    <comment ref="B8" authorId="3" shapeId="0" xr:uid="{1D9F2821-F493-4A07-A669-9FD6B09BBBA8}">
      <text>
        <t xml:space="preserve">[Threaded comment]
Your version of Excel allows you to read this threaded comment; however, any edits to it will get removed if the file is opened in a newer version of Excel. Learn more: https://go.microsoft.com/fwlink/?linkid=870924
Comment:
    Source:
https://www.xe.com/currencyconverter/convert/?Amount=1&amp;From=VND&amp;To=USD
</t>
      </text>
    </comment>
    <comment ref="Q9" authorId="4" shapeId="0" xr:uid="{BEE3DC45-D192-48E4-B051-DA830092375D}">
      <text>
        <t>[Threaded comment]
Your version of Excel allows you to read this threaded comment; however, any edits to it will get removed if the file is opened in a newer version of Excel. Learn more: https://go.microsoft.com/fwlink/?linkid=870924
Comment:
    Rubah rumus sedikit, hasil sama</t>
      </text>
    </comment>
    <comment ref="F41" authorId="5" shapeId="0" xr:uid="{004D7F3F-C5C1-4610-A019-7D9E4061B6F1}">
      <text>
        <t>[Threaded comment]
Your version of Excel allows you to read this threaded comment; however, any edits to it will get removed if the file is opened in a newer version of Excel. Learn more: https://go.microsoft.com/fwlink/?linkid=870924
Comment:
    tambahan</t>
      </text>
    </comment>
    <comment ref="B46" authorId="6" shapeId="0" xr:uid="{C56CAB35-0F73-4DA9-9E08-15FB1529777D}">
      <text>
        <t>[Threaded comment]
Your version of Excel allows you to read this threaded comment; however, any edits to it will get removed if the file is opened in a newer version of Excel. Learn more: https://go.microsoft.com/fwlink/?linkid=870924
Comment:
    Perlu di breakdown untuk analisa komposisi biaya TCO</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tc={C56CAB35-0F73-4DAA-9E08-15FB1529777D}</author>
  </authors>
  <commentList>
    <comment ref="B47" authorId="0" shapeId="0" xr:uid="{CCA190A6-A32B-41D0-9BFC-3794A8CD5C3D}">
      <text>
        <t>[Threaded comment]
Your version of Excel allows you to read this threaded comment; however, any edits to it will get removed if the file is opened in a newer version of Excel. Learn more: https://go.microsoft.com/fwlink/?linkid=870924
Comment:
    Perlu di breakdown untuk analisa komposisi biaya TCO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tc={E1E72FBA-F085-49D5-A6BE-1B7C8C10C544}</author>
    <author>tc={38723B3C-D151-407D-89C4-D5DC4901E3B8}</author>
    <author>tc={843C356D-DA8C-428D-BB45-0ECEA0D578A5}</author>
    <author>tc={A651C736-31F6-4DB8-BC8F-23CFB55EA6A3}</author>
    <author>tc={76B74DDD-ED02-49EA-9B70-9AF676942A4B}</author>
    <author>tc={E6076404-DD75-4BFC-A280-E2F6FF9FBB6D}</author>
    <author>tc={638480F0-666E-4C46-87F4-16A88A37AF61}</author>
    <author>tc={9A778602-1301-4FB6-A5CB-066DD5C1E05A}</author>
  </authors>
  <commentList>
    <comment ref="R7" authorId="0" shapeId="0" xr:uid="{E1E72FBA-F085-49D5-A6BE-1B7C8C10C544}">
      <text>
        <t>[Threaded comment]
Your version of Excel allows you to read this threaded comment; however, any edits to it will get removed if the file is opened in a newer version of Excel. Learn more: https://go.microsoft.com/fwlink/?linkid=870924
Comment:
    Dipengaruhi dengan growth tidak? 25000 apakah diasumsikan konstan?</t>
      </text>
    </comment>
    <comment ref="U7" authorId="1" shapeId="0" xr:uid="{38723B3C-D151-407D-89C4-D5DC4901E3B8}">
      <text>
        <t>[Threaded comment]
Your version of Excel allows you to read this threaded comment; however, any edits to it will get removed if the file is opened in a newer version of Excel. Learn more: https://go.microsoft.com/fwlink/?linkid=870924
Comment:
    Ada battery replacement 8 tahun</t>
      </text>
    </comment>
    <comment ref="W7" authorId="2" shapeId="0" xr:uid="{843C356D-DA8C-428D-BB45-0ECEA0D578A5}">
      <text>
        <t>[Threaded comment]
Your version of Excel allows you to read this threaded comment; however, any edits to it will get removed if the file is opened in a newer version of Excel. Learn more: https://go.microsoft.com/fwlink/?linkid=870924
Comment:
    Ada battery replacement 8 tahun</t>
      </text>
    </comment>
    <comment ref="B8" authorId="3" shapeId="0" xr:uid="{A651C736-31F6-4DB8-BC8F-23CFB55EA6A3}">
      <text>
        <t xml:space="preserve">[Threaded comment]
Your version of Excel allows you to read this threaded comment; however, any edits to it will get removed if the file is opened in a newer version of Excel. Learn more: https://go.microsoft.com/fwlink/?linkid=870924
Comment:
    Source:
https://www.xe.com/currencyconverter/convert/?Amount=1&amp;From=VND&amp;To=USD
</t>
      </text>
    </comment>
    <comment ref="Q9" authorId="4" shapeId="0" xr:uid="{76B74DDD-ED02-49EA-9B70-9AF676942A4B}">
      <text>
        <t>[Threaded comment]
Your version of Excel allows you to read this threaded comment; however, any edits to it will get removed if the file is opened in a newer version of Excel. Learn more: https://go.microsoft.com/fwlink/?linkid=870924
Comment:
    Rubah rumus sedikit, hasil sama</t>
      </text>
    </comment>
    <comment ref="J11" authorId="5" shapeId="0" xr:uid="{E6076404-DD75-4BFC-A280-E2F6FF9FBB6D}">
      <text>
        <t>[Threaded comment]
Your version of Excel allows you to read this threaded comment; however, any edits to it will get removed if the file is opened in a newer version of Excel. Learn more: https://go.microsoft.com/fwlink/?linkid=870924
Comment:
    Sumber ??
Reply:
    Annual kilometer travelled (per tahun) x 10 tahun masa replacement battery : battery range (km/cycle) hasilnya adalah 1447 cycle dibulatkan keatas, menjadi 1500 cycle</t>
      </text>
    </comment>
    <comment ref="F41" authorId="6" shapeId="0" xr:uid="{638480F0-666E-4C46-87F4-16A88A37AF61}">
      <text>
        <t>[Threaded comment]
Your version of Excel allows you to read this threaded comment; however, any edits to it will get removed if the file is opened in a newer version of Excel. Learn more: https://go.microsoft.com/fwlink/?linkid=870924
Comment:
    tambahan</t>
      </text>
    </comment>
    <comment ref="B46" authorId="7" shapeId="0" xr:uid="{9A778602-1301-4FB6-A5CB-066DD5C1E05A}">
      <text>
        <t>[Threaded comment]
Your version of Excel allows you to read this threaded comment; however, any edits to it will get removed if the file is opened in a newer version of Excel. Learn more: https://go.microsoft.com/fwlink/?linkid=870924
Comment:
    Perlu di breakdown untuk analisa komposisi biaya TCO</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tc={AA143406-803F-4BD1-B48B-BE960FA756ED}</author>
  </authors>
  <commentList>
    <comment ref="B47" authorId="0" shapeId="0" xr:uid="{AA143406-803F-4BD1-B48B-BE960FA756ED}">
      <text>
        <t>[Threaded comment]
Your version of Excel allows you to read this threaded comment; however, any edits to it will get removed if the file is opened in a newer version of Excel. Learn more: https://go.microsoft.com/fwlink/?linkid=870924
Comment:
    Perlu di breakdown untuk analisa komposisi biaya TCO</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tc={C1E8542A-5A94-465B-AAB7-21BD623A16AD}</author>
    <author>tc={47EE45F6-588D-4FF4-BF34-63FA2309AD38}</author>
    <author>tc={4C34CCD8-4186-4118-9A2D-E8DA316ABDE0}</author>
    <author>tc={CA58B995-B803-49E9-A1A4-48FFE183C520}</author>
    <author>tc={38CBBC88-595E-4A1A-AB11-901857B6877F}</author>
    <author>tc={444F8445-43CB-43B2-8D5D-63402180C030}</author>
    <author>tc={5372A5A0-A8BF-4986-BE5C-496A33B67700}</author>
  </authors>
  <commentList>
    <comment ref="R7" authorId="0" shapeId="0" xr:uid="{C1E8542A-5A94-465B-AAB7-21BD623A16AD}">
      <text>
        <t>[Threaded comment]
Your version of Excel allows you to read this threaded comment; however, any edits to it will get removed if the file is opened in a newer version of Excel. Learn more: https://go.microsoft.com/fwlink/?linkid=870924
Comment:
    Dipengaruhi dengan growth tidak? 25000 apakah diasumsikan konstan?</t>
      </text>
    </comment>
    <comment ref="U7" authorId="1" shapeId="0" xr:uid="{47EE45F6-588D-4FF4-BF34-63FA2309AD38}">
      <text>
        <t>[Threaded comment]
Your version of Excel allows you to read this threaded comment; however, any edits to it will get removed if the file is opened in a newer version of Excel. Learn more: https://go.microsoft.com/fwlink/?linkid=870924
Comment:
    Ada battery replacement 8 tahun</t>
      </text>
    </comment>
    <comment ref="W7" authorId="2" shapeId="0" xr:uid="{4C34CCD8-4186-4118-9A2D-E8DA316ABDE0}">
      <text>
        <t>[Threaded comment]
Your version of Excel allows you to read this threaded comment; however, any edits to it will get removed if the file is opened in a newer version of Excel. Learn more: https://go.microsoft.com/fwlink/?linkid=870924
Comment:
    Ada battery replacement 8 tahun</t>
      </text>
    </comment>
    <comment ref="B8" authorId="3" shapeId="0" xr:uid="{CA58B995-B803-49E9-A1A4-48FFE183C520}">
      <text>
        <t xml:space="preserve">[Threaded comment]
Your version of Excel allows you to read this threaded comment; however, any edits to it will get removed if the file is opened in a newer version of Excel. Learn more: https://go.microsoft.com/fwlink/?linkid=870924
Comment:
    Source:
https://www.xe.com/currencyconverter/convert/?Amount=1&amp;From=VND&amp;To=USD
</t>
      </text>
    </comment>
    <comment ref="Q9" authorId="4" shapeId="0" xr:uid="{38CBBC88-595E-4A1A-AB11-901857B6877F}">
      <text>
        <t>[Threaded comment]
Your version of Excel allows you to read this threaded comment; however, any edits to it will get removed if the file is opened in a newer version of Excel. Learn more: https://go.microsoft.com/fwlink/?linkid=870924
Comment:
    Rubah rumus sedikit, hasil sama</t>
      </text>
    </comment>
    <comment ref="F41" authorId="5" shapeId="0" xr:uid="{444F8445-43CB-43B2-8D5D-63402180C030}">
      <text>
        <t>[Threaded comment]
Your version of Excel allows you to read this threaded comment; however, any edits to it will get removed if the file is opened in a newer version of Excel. Learn more: https://go.microsoft.com/fwlink/?linkid=870924
Comment:
    tambahan</t>
      </text>
    </comment>
    <comment ref="B46" authorId="6" shapeId="0" xr:uid="{5372A5A0-A8BF-4986-BE5C-496A33B67700}">
      <text>
        <t>[Threaded comment]
Your version of Excel allows you to read this threaded comment; however, any edits to it will get removed if the file is opened in a newer version of Excel. Learn more: https://go.microsoft.com/fwlink/?linkid=870924
Comment:
    Perlu di breakdown untuk analisa komposisi biaya TCO</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tc={393E011D-D8DF-4948-800E-1A2C54FC93E0}</author>
  </authors>
  <commentList>
    <comment ref="B47" authorId="0" shapeId="0" xr:uid="{393E011D-D8DF-4948-800E-1A2C54FC93E0}">
      <text>
        <t>[Threaded comment]
Your version of Excel allows you to read this threaded comment; however, any edits to it will get removed if the file is opened in a newer version of Excel. Learn more: https://go.microsoft.com/fwlink/?linkid=870924
Comment:
    Perlu di breakdown untuk analisa komposisi biaya TCO</t>
      </text>
    </comment>
  </commentList>
</comments>
</file>

<file path=xl/sharedStrings.xml><?xml version="1.0" encoding="utf-8"?>
<sst xmlns="http://schemas.openxmlformats.org/spreadsheetml/2006/main" count="1435" uniqueCount="214">
  <si>
    <t>Exchange rate</t>
  </si>
  <si>
    <t>Country name</t>
  </si>
  <si>
    <t>Vehicle price</t>
  </si>
  <si>
    <t>US$</t>
  </si>
  <si>
    <t>%</t>
  </si>
  <si>
    <t>Retail discount</t>
  </si>
  <si>
    <t>VAT</t>
  </si>
  <si>
    <t>Income tax</t>
  </si>
  <si>
    <t>Import tariff</t>
  </si>
  <si>
    <t>US$/kWh</t>
  </si>
  <si>
    <t>Battery cost unit</t>
  </si>
  <si>
    <t>Country specific cost</t>
  </si>
  <si>
    <t>Capital cost</t>
  </si>
  <si>
    <t>Dasar Pengenaan Pajak</t>
  </si>
  <si>
    <t>Certified Entiltment</t>
  </si>
  <si>
    <t>One time tax</t>
  </si>
  <si>
    <t>Resale Value</t>
  </si>
  <si>
    <t>Government Premium</t>
  </si>
  <si>
    <t>Financing costs</t>
  </si>
  <si>
    <t>Loan length</t>
  </si>
  <si>
    <t>Downpayment</t>
  </si>
  <si>
    <t>% of capital cost</t>
  </si>
  <si>
    <t>years</t>
  </si>
  <si>
    <t>%/ year</t>
  </si>
  <si>
    <t>Country specific costs</t>
  </si>
  <si>
    <t>Battery lifecycle</t>
  </si>
  <si>
    <t>cycles</t>
  </si>
  <si>
    <t>Battery leasing cost</t>
  </si>
  <si>
    <t>Battery capacity</t>
  </si>
  <si>
    <t>kWh</t>
  </si>
  <si>
    <t>Battery range</t>
  </si>
  <si>
    <t>km/cycle</t>
  </si>
  <si>
    <t>Electricity tariff</t>
  </si>
  <si>
    <t>kWh/km</t>
  </si>
  <si>
    <t>Electricity consumption</t>
  </si>
  <si>
    <t>km/year</t>
  </si>
  <si>
    <t>Analysis period</t>
  </si>
  <si>
    <t>Years</t>
  </si>
  <si>
    <t>Battery cost</t>
  </si>
  <si>
    <t>Interest rate (flat)</t>
  </si>
  <si>
    <t>km</t>
  </si>
  <si>
    <t>Charging cost</t>
  </si>
  <si>
    <t>One-time Costs</t>
  </si>
  <si>
    <t>Vehicle-related Costs</t>
  </si>
  <si>
    <t>US$/year</t>
  </si>
  <si>
    <t>Related to Yearly Costs</t>
  </si>
  <si>
    <t>Discount rate</t>
  </si>
  <si>
    <t>Variables</t>
  </si>
  <si>
    <t>Country</t>
  </si>
  <si>
    <t>Descriptions</t>
  </si>
  <si>
    <t>All</t>
  </si>
  <si>
    <t>ID</t>
  </si>
  <si>
    <t>SG</t>
  </si>
  <si>
    <t>Basis of Taxation</t>
  </si>
  <si>
    <t>Fuel price</t>
  </si>
  <si>
    <t>Specific fuel consumption</t>
  </si>
  <si>
    <t>L/km</t>
  </si>
  <si>
    <t>US$/km</t>
  </si>
  <si>
    <t>Electricity cost per km</t>
  </si>
  <si>
    <t>ASSUMPTIONS</t>
  </si>
  <si>
    <t>TCO ESTIMATION</t>
  </si>
  <si>
    <t>Year</t>
  </si>
  <si>
    <t>Equity</t>
  </si>
  <si>
    <t>Debt</t>
  </si>
  <si>
    <t>Debt interest</t>
  </si>
  <si>
    <t>Equity (US$)</t>
  </si>
  <si>
    <t>Other O&amp;M costs</t>
  </si>
  <si>
    <t>Installment (US$)</t>
  </si>
  <si>
    <t>Electricity tariff growth</t>
  </si>
  <si>
    <t>%/year</t>
  </si>
  <si>
    <t>Taxes (US$)</t>
  </si>
  <si>
    <t>Vehicle lifespan</t>
  </si>
  <si>
    <t>TCO (US$)</t>
  </si>
  <si>
    <t>Total</t>
  </si>
  <si>
    <t>TCO</t>
  </si>
  <si>
    <t>Sensitivity Analysis</t>
  </si>
  <si>
    <t>Relative change (%)</t>
  </si>
  <si>
    <t>Vehicle price (US$)</t>
  </si>
  <si>
    <t>Formula value</t>
  </si>
  <si>
    <t>TCO Estimation</t>
  </si>
  <si>
    <t>TCO changes (%)</t>
  </si>
  <si>
    <t>Electricity tariff (US$/kWh)</t>
  </si>
  <si>
    <t>Battery cost (US$)</t>
  </si>
  <si>
    <t>AKT (km/year)</t>
  </si>
  <si>
    <t>Annual kilometres travelled</t>
  </si>
  <si>
    <t>Total kilometres travelled during lifecycle</t>
  </si>
  <si>
    <t>Road insurance</t>
  </si>
  <si>
    <t>Battery replacement costs (US$)</t>
  </si>
  <si>
    <t>Initial/Surcharge Charging Cost</t>
  </si>
  <si>
    <t>Annual kilometres traveled (AKT)</t>
  </si>
  <si>
    <t>Yearly Operational Cost</t>
  </si>
  <si>
    <t>Vehicle Depreciation</t>
  </si>
  <si>
    <t>Battery Depreciation</t>
  </si>
  <si>
    <t>Yearly charging surcharge cost</t>
  </si>
  <si>
    <t>Yearly charging cost</t>
  </si>
  <si>
    <t>Vehicle price + taxes/costs</t>
  </si>
  <si>
    <t>Financing cost</t>
  </si>
  <si>
    <t>Energy costs</t>
  </si>
  <si>
    <t>Battery lifespan</t>
  </si>
  <si>
    <t>Battery leasing costs (US$)</t>
  </si>
  <si>
    <t>Discounted TCO</t>
  </si>
  <si>
    <t>Resale Value (US$)</t>
  </si>
  <si>
    <t>Electric Bus</t>
  </si>
  <si>
    <t>Cost component</t>
  </si>
  <si>
    <t>Capital costs</t>
  </si>
  <si>
    <t>Battery costs</t>
  </si>
  <si>
    <t>Resale value</t>
  </si>
  <si>
    <t>Fuel price growth</t>
  </si>
  <si>
    <t>US$/L</t>
  </si>
  <si>
    <t>Yearly fuel cost</t>
  </si>
  <si>
    <t>Reference value</t>
  </si>
  <si>
    <t>Annual kilometres travelled (AKT)</t>
  </si>
  <si>
    <t>Fuel price (US$/L)</t>
  </si>
  <si>
    <t>Please copy paste following values (values only) to the formula value if there is update/ differences with reference values in tables</t>
  </si>
  <si>
    <t xml:space="preserve">   CIF (Cost, Insurance, Freight)</t>
  </si>
  <si>
    <t>Yearly Cost + Taxes</t>
  </si>
  <si>
    <t>Battery price</t>
  </si>
  <si>
    <t>Vehicle Price+taxes</t>
  </si>
  <si>
    <t>Vehicle price + import levy</t>
  </si>
  <si>
    <t>Battery Price + import levy</t>
  </si>
  <si>
    <t>Electricity cost (US$)</t>
  </si>
  <si>
    <t>Charging surcharge cost (US$)</t>
  </si>
  <si>
    <t>O&amp;M Cost  (US$)</t>
  </si>
  <si>
    <t>O&amp;M Costs  (US$)</t>
  </si>
  <si>
    <t>Vehicle values (US$) for tax calculation</t>
  </si>
  <si>
    <t>Operating Cost</t>
  </si>
  <si>
    <t>Battery</t>
  </si>
  <si>
    <t>Fuel cost (US$)</t>
  </si>
  <si>
    <t>Other O&amp;M costs (US$/L)</t>
  </si>
  <si>
    <t>Reference:</t>
  </si>
  <si>
    <t>Import tax Vietnam</t>
  </si>
  <si>
    <t xml:space="preserve"> https://doi.org/10.1016/j.cstp.2023.101020</t>
  </si>
  <si>
    <t>No</t>
  </si>
  <si>
    <t>Komponen</t>
  </si>
  <si>
    <t>Reference</t>
  </si>
  <si>
    <t>Klaim</t>
  </si>
  <si>
    <t>Specially, components imported or the production of ’green cars’ were entitled to a 0% tax, and the zero tax applies to companies that manufacture components and spare parts and not solely automobile manufacturers as before</t>
  </si>
  <si>
    <t>Kurs Vietnam ke Dollar</t>
  </si>
  <si>
    <t>https://wise.com/id/currency-converter/usd-to-vnd-rate?amount=1</t>
  </si>
  <si>
    <t>1.00000 USD = 24674.60000 VND</t>
  </si>
  <si>
    <t>VAT Vietnam</t>
  </si>
  <si>
    <t>Importation and supply of automobiles are subject to VAT at the standard rate of 10%.</t>
  </si>
  <si>
    <t>baker-mckenzie-handbook--tax-customs--regulatory-aspects-of-vietnams-automobile-industry</t>
  </si>
  <si>
    <t>Import tax corporate Vietnam</t>
  </si>
  <si>
    <t>- https://taxsummaries.pwc.com/vietnam/corporate/taxes-on-corporate-income#:~:text=Standard%20rates,%25%2C%20depending%20on%20each%20contract.
- https://www.reuters.com/world/asia-pacific/vietnam-set-raise-effective-tax-rate-multinationals-part-global-deal-2023-11-27/</t>
  </si>
  <si>
    <t>- Vietnam's corporate income tax is already set at 20%, but the country has offered for years effective rates as low as 5% and lengthy zero-tax periods to large foreign investors. (reuters)</t>
  </si>
  <si>
    <t>Import Tarif</t>
  </si>
  <si>
    <t>- https://research.hktdc.com/en/article/Mjk1NzQ2NzQz
- https://vietnaminsider.vn/tax-incentives-for-electric-cars-proposal-not-approved/
- https://www.reuters.com/business/autos-transportation/vietnams-vinfast-seeks-india-ev-import-duty-cut-plant-construction-starts-2024-02-25/</t>
  </si>
  <si>
    <t>Recently, the Ministry of Finance has given feedback to businesses and the Vietnam Association of Mechanical Enterprises (VAMI) on the proposal of tax incentives for electric cars.
Recommendations are proposed by businesses and VAMI to propose a roadmap for preferential import tax reduction for cars using electric motors for 2 years in the Vietnamese market.
Specifically, passenger cars using electric motors (HS code 8703.80.99) are proposed to apply the import tax rate of 0% from January 1, 2023 to December 31, 2024. From January 1, 2025, a tax rate of 70% will be applied.</t>
  </si>
  <si>
    <t>Laos</t>
  </si>
  <si>
    <t>KIP</t>
  </si>
  <si>
    <t>KIP/US$</t>
  </si>
  <si>
    <t>LAK</t>
  </si>
  <si>
    <t>Minimum SOC</t>
  </si>
  <si>
    <t>KIP/liter</t>
  </si>
  <si>
    <t>KIP/year</t>
  </si>
  <si>
    <t xml:space="preserve">km </t>
  </si>
  <si>
    <t>Excise Tax</t>
  </si>
  <si>
    <t>KIP/kWh</t>
  </si>
  <si>
    <t>Road Tax</t>
  </si>
  <si>
    <t xml:space="preserve">KIP </t>
  </si>
  <si>
    <t>KIP/times</t>
  </si>
  <si>
    <t>Custom Duty Tax</t>
  </si>
  <si>
    <t>Inspection Fee</t>
  </si>
  <si>
    <t>KIP/5 year</t>
  </si>
  <si>
    <t>Licensing Fee</t>
  </si>
  <si>
    <t>Road tax</t>
  </si>
  <si>
    <t xml:space="preserve">   Import Tarif</t>
  </si>
  <si>
    <t>KIP/km</t>
  </si>
  <si>
    <t xml:space="preserve">   CIF + Import + Excise</t>
  </si>
  <si>
    <t>Battery Leasing?</t>
  </si>
  <si>
    <t>Yes</t>
  </si>
  <si>
    <t>Battery leasing model</t>
  </si>
  <si>
    <t>Battery leasing?</t>
  </si>
  <si>
    <t>Profit ratio</t>
  </si>
  <si>
    <t>(minimum: 1)</t>
  </si>
  <si>
    <t>Minimimum Kilometre Travelled</t>
  </si>
  <si>
    <t>km/day</t>
  </si>
  <si>
    <t>Battery Leasing Model</t>
  </si>
  <si>
    <t>Battery rental cost unit</t>
  </si>
  <si>
    <t>Minimum AKT</t>
  </si>
  <si>
    <t>Minimum battery rental cost</t>
  </si>
  <si>
    <t>Additional battery rental cost</t>
  </si>
  <si>
    <t>Battery price (plus taxes)</t>
  </si>
  <si>
    <t>Battery price (plus interests)</t>
  </si>
  <si>
    <t>Mininum travelled (km)</t>
  </si>
  <si>
    <t>Mininum Kilometres traveled</t>
  </si>
  <si>
    <t>Incentive</t>
  </si>
  <si>
    <t>Incentive &amp; discount</t>
  </si>
  <si>
    <t>Net vehicle price</t>
  </si>
  <si>
    <t>Basic vehicle price</t>
  </si>
  <si>
    <t>Diesel price per L</t>
  </si>
  <si>
    <t>Diesel cost per km</t>
  </si>
  <si>
    <t>Gasoline price per L</t>
  </si>
  <si>
    <t>Gasoline cost per km</t>
  </si>
  <si>
    <t>Gasoline price</t>
  </si>
  <si>
    <t>Diesel price</t>
  </si>
  <si>
    <t>New registration fee</t>
  </si>
  <si>
    <t>Prefential Additional New registration fee  (PARF) Benefits</t>
  </si>
  <si>
    <t>E-bus</t>
  </si>
  <si>
    <t>ICE-bus</t>
  </si>
  <si>
    <t>Parameter change (%)</t>
  </si>
  <si>
    <t>TCO Change (%)</t>
  </si>
  <si>
    <t>Vehicle Price</t>
  </si>
  <si>
    <t>Electricity tarrif</t>
  </si>
  <si>
    <t>AKT</t>
  </si>
  <si>
    <t>O&amp;M costs</t>
  </si>
  <si>
    <t>E-truck</t>
  </si>
  <si>
    <t>ICE-truck</t>
  </si>
  <si>
    <t>E-cargo</t>
  </si>
  <si>
    <t>ICE-cargo</t>
  </si>
  <si>
    <t>Fuel Price</t>
  </si>
  <si>
    <t>LAOS</t>
  </si>
  <si>
    <t>Energy 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</si>
</sst>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_-* #,##0_-;\-* #,##0_-;_-* &quot;-&quot;_-;_-@_-"/>
    <numFmt numFmtId="165" formatCode="_-* #,##0.00_-;\-* #,##0.00_-;_-* &quot;-&quot;??_-;_-@_-"/>
    <numFmt numFmtId="166" formatCode="_-* #,##0_-;\-* #,##0_-;_-* &quot;-&quot;??_-;_-@_-"/>
    <numFmt numFmtId="167" formatCode="_-* #,##0.00_-;\-* #,##0.00_-;_-* &quot;-&quot;_-;_-@_-"/>
    <numFmt numFmtId="168" formatCode="_-* #,##0.0000_-;\-* #,##0.0000_-;_-* &quot;-&quot;_-;_-@_-"/>
    <numFmt numFmtId="169" formatCode="0.0000"/>
    <numFmt numFmtId="170" formatCode="_(* #,##0_);_(* \(#,##0\);_(* &quot;-&quot;??_);_(@_)"/>
    <numFmt numFmtId="171" formatCode="_-* #,##0.0_-;\-* #,##0.0_-;_-* &quot;-&quot;_-;_-@_-"/>
    <numFmt numFmtId="172" formatCode="_(* #,##0.0_);_(* \(#,##0.0\);_(* &quot;-&quot;??_);_(@_)"/>
    <numFmt numFmtId="173" formatCode="_-* #,##0.00_-;\-* #,##0.00_-;_-* &quot;-&quot;_-;_-@"/>
    <numFmt numFmtId="174" formatCode="_-* #,##0_-;\-* #,##0_-;_-* &quot;-&quot;_-;_-@"/>
    <numFmt numFmtId="175" formatCode="_-* #,##0_-;\-* #,##0_-;_-* &quot;-&quot;??_-;_-@"/>
    <numFmt numFmtId="176" formatCode="_-* #,##0.00_-;\-* #,##0.00_-;_-* &quot;-&quot;??_-;_-@"/>
  </numFmts>
  <fonts count="13" x14ac:knownFonts="1">
    <font>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theme="1"/>
      <name val="Calibri"/>
      <family val="2"/>
    </font>
    <font>
      <b/>
      <sz val="11"/>
      <color theme="1"/>
      <name val="Calibri"/>
      <family val="2"/>
    </font>
    <font>
      <sz val="11"/>
      <color theme="1"/>
      <name val="Calibri"/>
      <family val="2"/>
      <scheme val="minor"/>
    </font>
    <font>
      <b/>
      <sz val="14"/>
      <color theme="1"/>
      <name val="Calibri"/>
      <family val="2"/>
      <scheme val="minor"/>
    </font>
    <font>
      <b/>
      <sz val="11"/>
      <name val="Calibri"/>
      <family val="2"/>
    </font>
    <font>
      <sz val="11"/>
      <name val="Calibri"/>
      <family val="2"/>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theme="0"/>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rgb="FFD8D8D8"/>
      </patternFill>
    </fill>
    <fill>
      <patternFill patternType="solid">
        <fgColor theme="0" tint="-0.249977111117893"/>
        <bgColor indexed="64"/>
      </patternFill>
    </fill>
    <fill>
      <patternFill patternType="solid">
        <fgColor theme="0" tint="-0.14999847407452621"/>
        <bgColor theme="0"/>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s>
  <cellStyleXfs count="7">
    <xf numFmtId="0" fontId="0" fillId="0" borderId="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9" fillId="0" borderId="0"/>
  </cellStyleXfs>
  <cellXfs count="146">
    <xf numFmtId="0" fontId="0" fillId="0" borderId="0" xfId="0"/>
    <xf numFmtId="0" fontId="0" fillId="2" borderId="0" xfId="0" applyFill="1"/>
    <xf numFmtId="164" fontId="0" fillId="2" borderId="0" xfId="1" applyFont="1" applyFill="1"/>
    <xf numFmtId="0" fontId="4" fillId="2" borderId="1" xfId="0" applyFont="1" applyFill="1" applyBorder="1"/>
    <xf numFmtId="0" fontId="0" fillId="2" borderId="2" xfId="0" applyFill="1" applyBorder="1"/>
    <xf numFmtId="0" fontId="4" fillId="2" borderId="2" xfId="0" applyFont="1" applyFill="1" applyBorder="1"/>
    <xf numFmtId="0" fontId="0" fillId="2" borderId="3" xfId="0" applyFill="1" applyBorder="1"/>
    <xf numFmtId="0" fontId="0" fillId="2" borderId="4" xfId="0" applyFill="1" applyBorder="1"/>
    <xf numFmtId="164" fontId="0" fillId="2" borderId="0" xfId="1" applyFont="1" applyFill="1" applyBorder="1"/>
    <xf numFmtId="0" fontId="0" fillId="2" borderId="5" xfId="0" applyFill="1" applyBorder="1"/>
    <xf numFmtId="166" fontId="0" fillId="2" borderId="0" xfId="0" applyNumberFormat="1" applyFill="1"/>
    <xf numFmtId="0" fontId="4" fillId="2" borderId="4" xfId="0" applyFont="1" applyFill="1" applyBorder="1"/>
    <xf numFmtId="0" fontId="4" fillId="2" borderId="0" xfId="0" applyFont="1" applyFill="1"/>
    <xf numFmtId="167" fontId="0" fillId="2" borderId="0" xfId="1" applyNumberFormat="1" applyFont="1" applyFill="1" applyBorder="1"/>
    <xf numFmtId="0" fontId="0" fillId="2" borderId="6" xfId="0" applyFill="1" applyBorder="1"/>
    <xf numFmtId="0" fontId="0" fillId="2" borderId="7" xfId="0" applyFill="1" applyBorder="1"/>
    <xf numFmtId="0" fontId="0" fillId="2" borderId="8" xfId="0" applyFill="1" applyBorder="1"/>
    <xf numFmtId="164" fontId="0" fillId="2" borderId="2" xfId="1" applyFont="1" applyFill="1" applyBorder="1"/>
    <xf numFmtId="164" fontId="0" fillId="2" borderId="0" xfId="0" applyNumberFormat="1" applyFill="1"/>
    <xf numFmtId="166" fontId="4" fillId="2" borderId="0" xfId="0" applyNumberFormat="1" applyFont="1" applyFill="1"/>
    <xf numFmtId="165" fontId="0" fillId="2" borderId="0" xfId="0" applyNumberFormat="1" applyFill="1"/>
    <xf numFmtId="0" fontId="0" fillId="2" borderId="4" xfId="0" applyFill="1" applyBorder="1" applyAlignment="1">
      <alignment horizontal="left" indent="1"/>
    </xf>
    <xf numFmtId="0" fontId="0" fillId="2" borderId="0" xfId="0" applyFill="1" applyAlignment="1">
      <alignment horizontal="left" indent="1"/>
    </xf>
    <xf numFmtId="168" fontId="0" fillId="2" borderId="0" xfId="1" applyNumberFormat="1" applyFont="1" applyFill="1" applyBorder="1"/>
    <xf numFmtId="0" fontId="0" fillId="3" borderId="0" xfId="0" applyFill="1"/>
    <xf numFmtId="166" fontId="0" fillId="3" borderId="0" xfId="0" applyNumberFormat="1" applyFill="1"/>
    <xf numFmtId="164" fontId="0" fillId="3" borderId="0" xfId="1" applyFont="1" applyFill="1"/>
    <xf numFmtId="0" fontId="4" fillId="3" borderId="0" xfId="0" applyFont="1" applyFill="1"/>
    <xf numFmtId="165" fontId="0" fillId="3" borderId="0" xfId="0" applyNumberFormat="1" applyFill="1"/>
    <xf numFmtId="166" fontId="3" fillId="3" borderId="0" xfId="0" applyNumberFormat="1" applyFont="1" applyFill="1"/>
    <xf numFmtId="164" fontId="3" fillId="3" borderId="0" xfId="1" applyFont="1" applyFill="1"/>
    <xf numFmtId="0" fontId="0" fillId="4" borderId="0" xfId="0" applyFill="1"/>
    <xf numFmtId="0" fontId="4" fillId="4" borderId="0" xfId="0" applyFont="1" applyFill="1"/>
    <xf numFmtId="166" fontId="0" fillId="4" borderId="0" xfId="0" applyNumberFormat="1" applyFill="1"/>
    <xf numFmtId="166" fontId="4" fillId="4" borderId="0" xfId="0" applyNumberFormat="1" applyFont="1" applyFill="1"/>
    <xf numFmtId="164" fontId="0" fillId="4" borderId="0" xfId="1" applyFont="1" applyFill="1"/>
    <xf numFmtId="167" fontId="0" fillId="4" borderId="0" xfId="1" applyNumberFormat="1" applyFont="1" applyFill="1"/>
    <xf numFmtId="167" fontId="0" fillId="4" borderId="0" xfId="0" applyNumberFormat="1" applyFill="1"/>
    <xf numFmtId="0" fontId="3" fillId="2" borderId="0" xfId="0" applyFont="1" applyFill="1" applyAlignment="1">
      <alignment horizontal="left" indent="1"/>
    </xf>
    <xf numFmtId="0" fontId="3" fillId="2" borderId="0" xfId="0" applyFont="1" applyFill="1"/>
    <xf numFmtId="170" fontId="3" fillId="2" borderId="0" xfId="0" applyNumberFormat="1" applyFont="1" applyFill="1"/>
    <xf numFmtId="169" fontId="3" fillId="2" borderId="0" xfId="1" applyNumberFormat="1" applyFont="1" applyFill="1" applyBorder="1"/>
    <xf numFmtId="164" fontId="3" fillId="2" borderId="0" xfId="1" applyFont="1" applyFill="1" applyBorder="1"/>
    <xf numFmtId="164" fontId="3" fillId="2" borderId="0" xfId="1" applyFont="1" applyFill="1"/>
    <xf numFmtId="2" fontId="4" fillId="2" borderId="0" xfId="0" applyNumberFormat="1" applyFont="1" applyFill="1"/>
    <xf numFmtId="43" fontId="3" fillId="2" borderId="0" xfId="0" applyNumberFormat="1" applyFont="1" applyFill="1"/>
    <xf numFmtId="43" fontId="0" fillId="2" borderId="0" xfId="0" applyNumberFormat="1" applyFill="1"/>
    <xf numFmtId="167" fontId="4" fillId="2" borderId="0" xfId="0" applyNumberFormat="1" applyFont="1" applyFill="1"/>
    <xf numFmtId="169" fontId="0" fillId="2" borderId="0" xfId="0" applyNumberFormat="1" applyFill="1"/>
    <xf numFmtId="167" fontId="3" fillId="2" borderId="0" xfId="1" applyNumberFormat="1" applyFont="1" applyFill="1" applyBorder="1"/>
    <xf numFmtId="0" fontId="0" fillId="2" borderId="0" xfId="0" applyFill="1" applyAlignment="1">
      <alignment horizontal="center" vertical="center" wrapText="1"/>
    </xf>
    <xf numFmtId="0" fontId="1" fillId="2" borderId="0" xfId="1" applyNumberFormat="1" applyFont="1" applyFill="1"/>
    <xf numFmtId="166" fontId="1" fillId="2" borderId="0" xfId="1" applyNumberFormat="1" applyFont="1" applyFill="1"/>
    <xf numFmtId="0" fontId="4" fillId="2" borderId="0" xfId="0" applyFont="1" applyFill="1" applyAlignment="1">
      <alignment horizontal="left" vertical="center" wrapText="1"/>
    </xf>
    <xf numFmtId="0" fontId="4" fillId="2" borderId="0" xfId="0" applyFont="1" applyFill="1" applyAlignment="1">
      <alignment horizontal="center" vertical="center" wrapText="1"/>
    </xf>
    <xf numFmtId="166" fontId="4" fillId="2" borderId="0" xfId="1" applyNumberFormat="1" applyFont="1" applyFill="1"/>
    <xf numFmtId="2" fontId="0" fillId="2" borderId="0" xfId="0" applyNumberFormat="1" applyFill="1"/>
    <xf numFmtId="165" fontId="4" fillId="2" borderId="0" xfId="1" applyNumberFormat="1" applyFont="1" applyFill="1"/>
    <xf numFmtId="1" fontId="0" fillId="3" borderId="0" xfId="0" applyNumberFormat="1" applyFill="1"/>
    <xf numFmtId="170" fontId="0" fillId="2" borderId="0" xfId="3" applyNumberFormat="1" applyFont="1" applyFill="1" applyBorder="1"/>
    <xf numFmtId="0" fontId="0" fillId="5" borderId="0" xfId="0" applyFill="1"/>
    <xf numFmtId="166" fontId="3" fillId="5" borderId="0" xfId="0" applyNumberFormat="1" applyFont="1" applyFill="1"/>
    <xf numFmtId="164" fontId="3" fillId="5" borderId="0" xfId="1" applyFont="1" applyFill="1"/>
    <xf numFmtId="1" fontId="0" fillId="5" borderId="0" xfId="0" applyNumberFormat="1" applyFill="1"/>
    <xf numFmtId="165" fontId="0" fillId="5" borderId="0" xfId="0" applyNumberFormat="1" applyFill="1"/>
    <xf numFmtId="166" fontId="0" fillId="5" borderId="0" xfId="0" applyNumberFormat="1" applyFill="1"/>
    <xf numFmtId="0" fontId="2" fillId="2" borderId="0" xfId="0" applyFont="1" applyFill="1"/>
    <xf numFmtId="164" fontId="2" fillId="2" borderId="0" xfId="1" applyFont="1" applyFill="1"/>
    <xf numFmtId="43" fontId="0" fillId="2" borderId="0" xfId="3" applyFont="1" applyFill="1"/>
    <xf numFmtId="10" fontId="0" fillId="2" borderId="0" xfId="4" applyNumberFormat="1" applyFont="1" applyFill="1"/>
    <xf numFmtId="170" fontId="0" fillId="2" borderId="0" xfId="3" applyNumberFormat="1" applyFont="1" applyFill="1" applyAlignment="1">
      <alignment horizontal="center" vertical="center" wrapText="1"/>
    </xf>
    <xf numFmtId="1" fontId="0" fillId="2" borderId="0" xfId="0" applyNumberFormat="1" applyFill="1"/>
    <xf numFmtId="168" fontId="3" fillId="2" borderId="0" xfId="0" applyNumberFormat="1" applyFont="1" applyFill="1"/>
    <xf numFmtId="166" fontId="3" fillId="2" borderId="0" xfId="0" applyNumberFormat="1" applyFont="1" applyFill="1"/>
    <xf numFmtId="164" fontId="3" fillId="2" borderId="0" xfId="0" applyNumberFormat="1" applyFont="1" applyFill="1"/>
    <xf numFmtId="165" fontId="2" fillId="2" borderId="0" xfId="0" applyNumberFormat="1" applyFont="1" applyFill="1"/>
    <xf numFmtId="1" fontId="2" fillId="2" borderId="0" xfId="0" applyNumberFormat="1" applyFont="1" applyFill="1"/>
    <xf numFmtId="170" fontId="0" fillId="2" borderId="0" xfId="3" applyNumberFormat="1" applyFont="1" applyFill="1"/>
    <xf numFmtId="170" fontId="0" fillId="2" borderId="0" xfId="0" applyNumberFormat="1" applyFill="1"/>
    <xf numFmtId="0" fontId="0" fillId="2" borderId="0" xfId="0" applyFill="1" applyAlignment="1">
      <alignment horizontal="left"/>
    </xf>
    <xf numFmtId="0" fontId="0" fillId="0" borderId="0" xfId="0" applyAlignment="1">
      <alignment vertical="center"/>
    </xf>
    <xf numFmtId="171" fontId="0" fillId="2" borderId="0" xfId="1" applyNumberFormat="1" applyFont="1" applyFill="1"/>
    <xf numFmtId="0" fontId="0" fillId="0" borderId="0" xfId="0" applyAlignment="1">
      <alignment vertical="center" wrapText="1"/>
    </xf>
    <xf numFmtId="0" fontId="0" fillId="0" borderId="9" xfId="0" applyBorder="1" applyAlignment="1">
      <alignment horizontal="left" vertical="center"/>
    </xf>
    <xf numFmtId="0" fontId="0" fillId="0" borderId="9" xfId="0" applyBorder="1" applyAlignment="1">
      <alignment horizontal="left" vertical="center" wrapText="1"/>
    </xf>
    <xf numFmtId="0" fontId="5" fillId="0" borderId="9" xfId="5" applyBorder="1" applyAlignment="1">
      <alignment horizontal="left" vertical="center" wrapText="1"/>
    </xf>
    <xf numFmtId="0" fontId="0" fillId="0" borderId="9" xfId="0" applyBorder="1" applyAlignment="1">
      <alignment vertical="center"/>
    </xf>
    <xf numFmtId="0" fontId="0" fillId="0" borderId="9" xfId="0" applyBorder="1" applyAlignment="1">
      <alignment vertical="center" wrapText="1"/>
    </xf>
    <xf numFmtId="0" fontId="5" fillId="0" borderId="9" xfId="5" quotePrefix="1" applyBorder="1" applyAlignment="1">
      <alignment vertical="center" wrapText="1"/>
    </xf>
    <xf numFmtId="0" fontId="0" fillId="0" borderId="9" xfId="0" quotePrefix="1" applyBorder="1" applyAlignment="1">
      <alignment vertical="center" wrapText="1"/>
    </xf>
    <xf numFmtId="0" fontId="4" fillId="0" borderId="0" xfId="0" applyFont="1" applyAlignment="1">
      <alignment vertical="center"/>
    </xf>
    <xf numFmtId="172" fontId="0" fillId="2" borderId="0" xfId="3" applyNumberFormat="1" applyFont="1" applyFill="1"/>
    <xf numFmtId="167" fontId="4" fillId="2" borderId="2" xfId="0" applyNumberFormat="1" applyFont="1" applyFill="1" applyBorder="1"/>
    <xf numFmtId="4" fontId="6" fillId="0" borderId="0" xfId="0" applyNumberFormat="1" applyFont="1"/>
    <xf numFmtId="0" fontId="6" fillId="0" borderId="0" xfId="0" applyFont="1"/>
    <xf numFmtId="3" fontId="0" fillId="0" borderId="0" xfId="0" applyNumberFormat="1"/>
    <xf numFmtId="2" fontId="0" fillId="4" borderId="0" xfId="0" applyNumberFormat="1" applyFill="1"/>
    <xf numFmtId="3" fontId="0" fillId="2" borderId="0" xfId="0" applyNumberFormat="1" applyFill="1"/>
    <xf numFmtId="167" fontId="0" fillId="2" borderId="0" xfId="0" applyNumberFormat="1" applyFill="1"/>
    <xf numFmtId="171" fontId="0" fillId="2" borderId="0" xfId="0" applyNumberFormat="1" applyFill="1"/>
    <xf numFmtId="173" fontId="7" fillId="6" borderId="0" xfId="0" applyNumberFormat="1" applyFont="1" applyFill="1"/>
    <xf numFmtId="0" fontId="1" fillId="0" borderId="0" xfId="0" applyFont="1"/>
    <xf numFmtId="0" fontId="7" fillId="6" borderId="10" xfId="0" applyFont="1" applyFill="1" applyBorder="1"/>
    <xf numFmtId="174" fontId="7" fillId="6" borderId="10" xfId="0" applyNumberFormat="1" applyFont="1" applyFill="1" applyBorder="1"/>
    <xf numFmtId="0" fontId="7" fillId="6" borderId="12" xfId="0" applyFont="1" applyFill="1" applyBorder="1"/>
    <xf numFmtId="0" fontId="7" fillId="6" borderId="0" xfId="0" applyFont="1" applyFill="1"/>
    <xf numFmtId="0" fontId="7" fillId="6" borderId="11" xfId="0" applyFont="1" applyFill="1" applyBorder="1"/>
    <xf numFmtId="174" fontId="7" fillId="6" borderId="0" xfId="0" applyNumberFormat="1" applyFont="1" applyFill="1"/>
    <xf numFmtId="0" fontId="8" fillId="6" borderId="0" xfId="0" applyFont="1" applyFill="1"/>
    <xf numFmtId="170" fontId="7" fillId="6" borderId="0" xfId="3" applyNumberFormat="1" applyFont="1" applyFill="1" applyBorder="1"/>
    <xf numFmtId="43" fontId="7" fillId="6" borderId="0" xfId="3" applyFont="1" applyFill="1" applyBorder="1"/>
    <xf numFmtId="170" fontId="7" fillId="6" borderId="0" xfId="0" applyNumberFormat="1" applyFont="1" applyFill="1"/>
    <xf numFmtId="0" fontId="1" fillId="2" borderId="0" xfId="0" applyFont="1" applyFill="1"/>
    <xf numFmtId="0" fontId="7" fillId="6" borderId="0" xfId="0" applyFont="1" applyFill="1" applyAlignment="1">
      <alignment horizontal="left"/>
    </xf>
    <xf numFmtId="0" fontId="8" fillId="7" borderId="0" xfId="0" applyFont="1" applyFill="1"/>
    <xf numFmtId="0" fontId="7" fillId="7" borderId="0" xfId="0" applyFont="1" applyFill="1"/>
    <xf numFmtId="175" fontId="7" fillId="7" borderId="0" xfId="0" applyNumberFormat="1" applyFont="1" applyFill="1"/>
    <xf numFmtId="174" fontId="7" fillId="7" borderId="0" xfId="0" applyNumberFormat="1" applyFont="1" applyFill="1"/>
    <xf numFmtId="0" fontId="7" fillId="8" borderId="0" xfId="0" applyFont="1" applyFill="1"/>
    <xf numFmtId="175" fontId="7" fillId="9" borderId="0" xfId="0" applyNumberFormat="1" applyFont="1" applyFill="1"/>
    <xf numFmtId="174" fontId="7" fillId="8" borderId="0" xfId="0" applyNumberFormat="1" applyFont="1" applyFill="1"/>
    <xf numFmtId="0" fontId="10" fillId="0" borderId="0" xfId="6" applyFont="1"/>
    <xf numFmtId="0" fontId="9" fillId="0" borderId="0" xfId="6"/>
    <xf numFmtId="0" fontId="9" fillId="0" borderId="0" xfId="6" applyAlignment="1">
      <alignment wrapText="1"/>
    </xf>
    <xf numFmtId="0" fontId="1" fillId="0" borderId="0" xfId="6" applyFont="1"/>
    <xf numFmtId="0" fontId="4" fillId="10" borderId="0" xfId="6" applyFont="1" applyFill="1" applyAlignment="1">
      <alignment horizontal="center" vertical="center"/>
    </xf>
    <xf numFmtId="0" fontId="4" fillId="10" borderId="0" xfId="6" applyFont="1" applyFill="1" applyAlignment="1">
      <alignment horizontal="center" wrapText="1"/>
    </xf>
    <xf numFmtId="0" fontId="4" fillId="10" borderId="0" xfId="6" applyFont="1" applyFill="1" applyAlignment="1">
      <alignment horizontal="center" vertical="center" wrapText="1"/>
    </xf>
    <xf numFmtId="0" fontId="4" fillId="0" borderId="0" xfId="6" applyFont="1" applyAlignment="1">
      <alignment wrapText="1"/>
    </xf>
    <xf numFmtId="0" fontId="4" fillId="10" borderId="0" xfId="6" applyFont="1" applyFill="1"/>
    <xf numFmtId="1" fontId="9" fillId="2" borderId="0" xfId="6" applyNumberFormat="1" applyFill="1" applyAlignment="1">
      <alignment wrapText="1"/>
    </xf>
    <xf numFmtId="1" fontId="9" fillId="2" borderId="0" xfId="6" applyNumberFormat="1" applyFill="1"/>
    <xf numFmtId="0" fontId="9" fillId="10" borderId="0" xfId="6" applyFill="1"/>
    <xf numFmtId="0" fontId="11" fillId="11" borderId="0" xfId="0" applyFont="1" applyFill="1" applyAlignment="1">
      <alignment horizontal="center" vertical="center"/>
    </xf>
    <xf numFmtId="0" fontId="12" fillId="11" borderId="0" xfId="0" applyFont="1" applyFill="1" applyAlignment="1">
      <alignment horizontal="center" vertical="center"/>
    </xf>
    <xf numFmtId="1" fontId="12" fillId="6" borderId="0" xfId="0" applyNumberFormat="1" applyFont="1" applyFill="1" applyAlignment="1">
      <alignment horizontal="center" vertical="center"/>
    </xf>
    <xf numFmtId="1" fontId="7" fillId="6" borderId="0" xfId="0" applyNumberFormat="1" applyFont="1" applyFill="1" applyAlignment="1">
      <alignment horizontal="center" vertical="center"/>
    </xf>
    <xf numFmtId="176" fontId="7" fillId="7" borderId="0" xfId="0" applyNumberFormat="1" applyFont="1" applyFill="1"/>
    <xf numFmtId="1" fontId="7" fillId="7" borderId="0" xfId="0" applyNumberFormat="1" applyFont="1" applyFill="1"/>
    <xf numFmtId="176" fontId="7" fillId="9" borderId="0" xfId="0" applyNumberFormat="1" applyFont="1" applyFill="1"/>
    <xf numFmtId="1" fontId="7" fillId="9" borderId="0" xfId="0" applyNumberFormat="1" applyFont="1" applyFill="1"/>
    <xf numFmtId="0" fontId="8" fillId="11" borderId="0" xfId="0" applyFont="1" applyFill="1"/>
    <xf numFmtId="1" fontId="7" fillId="6" borderId="0" xfId="0" applyNumberFormat="1" applyFont="1" applyFill="1"/>
    <xf numFmtId="0" fontId="4" fillId="10" borderId="0" xfId="6" applyFont="1" applyFill="1" applyAlignment="1">
      <alignment horizontal="center" vertical="center"/>
    </xf>
    <xf numFmtId="0" fontId="4" fillId="10" borderId="0" xfId="6" applyFont="1" applyFill="1" applyAlignment="1">
      <alignment horizontal="center" wrapText="1"/>
    </xf>
    <xf numFmtId="0" fontId="4" fillId="10" borderId="0" xfId="6" applyFont="1" applyFill="1" applyAlignment="1">
      <alignment horizontal="center" vertical="center" wrapText="1"/>
    </xf>
  </cellXfs>
  <cellStyles count="7">
    <cellStyle name="Comma" xfId="3" builtinId="3"/>
    <cellStyle name="Comma [0]" xfId="1" builtinId="6"/>
    <cellStyle name="Comma [0] 2" xfId="2" xr:uid="{4D2BC38B-AC2E-421D-83A6-5CCE85548F06}"/>
    <cellStyle name="Hyperlink" xfId="5" builtinId="8"/>
    <cellStyle name="Normal" xfId="0" builtinId="0"/>
    <cellStyle name="Normal 2" xfId="6" xr:uid="{EBDAB22E-3707-43FA-B3ED-D5929DEBE06E}"/>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Electric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'E-Bus LA'!$O$55</c:f>
              <c:strCache>
                <c:ptCount val="1"/>
                <c:pt idx="0">
                  <c:v>Capital costs</c:v>
                </c:pt>
              </c:strCache>
            </c:strRef>
          </c:tx>
          <c:spPr>
            <a:solidFill>
              <a:schemeClr val="accent1"/>
            </a:solidFill>
            <a:ln>
              <a:noFill/>
            </a:ln>
            <a:effectLst/>
          </c:spPr>
          <c:invertIfNegative val="0"/>
          <c:val>
            <c:numRef>
              <c:f>'E-Bus LA'!$P$55</c:f>
              <c:numCache>
                <c:formatCode>_-* #,##0_-;\-* #,##0_-;_-* "-"??_-;_-@_-</c:formatCode>
                <c:ptCount val="1"/>
                <c:pt idx="0">
                  <c:v>310689.5108741541</c:v>
                </c:pt>
              </c:numCache>
            </c:numRef>
          </c:val>
          <c:extLst>
            <c:ext xmlns:c16="http://schemas.microsoft.com/office/drawing/2014/chart" uri="{C3380CC4-5D6E-409C-BE32-E72D297353CC}">
              <c16:uniqueId val="{00000000-798C-47E2-BC22-059379A66FF9}"/>
            </c:ext>
          </c:extLst>
        </c:ser>
        <c:ser>
          <c:idx val="1"/>
          <c:order val="1"/>
          <c:tx>
            <c:strRef>
              <c:f>'E-Bus LA'!$O$56</c:f>
              <c:strCache>
                <c:ptCount val="1"/>
                <c:pt idx="0">
                  <c:v>Energy costs</c:v>
                </c:pt>
              </c:strCache>
            </c:strRef>
          </c:tx>
          <c:spPr>
            <a:solidFill>
              <a:schemeClr val="accent2"/>
            </a:solidFill>
            <a:ln>
              <a:noFill/>
            </a:ln>
            <a:effectLst/>
          </c:spPr>
          <c:invertIfNegative val="0"/>
          <c:val>
            <c:numRef>
              <c:f>'E-Bus LA'!$P$56</c:f>
              <c:numCache>
                <c:formatCode>_-* #,##0_-;\-* #,##0_-;_-* "-"??_-;_-@_-</c:formatCode>
                <c:ptCount val="1"/>
                <c:pt idx="0">
                  <c:v>15640.414836184294</c:v>
                </c:pt>
              </c:numCache>
            </c:numRef>
          </c:val>
          <c:extLst>
            <c:ext xmlns:c16="http://schemas.microsoft.com/office/drawing/2014/chart" uri="{C3380CC4-5D6E-409C-BE32-E72D297353CC}">
              <c16:uniqueId val="{00000001-798C-47E2-BC22-059379A66FF9}"/>
            </c:ext>
          </c:extLst>
        </c:ser>
        <c:ser>
          <c:idx val="2"/>
          <c:order val="2"/>
          <c:tx>
            <c:strRef>
              <c:f>'E-Bus LA'!$O$57</c:f>
              <c:strCache>
                <c:ptCount val="1"/>
                <c:pt idx="0">
                  <c:v>Yearly Cost + Taxes</c:v>
                </c:pt>
              </c:strCache>
            </c:strRef>
          </c:tx>
          <c:spPr>
            <a:solidFill>
              <a:schemeClr val="accent3"/>
            </a:solidFill>
            <a:ln>
              <a:noFill/>
            </a:ln>
            <a:effectLst/>
          </c:spPr>
          <c:invertIfNegative val="0"/>
          <c:val>
            <c:numRef>
              <c:f>'E-Bus LA'!$P$57</c:f>
              <c:numCache>
                <c:formatCode>_-* #,##0_-;\-* #,##0_-;_-* "-"??_-;_-@_-</c:formatCode>
                <c:ptCount val="1"/>
                <c:pt idx="0">
                  <c:v>114842.88166356826</c:v>
                </c:pt>
              </c:numCache>
            </c:numRef>
          </c:val>
          <c:extLst>
            <c:ext xmlns:c16="http://schemas.microsoft.com/office/drawing/2014/chart" uri="{C3380CC4-5D6E-409C-BE32-E72D297353CC}">
              <c16:uniqueId val="{00000002-798C-47E2-BC22-059379A66FF9}"/>
            </c:ext>
          </c:extLst>
        </c:ser>
        <c:ser>
          <c:idx val="4"/>
          <c:order val="3"/>
          <c:tx>
            <c:strRef>
              <c:f>'E-Bus LA'!$O$58</c:f>
              <c:strCache>
                <c:ptCount val="1"/>
                <c:pt idx="0">
                  <c:v>Battery costs</c:v>
                </c:pt>
              </c:strCache>
            </c:strRef>
          </c:tx>
          <c:spPr>
            <a:solidFill>
              <a:schemeClr val="accent5"/>
            </a:solidFill>
            <a:ln>
              <a:noFill/>
            </a:ln>
            <a:effectLst/>
          </c:spPr>
          <c:invertIfNegative val="0"/>
          <c:val>
            <c:numRef>
              <c:f>'E-Bus LA'!$P$58</c:f>
              <c:numCache>
                <c:formatCode>_-* #,##0_-;\-* #,##0_-;_-* "-"??_-;_-@_-</c:formatCode>
                <c:ptCount val="1"/>
                <c:pt idx="0">
                  <c:v>12.172557728672642</c:v>
                </c:pt>
              </c:numCache>
            </c:numRef>
          </c:val>
          <c:extLst>
            <c:ext xmlns:c16="http://schemas.microsoft.com/office/drawing/2014/chart" uri="{C3380CC4-5D6E-409C-BE32-E72D297353CC}">
              <c16:uniqueId val="{00000004-798C-47E2-BC22-059379A66FF9}"/>
            </c:ext>
          </c:extLst>
        </c:ser>
        <c:ser>
          <c:idx val="5"/>
          <c:order val="4"/>
          <c:tx>
            <c:strRef>
              <c:f>'E-Bus LA'!$O$59</c:f>
              <c:strCache>
                <c:ptCount val="1"/>
                <c:pt idx="0">
                  <c:v>Resale value</c:v>
                </c:pt>
              </c:strCache>
            </c:strRef>
          </c:tx>
          <c:spPr>
            <a:solidFill>
              <a:schemeClr val="accent6"/>
            </a:solidFill>
            <a:ln>
              <a:noFill/>
            </a:ln>
            <a:effectLst/>
          </c:spPr>
          <c:invertIfNegative val="0"/>
          <c:val>
            <c:numRef>
              <c:f>'E-Bus LA'!$P$59</c:f>
              <c:numCache>
                <c:formatCode>_-* #,##0_-;\-* #,##0_-;_-* "-"??_-;_-@_-</c:formatCode>
                <c:ptCount val="1"/>
                <c:pt idx="0">
                  <c:v>-75803.710221687041</c:v>
                </c:pt>
              </c:numCache>
            </c:numRef>
          </c:val>
          <c:extLst>
            <c:ext xmlns:c16="http://schemas.microsoft.com/office/drawing/2014/chart" uri="{C3380CC4-5D6E-409C-BE32-E72D297353CC}">
              <c16:uniqueId val="{00000000-1214-44B3-8CC2-CB52732427FE}"/>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Electric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manualLayout>
          <c:layoutTarget val="inner"/>
          <c:xMode val="edge"/>
          <c:yMode val="edge"/>
          <c:x val="0.13667786526684161"/>
          <c:y val="0.1299050076454176"/>
          <c:w val="0.83221102362204724"/>
          <c:h val="0.82942978465521655"/>
        </c:manualLayout>
      </c:layout>
      <c:barChart>
        <c:barDir val="col"/>
        <c:grouping val="stacked"/>
        <c:varyColors val="0"/>
        <c:ser>
          <c:idx val="0"/>
          <c:order val="0"/>
          <c:tx>
            <c:strRef>
              <c:f>'E-Bus LA'!$O$55</c:f>
              <c:strCache>
                <c:ptCount val="1"/>
                <c:pt idx="0">
                  <c:v>Capital costs</c:v>
                </c:pt>
              </c:strCache>
            </c:strRef>
          </c:tx>
          <c:spPr>
            <a:solidFill>
              <a:schemeClr val="accent1"/>
            </a:solidFill>
            <a:ln>
              <a:noFill/>
            </a:ln>
            <a:effectLst/>
          </c:spPr>
          <c:invertIfNegative val="0"/>
          <c:val>
            <c:numRef>
              <c:f>'E-Bus LA'!$R$55</c:f>
              <c:numCache>
                <c:formatCode>0.00</c:formatCode>
                <c:ptCount val="1"/>
                <c:pt idx="0">
                  <c:v>0.75777929481501005</c:v>
                </c:pt>
              </c:numCache>
            </c:numRef>
          </c:val>
          <c:extLst>
            <c:ext xmlns:c16="http://schemas.microsoft.com/office/drawing/2014/chart" uri="{C3380CC4-5D6E-409C-BE32-E72D297353CC}">
              <c16:uniqueId val="{00000000-A6E8-4F80-BCFF-C7EBE38ED460}"/>
            </c:ext>
          </c:extLst>
        </c:ser>
        <c:ser>
          <c:idx val="1"/>
          <c:order val="1"/>
          <c:tx>
            <c:strRef>
              <c:f>'E-Bus LA'!$O$56</c:f>
              <c:strCache>
                <c:ptCount val="1"/>
                <c:pt idx="0">
                  <c:v>Energy costs</c:v>
                </c:pt>
              </c:strCache>
            </c:strRef>
          </c:tx>
          <c:spPr>
            <a:solidFill>
              <a:schemeClr val="accent2"/>
            </a:solidFill>
            <a:ln>
              <a:noFill/>
            </a:ln>
            <a:effectLst/>
          </c:spPr>
          <c:invertIfNegative val="0"/>
          <c:val>
            <c:numRef>
              <c:f>'E-Bus LA'!$R$56</c:f>
              <c:numCache>
                <c:formatCode>0.00</c:formatCode>
                <c:ptCount val="1"/>
                <c:pt idx="0">
                  <c:v>3.8147353258986084E-2</c:v>
                </c:pt>
              </c:numCache>
            </c:numRef>
          </c:val>
          <c:extLst>
            <c:ext xmlns:c16="http://schemas.microsoft.com/office/drawing/2014/chart" uri="{C3380CC4-5D6E-409C-BE32-E72D297353CC}">
              <c16:uniqueId val="{00000001-A6E8-4F80-BCFF-C7EBE38ED460}"/>
            </c:ext>
          </c:extLst>
        </c:ser>
        <c:ser>
          <c:idx val="2"/>
          <c:order val="2"/>
          <c:tx>
            <c:strRef>
              <c:f>'E-Bus LA'!$O$57</c:f>
              <c:strCache>
                <c:ptCount val="1"/>
                <c:pt idx="0">
                  <c:v>Yearly Cost + Taxes</c:v>
                </c:pt>
              </c:strCache>
            </c:strRef>
          </c:tx>
          <c:spPr>
            <a:solidFill>
              <a:schemeClr val="accent3"/>
            </a:solidFill>
            <a:ln>
              <a:noFill/>
            </a:ln>
            <a:effectLst/>
          </c:spPr>
          <c:invertIfNegative val="0"/>
          <c:val>
            <c:numRef>
              <c:f>'E-Bus LA'!$R$57</c:f>
              <c:numCache>
                <c:formatCode>0.00</c:formatCode>
                <c:ptCount val="1"/>
                <c:pt idx="0">
                  <c:v>0.28010458942333721</c:v>
                </c:pt>
              </c:numCache>
            </c:numRef>
          </c:val>
          <c:extLst>
            <c:ext xmlns:c16="http://schemas.microsoft.com/office/drawing/2014/chart" uri="{C3380CC4-5D6E-409C-BE32-E72D297353CC}">
              <c16:uniqueId val="{00000002-A6E8-4F80-BCFF-C7EBE38ED460}"/>
            </c:ext>
          </c:extLst>
        </c:ser>
        <c:ser>
          <c:idx val="4"/>
          <c:order val="3"/>
          <c:tx>
            <c:strRef>
              <c:f>'E-Bus LA'!$O$58</c:f>
              <c:strCache>
                <c:ptCount val="1"/>
                <c:pt idx="0">
                  <c:v>Battery costs</c:v>
                </c:pt>
              </c:strCache>
            </c:strRef>
          </c:tx>
          <c:spPr>
            <a:solidFill>
              <a:schemeClr val="accent5"/>
            </a:solidFill>
            <a:ln>
              <a:noFill/>
            </a:ln>
            <a:effectLst/>
          </c:spPr>
          <c:invertIfNegative val="0"/>
          <c:val>
            <c:numRef>
              <c:f>'E-Bus LA'!$R$58</c:f>
              <c:numCache>
                <c:formatCode>0.00</c:formatCode>
                <c:ptCount val="1"/>
                <c:pt idx="0">
                  <c:v>2.968916519188449E-5</c:v>
                </c:pt>
              </c:numCache>
            </c:numRef>
          </c:val>
          <c:extLst>
            <c:ext xmlns:c16="http://schemas.microsoft.com/office/drawing/2014/chart" uri="{C3380CC4-5D6E-409C-BE32-E72D297353CC}">
              <c16:uniqueId val="{00000004-A6E8-4F80-BCFF-C7EBE38ED460}"/>
            </c:ext>
          </c:extLst>
        </c:ser>
        <c:ser>
          <c:idx val="5"/>
          <c:order val="4"/>
          <c:tx>
            <c:strRef>
              <c:f>'E-Bus LA'!$O$59</c:f>
              <c:strCache>
                <c:ptCount val="1"/>
                <c:pt idx="0">
                  <c:v>Resale value</c:v>
                </c:pt>
              </c:strCache>
            </c:strRef>
          </c:tx>
          <c:spPr>
            <a:solidFill>
              <a:schemeClr val="accent6"/>
            </a:solidFill>
            <a:ln>
              <a:noFill/>
            </a:ln>
            <a:effectLst/>
          </c:spPr>
          <c:invertIfNegative val="0"/>
          <c:val>
            <c:numRef>
              <c:f>'E-Bus LA'!$R$59</c:f>
              <c:numCache>
                <c:formatCode>0.00</c:formatCode>
                <c:ptCount val="1"/>
                <c:pt idx="0">
                  <c:v>-0.1848870981016757</c:v>
                </c:pt>
              </c:numCache>
            </c:numRef>
          </c:val>
          <c:extLst>
            <c:ext xmlns:c16="http://schemas.microsoft.com/office/drawing/2014/chart" uri="{C3380CC4-5D6E-409C-BE32-E72D297353CC}">
              <c16:uniqueId val="{00000000-FB4E-451F-A446-56F7F1D5F2F2}"/>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(US$/km)</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0.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ICE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'ICE-Bus LA'!$O$55</c:f>
              <c:strCache>
                <c:ptCount val="1"/>
                <c:pt idx="0">
                  <c:v>Capital costs</c:v>
                </c:pt>
              </c:strCache>
            </c:strRef>
          </c:tx>
          <c:spPr>
            <a:solidFill>
              <a:schemeClr val="accent1"/>
            </a:solidFill>
            <a:ln>
              <a:noFill/>
            </a:ln>
            <a:effectLst/>
          </c:spPr>
          <c:invertIfNegative val="0"/>
          <c:val>
            <c:numRef>
              <c:f>'ICE-Bus LA'!$P$55</c:f>
              <c:numCache>
                <c:formatCode>_-* #,##0_-;\-* #,##0_-;_-* "-"??_-;_-@_-</c:formatCode>
                <c:ptCount val="1"/>
                <c:pt idx="0">
                  <c:v>125427.70236060816</c:v>
                </c:pt>
              </c:numCache>
            </c:numRef>
          </c:val>
          <c:extLst>
            <c:ext xmlns:c16="http://schemas.microsoft.com/office/drawing/2014/chart" uri="{C3380CC4-5D6E-409C-BE32-E72D297353CC}">
              <c16:uniqueId val="{00000000-9A07-42F7-83DB-5615D05A52C6}"/>
            </c:ext>
          </c:extLst>
        </c:ser>
        <c:ser>
          <c:idx val="1"/>
          <c:order val="1"/>
          <c:tx>
            <c:strRef>
              <c:f>'ICE-Bus LA'!$O$56</c:f>
              <c:strCache>
                <c:ptCount val="1"/>
                <c:pt idx="0">
                  <c:v>Energy costs</c:v>
                </c:pt>
              </c:strCache>
            </c:strRef>
          </c:tx>
          <c:spPr>
            <a:solidFill>
              <a:schemeClr val="accent2"/>
            </a:solidFill>
            <a:ln>
              <a:noFill/>
            </a:ln>
            <a:effectLst/>
          </c:spPr>
          <c:invertIfNegative val="0"/>
          <c:val>
            <c:numRef>
              <c:f>'ICE-Bus LA'!$P$56</c:f>
              <c:numCache>
                <c:formatCode>_-* #,##0_-;\-* #,##0_-;_-* "-"??_-;_-@_-</c:formatCode>
                <c:ptCount val="1"/>
                <c:pt idx="0">
                  <c:v>169681.53553201546</c:v>
                </c:pt>
              </c:numCache>
            </c:numRef>
          </c:val>
          <c:extLst>
            <c:ext xmlns:c16="http://schemas.microsoft.com/office/drawing/2014/chart" uri="{C3380CC4-5D6E-409C-BE32-E72D297353CC}">
              <c16:uniqueId val="{00000001-9A07-42F7-83DB-5615D05A52C6}"/>
            </c:ext>
          </c:extLst>
        </c:ser>
        <c:ser>
          <c:idx val="2"/>
          <c:order val="2"/>
          <c:tx>
            <c:strRef>
              <c:f>'ICE-Bus LA'!$O$57</c:f>
              <c:strCache>
                <c:ptCount val="1"/>
                <c:pt idx="0">
                  <c:v>Yearly Cost + Taxes</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3-9A07-42F7-83DB-5615D05A52C6}"/>
              </c:ext>
            </c:extLst>
          </c:dPt>
          <c:val>
            <c:numRef>
              <c:f>'ICE-Bus LA'!$P$57</c:f>
              <c:numCache>
                <c:formatCode>_-* #,##0_-;\-* #,##0_-;_-* "-"??_-;_-@_-</c:formatCode>
                <c:ptCount val="1"/>
                <c:pt idx="0">
                  <c:v>68312.183637400158</c:v>
                </c:pt>
              </c:numCache>
            </c:numRef>
          </c:val>
          <c:extLst>
            <c:ext xmlns:c16="http://schemas.microsoft.com/office/drawing/2014/chart" uri="{C3380CC4-5D6E-409C-BE32-E72D297353CC}">
              <c16:uniqueId val="{00000004-9A07-42F7-83DB-5615D05A52C6}"/>
            </c:ext>
          </c:extLst>
        </c:ser>
        <c:ser>
          <c:idx val="4"/>
          <c:order val="3"/>
          <c:tx>
            <c:strRef>
              <c:f>'ICE-Bus LA'!$O$58</c:f>
              <c:strCache>
                <c:ptCount val="1"/>
                <c:pt idx="0">
                  <c:v>Resale value</c:v>
                </c:pt>
              </c:strCache>
            </c:strRef>
          </c:tx>
          <c:spPr>
            <a:solidFill>
              <a:schemeClr val="accent5"/>
            </a:solidFill>
            <a:ln>
              <a:noFill/>
            </a:ln>
            <a:effectLst/>
          </c:spPr>
          <c:invertIfNegative val="0"/>
          <c:val>
            <c:numRef>
              <c:f>'ICE-Bus LA'!$P$58</c:f>
              <c:numCache>
                <c:formatCode>_-* #,##0_-;\-* #,##0_-;_-* "-"??_-;_-@_-</c:formatCode>
                <c:ptCount val="1"/>
                <c:pt idx="0">
                  <c:v>-32105.121350856578</c:v>
                </c:pt>
              </c:numCache>
            </c:numRef>
          </c:val>
          <c:extLst>
            <c:ext xmlns:c16="http://schemas.microsoft.com/office/drawing/2014/chart" uri="{C3380CC4-5D6E-409C-BE32-E72D297353CC}">
              <c16:uniqueId val="{00000005-9A07-42F7-83DB-5615D05A52C6}"/>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ICE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'ICE-Bus LA'!$O$55</c:f>
              <c:strCache>
                <c:ptCount val="1"/>
                <c:pt idx="0">
                  <c:v>Capital costs</c:v>
                </c:pt>
              </c:strCache>
            </c:strRef>
          </c:tx>
          <c:spPr>
            <a:solidFill>
              <a:schemeClr val="accent1"/>
            </a:solidFill>
            <a:ln>
              <a:noFill/>
            </a:ln>
            <a:effectLst/>
          </c:spPr>
          <c:invertIfNegative val="0"/>
          <c:val>
            <c:numRef>
              <c:f>'ICE-Bus LA'!$R$55</c:f>
              <c:numCache>
                <c:formatCode>0.00</c:formatCode>
                <c:ptCount val="1"/>
                <c:pt idx="0">
                  <c:v>0.305921225269776</c:v>
                </c:pt>
              </c:numCache>
            </c:numRef>
          </c:val>
          <c:extLst>
            <c:ext xmlns:c16="http://schemas.microsoft.com/office/drawing/2014/chart" uri="{C3380CC4-5D6E-409C-BE32-E72D297353CC}">
              <c16:uniqueId val="{00000000-B09C-493A-ADE5-C020CD878321}"/>
            </c:ext>
          </c:extLst>
        </c:ser>
        <c:ser>
          <c:idx val="1"/>
          <c:order val="1"/>
          <c:tx>
            <c:strRef>
              <c:f>'ICE-Bus LA'!$O$56</c:f>
              <c:strCache>
                <c:ptCount val="1"/>
                <c:pt idx="0">
                  <c:v>Energy costs</c:v>
                </c:pt>
              </c:strCache>
            </c:strRef>
          </c:tx>
          <c:spPr>
            <a:solidFill>
              <a:schemeClr val="accent2"/>
            </a:solidFill>
            <a:ln>
              <a:noFill/>
            </a:ln>
            <a:effectLst/>
          </c:spPr>
          <c:invertIfNegative val="0"/>
          <c:val>
            <c:numRef>
              <c:f>'ICE-Bus LA'!$R$56</c:f>
              <c:numCache>
                <c:formatCode>0.00</c:formatCode>
                <c:ptCount val="1"/>
                <c:pt idx="0">
                  <c:v>0.41385740373662311</c:v>
                </c:pt>
              </c:numCache>
            </c:numRef>
          </c:val>
          <c:extLst>
            <c:ext xmlns:c16="http://schemas.microsoft.com/office/drawing/2014/chart" uri="{C3380CC4-5D6E-409C-BE32-E72D297353CC}">
              <c16:uniqueId val="{00000001-B09C-493A-ADE5-C020CD878321}"/>
            </c:ext>
          </c:extLst>
        </c:ser>
        <c:ser>
          <c:idx val="2"/>
          <c:order val="2"/>
          <c:tx>
            <c:strRef>
              <c:f>'ICE-Bus LA'!$O$57</c:f>
              <c:strCache>
                <c:ptCount val="1"/>
                <c:pt idx="0">
                  <c:v>Yearly Cost + Taxes</c:v>
                </c:pt>
              </c:strCache>
            </c:strRef>
          </c:tx>
          <c:spPr>
            <a:solidFill>
              <a:schemeClr val="accent3"/>
            </a:solidFill>
            <a:ln>
              <a:noFill/>
            </a:ln>
            <a:effectLst/>
          </c:spPr>
          <c:invertIfNegative val="0"/>
          <c:val>
            <c:numRef>
              <c:f>'ICE-Bus LA'!$R$57</c:f>
              <c:numCache>
                <c:formatCode>0.00</c:formatCode>
                <c:ptCount val="1"/>
                <c:pt idx="0">
                  <c:v>0.16661508204243941</c:v>
                </c:pt>
              </c:numCache>
            </c:numRef>
          </c:val>
          <c:extLst>
            <c:ext xmlns:c16="http://schemas.microsoft.com/office/drawing/2014/chart" uri="{C3380CC4-5D6E-409C-BE32-E72D297353CC}">
              <c16:uniqueId val="{00000002-B09C-493A-ADE5-C020CD878321}"/>
            </c:ext>
          </c:extLst>
        </c:ser>
        <c:ser>
          <c:idx val="4"/>
          <c:order val="3"/>
          <c:tx>
            <c:strRef>
              <c:f>'ICE-Bus LA'!$O$58</c:f>
              <c:strCache>
                <c:ptCount val="1"/>
                <c:pt idx="0">
                  <c:v>Resale value</c:v>
                </c:pt>
              </c:strCache>
            </c:strRef>
          </c:tx>
          <c:spPr>
            <a:solidFill>
              <a:schemeClr val="accent5"/>
            </a:solidFill>
            <a:ln>
              <a:noFill/>
            </a:ln>
            <a:effectLst/>
          </c:spPr>
          <c:invertIfNegative val="0"/>
          <c:val>
            <c:numRef>
              <c:f>'ICE-Bus LA'!$R$58</c:f>
              <c:numCache>
                <c:formatCode>0.00</c:formatCode>
                <c:ptCount val="1"/>
                <c:pt idx="0">
                  <c:v>-7.8305174026479463E-2</c:v>
                </c:pt>
              </c:numCache>
            </c:numRef>
          </c:val>
          <c:extLst>
            <c:ext xmlns:c16="http://schemas.microsoft.com/office/drawing/2014/chart" uri="{C3380CC4-5D6E-409C-BE32-E72D297353CC}">
              <c16:uniqueId val="{00000003-B09C-493A-ADE5-C020CD878321}"/>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(US$/km)</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0.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Electric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'E-Truck LA'!$O$55</c:f>
              <c:strCache>
                <c:ptCount val="1"/>
                <c:pt idx="0">
                  <c:v>Capital costs</c:v>
                </c:pt>
              </c:strCache>
            </c:strRef>
          </c:tx>
          <c:spPr>
            <a:solidFill>
              <a:schemeClr val="accent1"/>
            </a:solidFill>
            <a:ln>
              <a:noFill/>
            </a:ln>
            <a:effectLst/>
          </c:spPr>
          <c:invertIfNegative val="0"/>
          <c:val>
            <c:numRef>
              <c:f>'E-Truck LA'!$P$55</c:f>
              <c:numCache>
                <c:formatCode>_-* #,##0_-;\-* #,##0_-;_-* "-"??_-;_-@_-</c:formatCode>
                <c:ptCount val="1"/>
                <c:pt idx="0">
                  <c:v>62867.79577287026</c:v>
                </c:pt>
              </c:numCache>
            </c:numRef>
          </c:val>
          <c:extLst>
            <c:ext xmlns:c16="http://schemas.microsoft.com/office/drawing/2014/chart" uri="{C3380CC4-5D6E-409C-BE32-E72D297353CC}">
              <c16:uniqueId val="{00000000-821B-4960-8595-B7AD09A0F3C6}"/>
            </c:ext>
          </c:extLst>
        </c:ser>
        <c:ser>
          <c:idx val="1"/>
          <c:order val="1"/>
          <c:tx>
            <c:strRef>
              <c:f>'E-Truck LA'!$O$56</c:f>
              <c:strCache>
                <c:ptCount val="1"/>
                <c:pt idx="0">
                  <c:v>Energy costs</c:v>
                </c:pt>
              </c:strCache>
            </c:strRef>
          </c:tx>
          <c:spPr>
            <a:solidFill>
              <a:schemeClr val="accent2"/>
            </a:solidFill>
            <a:ln>
              <a:noFill/>
            </a:ln>
            <a:effectLst/>
          </c:spPr>
          <c:invertIfNegative val="0"/>
          <c:val>
            <c:numRef>
              <c:f>'E-Truck LA'!$P$56</c:f>
              <c:numCache>
                <c:formatCode>_-* #,##0_-;\-* #,##0_-;_-* "-"??_-;_-@_-</c:formatCode>
                <c:ptCount val="1"/>
                <c:pt idx="0">
                  <c:v>2342.7869476225801</c:v>
                </c:pt>
              </c:numCache>
            </c:numRef>
          </c:val>
          <c:extLst>
            <c:ext xmlns:c16="http://schemas.microsoft.com/office/drawing/2014/chart" uri="{C3380CC4-5D6E-409C-BE32-E72D297353CC}">
              <c16:uniqueId val="{00000001-821B-4960-8595-B7AD09A0F3C6}"/>
            </c:ext>
          </c:extLst>
        </c:ser>
        <c:ser>
          <c:idx val="2"/>
          <c:order val="2"/>
          <c:tx>
            <c:strRef>
              <c:f>'E-Truck LA'!$O$57</c:f>
              <c:strCache>
                <c:ptCount val="1"/>
                <c:pt idx="0">
                  <c:v>Yearly Cost + Taxes</c:v>
                </c:pt>
              </c:strCache>
            </c:strRef>
          </c:tx>
          <c:spPr>
            <a:solidFill>
              <a:schemeClr val="accent3"/>
            </a:solidFill>
            <a:ln>
              <a:noFill/>
            </a:ln>
            <a:effectLst/>
          </c:spPr>
          <c:invertIfNegative val="0"/>
          <c:val>
            <c:numRef>
              <c:f>'E-Truck LA'!$P$57</c:f>
              <c:numCache>
                <c:formatCode>_-* #,##0_-;\-* #,##0_-;_-* "-"??_-;_-@_-</c:formatCode>
                <c:ptCount val="1"/>
                <c:pt idx="0">
                  <c:v>15382.362631544895</c:v>
                </c:pt>
              </c:numCache>
            </c:numRef>
          </c:val>
          <c:extLst>
            <c:ext xmlns:c16="http://schemas.microsoft.com/office/drawing/2014/chart" uri="{C3380CC4-5D6E-409C-BE32-E72D297353CC}">
              <c16:uniqueId val="{00000002-821B-4960-8595-B7AD09A0F3C6}"/>
            </c:ext>
          </c:extLst>
        </c:ser>
        <c:ser>
          <c:idx val="4"/>
          <c:order val="3"/>
          <c:tx>
            <c:strRef>
              <c:f>'E-Truck LA'!$O$58</c:f>
              <c:strCache>
                <c:ptCount val="1"/>
                <c:pt idx="0">
                  <c:v>Battery costs</c:v>
                </c:pt>
              </c:strCache>
            </c:strRef>
          </c:tx>
          <c:spPr>
            <a:solidFill>
              <a:schemeClr val="accent5"/>
            </a:solidFill>
            <a:ln>
              <a:noFill/>
            </a:ln>
            <a:effectLst/>
          </c:spPr>
          <c:invertIfNegative val="0"/>
          <c:val>
            <c:numRef>
              <c:f>'E-Truck LA'!$P$58</c:f>
              <c:numCache>
                <c:formatCode>_-* #,##0_-;\-* #,##0_-;_-* "-"??_-;_-@_-</c:formatCode>
                <c:ptCount val="1"/>
                <c:pt idx="0">
                  <c:v>12485.237065196967</c:v>
                </c:pt>
              </c:numCache>
            </c:numRef>
          </c:val>
          <c:extLst>
            <c:ext xmlns:c16="http://schemas.microsoft.com/office/drawing/2014/chart" uri="{C3380CC4-5D6E-409C-BE32-E72D297353CC}">
              <c16:uniqueId val="{00000003-821B-4960-8595-B7AD09A0F3C6}"/>
            </c:ext>
          </c:extLst>
        </c:ser>
        <c:ser>
          <c:idx val="5"/>
          <c:order val="4"/>
          <c:tx>
            <c:strRef>
              <c:f>'E-Truck LA'!$O$59</c:f>
              <c:strCache>
                <c:ptCount val="1"/>
                <c:pt idx="0">
                  <c:v>Resale value</c:v>
                </c:pt>
              </c:strCache>
            </c:strRef>
          </c:tx>
          <c:spPr>
            <a:solidFill>
              <a:schemeClr val="accent6"/>
            </a:solidFill>
            <a:ln>
              <a:noFill/>
            </a:ln>
            <a:effectLst/>
          </c:spPr>
          <c:invertIfNegative val="0"/>
          <c:val>
            <c:numRef>
              <c:f>'E-Truck LA'!$P$59</c:f>
              <c:numCache>
                <c:formatCode>_-* #,##0_-;\-* #,##0_-;_-* "-"??_-;_-@_-</c:formatCode>
                <c:ptCount val="1"/>
                <c:pt idx="0">
                  <c:v>-15151.729601234047</c:v>
                </c:pt>
              </c:numCache>
            </c:numRef>
          </c:val>
          <c:extLst>
            <c:ext xmlns:c16="http://schemas.microsoft.com/office/drawing/2014/chart" uri="{C3380CC4-5D6E-409C-BE32-E72D297353CC}">
              <c16:uniqueId val="{00000004-821B-4960-8595-B7AD09A0F3C6}"/>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Electric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manualLayout>
          <c:layoutTarget val="inner"/>
          <c:xMode val="edge"/>
          <c:yMode val="edge"/>
          <c:x val="0.13667786526684161"/>
          <c:y val="0.1299050076454176"/>
          <c:w val="0.83221102362204724"/>
          <c:h val="0.82942978465521655"/>
        </c:manualLayout>
      </c:layout>
      <c:barChart>
        <c:barDir val="col"/>
        <c:grouping val="stacked"/>
        <c:varyColors val="0"/>
        <c:ser>
          <c:idx val="0"/>
          <c:order val="0"/>
          <c:tx>
            <c:strRef>
              <c:f>'E-Truck LA'!$O$55</c:f>
              <c:strCache>
                <c:ptCount val="1"/>
                <c:pt idx="0">
                  <c:v>Capital costs</c:v>
                </c:pt>
              </c:strCache>
            </c:strRef>
          </c:tx>
          <c:spPr>
            <a:solidFill>
              <a:schemeClr val="accent1"/>
            </a:solidFill>
            <a:ln>
              <a:noFill/>
            </a:ln>
            <a:effectLst/>
          </c:spPr>
          <c:invertIfNegative val="0"/>
          <c:val>
            <c:numRef>
              <c:f>'E-Truck LA'!$R$55</c:f>
              <c:numCache>
                <c:formatCode>0.00</c:formatCode>
                <c:ptCount val="1"/>
                <c:pt idx="0">
                  <c:v>0.19646186179021957</c:v>
                </c:pt>
              </c:numCache>
            </c:numRef>
          </c:val>
          <c:extLst>
            <c:ext xmlns:c16="http://schemas.microsoft.com/office/drawing/2014/chart" uri="{C3380CC4-5D6E-409C-BE32-E72D297353CC}">
              <c16:uniqueId val="{00000000-33C1-4A00-A3A0-5DA9D0095AAB}"/>
            </c:ext>
          </c:extLst>
        </c:ser>
        <c:ser>
          <c:idx val="1"/>
          <c:order val="1"/>
          <c:tx>
            <c:strRef>
              <c:f>'E-Truck LA'!$O$56</c:f>
              <c:strCache>
                <c:ptCount val="1"/>
                <c:pt idx="0">
                  <c:v>Energy costs</c:v>
                </c:pt>
              </c:strCache>
            </c:strRef>
          </c:tx>
          <c:spPr>
            <a:solidFill>
              <a:schemeClr val="accent2"/>
            </a:solidFill>
            <a:ln>
              <a:noFill/>
            </a:ln>
            <a:effectLst/>
          </c:spPr>
          <c:invertIfNegative val="0"/>
          <c:val>
            <c:numRef>
              <c:f>'E-Truck LA'!$R$56</c:f>
              <c:numCache>
                <c:formatCode>0.00</c:formatCode>
                <c:ptCount val="1"/>
                <c:pt idx="0">
                  <c:v>7.321209211320563E-3</c:v>
                </c:pt>
              </c:numCache>
            </c:numRef>
          </c:val>
          <c:extLst>
            <c:ext xmlns:c16="http://schemas.microsoft.com/office/drawing/2014/chart" uri="{C3380CC4-5D6E-409C-BE32-E72D297353CC}">
              <c16:uniqueId val="{00000001-33C1-4A00-A3A0-5DA9D0095AAB}"/>
            </c:ext>
          </c:extLst>
        </c:ser>
        <c:ser>
          <c:idx val="2"/>
          <c:order val="2"/>
          <c:tx>
            <c:strRef>
              <c:f>'E-Truck LA'!$O$57</c:f>
              <c:strCache>
                <c:ptCount val="1"/>
                <c:pt idx="0">
                  <c:v>Yearly Cost + Taxes</c:v>
                </c:pt>
              </c:strCache>
            </c:strRef>
          </c:tx>
          <c:spPr>
            <a:solidFill>
              <a:schemeClr val="accent3"/>
            </a:solidFill>
            <a:ln>
              <a:noFill/>
            </a:ln>
            <a:effectLst/>
          </c:spPr>
          <c:invertIfNegative val="0"/>
          <c:val>
            <c:numRef>
              <c:f>'E-Truck LA'!$R$57</c:f>
              <c:numCache>
                <c:formatCode>0.00</c:formatCode>
                <c:ptCount val="1"/>
                <c:pt idx="0">
                  <c:v>4.8069883223577796E-2</c:v>
                </c:pt>
              </c:numCache>
            </c:numRef>
          </c:val>
          <c:extLst>
            <c:ext xmlns:c16="http://schemas.microsoft.com/office/drawing/2014/chart" uri="{C3380CC4-5D6E-409C-BE32-E72D297353CC}">
              <c16:uniqueId val="{00000002-33C1-4A00-A3A0-5DA9D0095AAB}"/>
            </c:ext>
          </c:extLst>
        </c:ser>
        <c:ser>
          <c:idx val="4"/>
          <c:order val="3"/>
          <c:tx>
            <c:strRef>
              <c:f>'E-Truck LA'!$O$58</c:f>
              <c:strCache>
                <c:ptCount val="1"/>
                <c:pt idx="0">
                  <c:v>Battery costs</c:v>
                </c:pt>
              </c:strCache>
            </c:strRef>
          </c:tx>
          <c:spPr>
            <a:solidFill>
              <a:schemeClr val="accent5"/>
            </a:solidFill>
            <a:ln>
              <a:noFill/>
            </a:ln>
            <a:effectLst/>
          </c:spPr>
          <c:invertIfNegative val="0"/>
          <c:val>
            <c:numRef>
              <c:f>'E-Truck LA'!$R$58</c:f>
              <c:numCache>
                <c:formatCode>0.00</c:formatCode>
                <c:ptCount val="1"/>
                <c:pt idx="0">
                  <c:v>3.9016365828740518E-2</c:v>
                </c:pt>
              </c:numCache>
            </c:numRef>
          </c:val>
          <c:extLst>
            <c:ext xmlns:c16="http://schemas.microsoft.com/office/drawing/2014/chart" uri="{C3380CC4-5D6E-409C-BE32-E72D297353CC}">
              <c16:uniqueId val="{00000003-33C1-4A00-A3A0-5DA9D0095AAB}"/>
            </c:ext>
          </c:extLst>
        </c:ser>
        <c:ser>
          <c:idx val="5"/>
          <c:order val="4"/>
          <c:tx>
            <c:strRef>
              <c:f>'E-Truck LA'!$O$59</c:f>
              <c:strCache>
                <c:ptCount val="1"/>
                <c:pt idx="0">
                  <c:v>Resale value</c:v>
                </c:pt>
              </c:strCache>
            </c:strRef>
          </c:tx>
          <c:spPr>
            <a:solidFill>
              <a:schemeClr val="accent6"/>
            </a:solidFill>
            <a:ln>
              <a:noFill/>
            </a:ln>
            <a:effectLst/>
          </c:spPr>
          <c:invertIfNegative val="0"/>
          <c:val>
            <c:numRef>
              <c:f>'E-Truck LA'!$R$59</c:f>
              <c:numCache>
                <c:formatCode>0.00</c:formatCode>
                <c:ptCount val="1"/>
                <c:pt idx="0">
                  <c:v>-4.7349155003856398E-2</c:v>
                </c:pt>
              </c:numCache>
            </c:numRef>
          </c:val>
          <c:extLst>
            <c:ext xmlns:c16="http://schemas.microsoft.com/office/drawing/2014/chart" uri="{C3380CC4-5D6E-409C-BE32-E72D297353CC}">
              <c16:uniqueId val="{00000004-33C1-4A00-A3A0-5DA9D0095AAB}"/>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(US$/km)</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0.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ICE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'ICE-Truck LA'!$O$55</c:f>
              <c:strCache>
                <c:ptCount val="1"/>
                <c:pt idx="0">
                  <c:v>Capital costs</c:v>
                </c:pt>
              </c:strCache>
            </c:strRef>
          </c:tx>
          <c:spPr>
            <a:solidFill>
              <a:schemeClr val="accent1"/>
            </a:solidFill>
            <a:ln>
              <a:noFill/>
            </a:ln>
            <a:effectLst/>
          </c:spPr>
          <c:invertIfNegative val="0"/>
          <c:val>
            <c:numRef>
              <c:f>'ICE-Truck LA'!$P$55</c:f>
              <c:numCache>
                <c:formatCode>_-* #,##0_-;\-* #,##0_-;_-* "-"??_-;_-@_-</c:formatCode>
                <c:ptCount val="1"/>
                <c:pt idx="0">
                  <c:v>9216.7588199295878</c:v>
                </c:pt>
              </c:numCache>
            </c:numRef>
          </c:val>
          <c:extLst>
            <c:ext xmlns:c16="http://schemas.microsoft.com/office/drawing/2014/chart" uri="{C3380CC4-5D6E-409C-BE32-E72D297353CC}">
              <c16:uniqueId val="{00000000-65F5-458D-A8C3-9D9E4AA9AF7C}"/>
            </c:ext>
          </c:extLst>
        </c:ser>
        <c:ser>
          <c:idx val="1"/>
          <c:order val="1"/>
          <c:tx>
            <c:strRef>
              <c:f>'ICE-Truck LA'!$O$56</c:f>
              <c:strCache>
                <c:ptCount val="1"/>
                <c:pt idx="0">
                  <c:v>Energy costs</c:v>
                </c:pt>
              </c:strCache>
            </c:strRef>
          </c:tx>
          <c:spPr>
            <a:solidFill>
              <a:schemeClr val="accent2"/>
            </a:solidFill>
            <a:ln>
              <a:noFill/>
            </a:ln>
            <a:effectLst/>
          </c:spPr>
          <c:invertIfNegative val="0"/>
          <c:val>
            <c:numRef>
              <c:f>'ICE-Truck LA'!$P$56</c:f>
              <c:numCache>
                <c:formatCode>_-* #,##0_-;\-* #,##0_-;_-* "-"??_-;_-@_-</c:formatCode>
                <c:ptCount val="1"/>
                <c:pt idx="0">
                  <c:v>43243.87565574512</c:v>
                </c:pt>
              </c:numCache>
            </c:numRef>
          </c:val>
          <c:extLst>
            <c:ext xmlns:c16="http://schemas.microsoft.com/office/drawing/2014/chart" uri="{C3380CC4-5D6E-409C-BE32-E72D297353CC}">
              <c16:uniqueId val="{00000001-65F5-458D-A8C3-9D9E4AA9AF7C}"/>
            </c:ext>
          </c:extLst>
        </c:ser>
        <c:ser>
          <c:idx val="2"/>
          <c:order val="2"/>
          <c:tx>
            <c:strRef>
              <c:f>'ICE-Truck LA'!$O$57</c:f>
              <c:strCache>
                <c:ptCount val="1"/>
                <c:pt idx="0">
                  <c:v>Yearly Cost + Taxes</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3-65F5-458D-A8C3-9D9E4AA9AF7C}"/>
              </c:ext>
            </c:extLst>
          </c:dPt>
          <c:val>
            <c:numRef>
              <c:f>'ICE-Truck LA'!$P$57</c:f>
              <c:numCache>
                <c:formatCode>_-* #,##0_-;\-* #,##0_-;_-* "-"??_-;_-@_-</c:formatCode>
                <c:ptCount val="1"/>
                <c:pt idx="0">
                  <c:v>25735.563457860691</c:v>
                </c:pt>
              </c:numCache>
            </c:numRef>
          </c:val>
          <c:extLst>
            <c:ext xmlns:c16="http://schemas.microsoft.com/office/drawing/2014/chart" uri="{C3380CC4-5D6E-409C-BE32-E72D297353CC}">
              <c16:uniqueId val="{00000004-65F5-458D-A8C3-9D9E4AA9AF7C}"/>
            </c:ext>
          </c:extLst>
        </c:ser>
        <c:ser>
          <c:idx val="4"/>
          <c:order val="3"/>
          <c:tx>
            <c:strRef>
              <c:f>'ICE-Truck LA'!$O$58</c:f>
              <c:strCache>
                <c:ptCount val="1"/>
                <c:pt idx="0">
                  <c:v>Resale value</c:v>
                </c:pt>
              </c:strCache>
            </c:strRef>
          </c:tx>
          <c:spPr>
            <a:solidFill>
              <a:schemeClr val="accent5"/>
            </a:solidFill>
            <a:ln>
              <a:noFill/>
            </a:ln>
            <a:effectLst/>
          </c:spPr>
          <c:invertIfNegative val="0"/>
          <c:val>
            <c:numRef>
              <c:f>'ICE-Truck LA'!$P$58</c:f>
              <c:numCache>
                <c:formatCode>_-* #,##0_-;\-* #,##0_-;_-* "-"??_-;_-@_-</c:formatCode>
                <c:ptCount val="1"/>
                <c:pt idx="0">
                  <c:v>-3047.9545586256245</c:v>
                </c:pt>
              </c:numCache>
            </c:numRef>
          </c:val>
          <c:extLst>
            <c:ext xmlns:c16="http://schemas.microsoft.com/office/drawing/2014/chart" uri="{C3380CC4-5D6E-409C-BE32-E72D297353CC}">
              <c16:uniqueId val="{00000005-65F5-458D-A8C3-9D9E4AA9AF7C}"/>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ICE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'ICE-Truck LA'!$O$55</c:f>
              <c:strCache>
                <c:ptCount val="1"/>
                <c:pt idx="0">
                  <c:v>Capital costs</c:v>
                </c:pt>
              </c:strCache>
            </c:strRef>
          </c:tx>
          <c:spPr>
            <a:solidFill>
              <a:schemeClr val="accent1"/>
            </a:solidFill>
            <a:ln>
              <a:noFill/>
            </a:ln>
            <a:effectLst/>
          </c:spPr>
          <c:invertIfNegative val="0"/>
          <c:val>
            <c:numRef>
              <c:f>'ICE-Truck LA'!$R$55</c:f>
              <c:numCache>
                <c:formatCode>0.00</c:formatCode>
                <c:ptCount val="1"/>
                <c:pt idx="0">
                  <c:v>2.8802371312279963E-2</c:v>
                </c:pt>
              </c:numCache>
            </c:numRef>
          </c:val>
          <c:extLst>
            <c:ext xmlns:c16="http://schemas.microsoft.com/office/drawing/2014/chart" uri="{C3380CC4-5D6E-409C-BE32-E72D297353CC}">
              <c16:uniqueId val="{00000000-3317-4026-B55C-0C83A45EFC72}"/>
            </c:ext>
          </c:extLst>
        </c:ser>
        <c:ser>
          <c:idx val="1"/>
          <c:order val="1"/>
          <c:tx>
            <c:strRef>
              <c:f>'ICE-Truck LA'!$O$56</c:f>
              <c:strCache>
                <c:ptCount val="1"/>
                <c:pt idx="0">
                  <c:v>Energy costs</c:v>
                </c:pt>
              </c:strCache>
            </c:strRef>
          </c:tx>
          <c:spPr>
            <a:solidFill>
              <a:schemeClr val="accent2"/>
            </a:solidFill>
            <a:ln>
              <a:noFill/>
            </a:ln>
            <a:effectLst/>
          </c:spPr>
          <c:invertIfNegative val="0"/>
          <c:val>
            <c:numRef>
              <c:f>'ICE-Truck LA'!$R$56</c:f>
              <c:numCache>
                <c:formatCode>0.00</c:formatCode>
                <c:ptCount val="1"/>
                <c:pt idx="0">
                  <c:v>0.13513711142420351</c:v>
                </c:pt>
              </c:numCache>
            </c:numRef>
          </c:val>
          <c:extLst>
            <c:ext xmlns:c16="http://schemas.microsoft.com/office/drawing/2014/chart" uri="{C3380CC4-5D6E-409C-BE32-E72D297353CC}">
              <c16:uniqueId val="{00000001-3317-4026-B55C-0C83A45EFC72}"/>
            </c:ext>
          </c:extLst>
        </c:ser>
        <c:ser>
          <c:idx val="2"/>
          <c:order val="2"/>
          <c:tx>
            <c:strRef>
              <c:f>'ICE-Truck LA'!$O$57</c:f>
              <c:strCache>
                <c:ptCount val="1"/>
                <c:pt idx="0">
                  <c:v>Yearly Cost + Taxes</c:v>
                </c:pt>
              </c:strCache>
            </c:strRef>
          </c:tx>
          <c:spPr>
            <a:solidFill>
              <a:schemeClr val="accent3"/>
            </a:solidFill>
            <a:ln>
              <a:noFill/>
            </a:ln>
            <a:effectLst/>
          </c:spPr>
          <c:invertIfNegative val="0"/>
          <c:val>
            <c:numRef>
              <c:f>'ICE-Truck LA'!$R$57</c:f>
              <c:numCache>
                <c:formatCode>0.00</c:formatCode>
                <c:ptCount val="1"/>
                <c:pt idx="0">
                  <c:v>8.0423635805814658E-2</c:v>
                </c:pt>
              </c:numCache>
            </c:numRef>
          </c:val>
          <c:extLst>
            <c:ext xmlns:c16="http://schemas.microsoft.com/office/drawing/2014/chart" uri="{C3380CC4-5D6E-409C-BE32-E72D297353CC}">
              <c16:uniqueId val="{00000002-3317-4026-B55C-0C83A45EFC72}"/>
            </c:ext>
          </c:extLst>
        </c:ser>
        <c:ser>
          <c:idx val="4"/>
          <c:order val="3"/>
          <c:tx>
            <c:strRef>
              <c:f>'ICE-Truck LA'!$O$58</c:f>
              <c:strCache>
                <c:ptCount val="1"/>
                <c:pt idx="0">
                  <c:v>Resale value</c:v>
                </c:pt>
              </c:strCache>
            </c:strRef>
          </c:tx>
          <c:spPr>
            <a:solidFill>
              <a:schemeClr val="accent5"/>
            </a:solidFill>
            <a:ln>
              <a:noFill/>
            </a:ln>
            <a:effectLst/>
          </c:spPr>
          <c:invertIfNegative val="0"/>
          <c:val>
            <c:numRef>
              <c:f>'ICE-Truck LA'!$R$58</c:f>
              <c:numCache>
                <c:formatCode>0.00</c:formatCode>
                <c:ptCount val="1"/>
                <c:pt idx="0">
                  <c:v>-9.5248579957050768E-3</c:v>
                </c:pt>
              </c:numCache>
            </c:numRef>
          </c:val>
          <c:extLst>
            <c:ext xmlns:c16="http://schemas.microsoft.com/office/drawing/2014/chart" uri="{C3380CC4-5D6E-409C-BE32-E72D297353CC}">
              <c16:uniqueId val="{00000003-3317-4026-B55C-0C83A45EFC72}"/>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(US$/km)</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0.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Electric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'E-Cargo LA'!$O$55</c:f>
              <c:strCache>
                <c:ptCount val="1"/>
                <c:pt idx="0">
                  <c:v>Capital costs</c:v>
                </c:pt>
              </c:strCache>
            </c:strRef>
          </c:tx>
          <c:spPr>
            <a:solidFill>
              <a:schemeClr val="accent1"/>
            </a:solidFill>
            <a:ln>
              <a:noFill/>
            </a:ln>
            <a:effectLst/>
          </c:spPr>
          <c:invertIfNegative val="0"/>
          <c:val>
            <c:numRef>
              <c:f>'E-Cargo LA'!$P$55</c:f>
              <c:numCache>
                <c:formatCode>_-* #,##0_-;\-* #,##0_-;_-* "-"??_-;_-@_-</c:formatCode>
                <c:ptCount val="1"/>
                <c:pt idx="0">
                  <c:v>19883.354768146855</c:v>
                </c:pt>
              </c:numCache>
            </c:numRef>
          </c:val>
          <c:extLst>
            <c:ext xmlns:c16="http://schemas.microsoft.com/office/drawing/2014/chart" uri="{C3380CC4-5D6E-409C-BE32-E72D297353CC}">
              <c16:uniqueId val="{00000000-E4BA-4568-BA20-2CEBA8CCDFE3}"/>
            </c:ext>
          </c:extLst>
        </c:ser>
        <c:ser>
          <c:idx val="1"/>
          <c:order val="1"/>
          <c:tx>
            <c:strRef>
              <c:f>'E-Cargo LA'!$O$56</c:f>
              <c:strCache>
                <c:ptCount val="1"/>
                <c:pt idx="0">
                  <c:v>Energy costs</c:v>
                </c:pt>
              </c:strCache>
            </c:strRef>
          </c:tx>
          <c:spPr>
            <a:solidFill>
              <a:schemeClr val="accent2"/>
            </a:solidFill>
            <a:ln>
              <a:noFill/>
            </a:ln>
            <a:effectLst/>
          </c:spPr>
          <c:invertIfNegative val="0"/>
          <c:val>
            <c:numRef>
              <c:f>'E-Cargo LA'!$P$56</c:f>
              <c:numCache>
                <c:formatCode>_-* #,##0_-;\-* #,##0_-;_-* "-"??_-;_-@_-</c:formatCode>
                <c:ptCount val="1"/>
                <c:pt idx="0">
                  <c:v>1780.209818752684</c:v>
                </c:pt>
              </c:numCache>
            </c:numRef>
          </c:val>
          <c:extLst>
            <c:ext xmlns:c16="http://schemas.microsoft.com/office/drawing/2014/chart" uri="{C3380CC4-5D6E-409C-BE32-E72D297353CC}">
              <c16:uniqueId val="{00000001-E4BA-4568-BA20-2CEBA8CCDFE3}"/>
            </c:ext>
          </c:extLst>
        </c:ser>
        <c:ser>
          <c:idx val="2"/>
          <c:order val="2"/>
          <c:tx>
            <c:strRef>
              <c:f>'E-Cargo LA'!$O$57</c:f>
              <c:strCache>
                <c:ptCount val="1"/>
                <c:pt idx="0">
                  <c:v>Yearly Cost + Taxes</c:v>
                </c:pt>
              </c:strCache>
            </c:strRef>
          </c:tx>
          <c:spPr>
            <a:solidFill>
              <a:schemeClr val="accent3"/>
            </a:solidFill>
            <a:ln>
              <a:noFill/>
            </a:ln>
            <a:effectLst/>
          </c:spPr>
          <c:invertIfNegative val="0"/>
          <c:val>
            <c:numRef>
              <c:f>'E-Cargo LA'!$P$57</c:f>
              <c:numCache>
                <c:formatCode>_-* #,##0_-;\-* #,##0_-;_-* "-"??_-;_-@_-</c:formatCode>
                <c:ptCount val="1"/>
                <c:pt idx="0">
                  <c:v>6605.7293839495096</c:v>
                </c:pt>
              </c:numCache>
            </c:numRef>
          </c:val>
          <c:extLst>
            <c:ext xmlns:c16="http://schemas.microsoft.com/office/drawing/2014/chart" uri="{C3380CC4-5D6E-409C-BE32-E72D297353CC}">
              <c16:uniqueId val="{00000002-E4BA-4568-BA20-2CEBA8CCDFE3}"/>
            </c:ext>
          </c:extLst>
        </c:ser>
        <c:ser>
          <c:idx val="4"/>
          <c:order val="3"/>
          <c:tx>
            <c:strRef>
              <c:f>'E-Cargo LA'!$O$58</c:f>
              <c:strCache>
                <c:ptCount val="1"/>
                <c:pt idx="0">
                  <c:v>Battery costs</c:v>
                </c:pt>
              </c:strCache>
            </c:strRef>
          </c:tx>
          <c:spPr>
            <a:solidFill>
              <a:schemeClr val="accent5"/>
            </a:solidFill>
            <a:ln>
              <a:noFill/>
            </a:ln>
            <a:effectLst/>
          </c:spPr>
          <c:invertIfNegative val="0"/>
          <c:val>
            <c:numRef>
              <c:f>'E-Cargo LA'!$P$58</c:f>
              <c:numCache>
                <c:formatCode>_-* #,##0_-;\-* #,##0_-;_-* "-"??_-;_-@_-</c:formatCode>
                <c:ptCount val="1"/>
                <c:pt idx="0">
                  <c:v>6887.6126216608</c:v>
                </c:pt>
              </c:numCache>
            </c:numRef>
          </c:val>
          <c:extLst>
            <c:ext xmlns:c16="http://schemas.microsoft.com/office/drawing/2014/chart" uri="{C3380CC4-5D6E-409C-BE32-E72D297353CC}">
              <c16:uniqueId val="{00000003-E4BA-4568-BA20-2CEBA8CCDFE3}"/>
            </c:ext>
          </c:extLst>
        </c:ser>
        <c:ser>
          <c:idx val="5"/>
          <c:order val="4"/>
          <c:tx>
            <c:strRef>
              <c:f>'E-Cargo LA'!$O$59</c:f>
              <c:strCache>
                <c:ptCount val="1"/>
                <c:pt idx="0">
                  <c:v>Resale value</c:v>
                </c:pt>
              </c:strCache>
            </c:strRef>
          </c:tx>
          <c:spPr>
            <a:solidFill>
              <a:schemeClr val="accent6"/>
            </a:solidFill>
            <a:ln>
              <a:noFill/>
            </a:ln>
            <a:effectLst/>
          </c:spPr>
          <c:invertIfNegative val="0"/>
          <c:val>
            <c:numRef>
              <c:f>'E-Cargo LA'!$P$59</c:f>
              <c:numCache>
                <c:formatCode>_-* #,##0_-;\-* #,##0_-;_-* "-"??_-;_-@_-</c:formatCode>
                <c:ptCount val="1"/>
                <c:pt idx="0">
                  <c:v>-4600.7853683893936</c:v>
                </c:pt>
              </c:numCache>
            </c:numRef>
          </c:val>
          <c:extLst>
            <c:ext xmlns:c16="http://schemas.microsoft.com/office/drawing/2014/chart" uri="{C3380CC4-5D6E-409C-BE32-E72D297353CC}">
              <c16:uniqueId val="{00000004-E4BA-4568-BA20-2CEBA8CCDFE3}"/>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Electric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manualLayout>
          <c:layoutTarget val="inner"/>
          <c:xMode val="edge"/>
          <c:yMode val="edge"/>
          <c:x val="0.13667786526684161"/>
          <c:y val="0.1299050076454176"/>
          <c:w val="0.83221102362204724"/>
          <c:h val="0.82942978465521655"/>
        </c:manualLayout>
      </c:layout>
      <c:barChart>
        <c:barDir val="col"/>
        <c:grouping val="stacked"/>
        <c:varyColors val="0"/>
        <c:ser>
          <c:idx val="0"/>
          <c:order val="0"/>
          <c:tx>
            <c:strRef>
              <c:f>'E-Cargo LA'!$O$55</c:f>
              <c:strCache>
                <c:ptCount val="1"/>
                <c:pt idx="0">
                  <c:v>Capital costs</c:v>
                </c:pt>
              </c:strCache>
            </c:strRef>
          </c:tx>
          <c:spPr>
            <a:solidFill>
              <a:schemeClr val="accent1"/>
            </a:solidFill>
            <a:ln>
              <a:noFill/>
            </a:ln>
            <a:effectLst/>
          </c:spPr>
          <c:invertIfNegative val="0"/>
          <c:val>
            <c:numRef>
              <c:f>'E-Cargo LA'!$R$55</c:f>
              <c:numCache>
                <c:formatCode>0.00</c:formatCode>
                <c:ptCount val="1"/>
                <c:pt idx="0">
                  <c:v>6.025259020650562E-2</c:v>
                </c:pt>
              </c:numCache>
            </c:numRef>
          </c:val>
          <c:extLst>
            <c:ext xmlns:c16="http://schemas.microsoft.com/office/drawing/2014/chart" uri="{C3380CC4-5D6E-409C-BE32-E72D297353CC}">
              <c16:uniqueId val="{00000000-0055-45BB-9811-2810CC9A5A07}"/>
            </c:ext>
          </c:extLst>
        </c:ser>
        <c:ser>
          <c:idx val="1"/>
          <c:order val="1"/>
          <c:tx>
            <c:strRef>
              <c:f>'E-Cargo LA'!$O$56</c:f>
              <c:strCache>
                <c:ptCount val="1"/>
                <c:pt idx="0">
                  <c:v>Energy costs</c:v>
                </c:pt>
              </c:strCache>
            </c:strRef>
          </c:tx>
          <c:spPr>
            <a:solidFill>
              <a:schemeClr val="accent2"/>
            </a:solidFill>
            <a:ln>
              <a:noFill/>
            </a:ln>
            <a:effectLst/>
          </c:spPr>
          <c:invertIfNegative val="0"/>
          <c:val>
            <c:numRef>
              <c:f>'E-Cargo LA'!$R$56</c:f>
              <c:numCache>
                <c:formatCode>0.00</c:formatCode>
                <c:ptCount val="1"/>
                <c:pt idx="0">
                  <c:v>5.3945752083414669E-3</c:v>
                </c:pt>
              </c:numCache>
            </c:numRef>
          </c:val>
          <c:extLst>
            <c:ext xmlns:c16="http://schemas.microsoft.com/office/drawing/2014/chart" uri="{C3380CC4-5D6E-409C-BE32-E72D297353CC}">
              <c16:uniqueId val="{00000001-0055-45BB-9811-2810CC9A5A07}"/>
            </c:ext>
          </c:extLst>
        </c:ser>
        <c:ser>
          <c:idx val="2"/>
          <c:order val="2"/>
          <c:tx>
            <c:strRef>
              <c:f>'E-Cargo LA'!$O$57</c:f>
              <c:strCache>
                <c:ptCount val="1"/>
                <c:pt idx="0">
                  <c:v>Yearly Cost + Taxes</c:v>
                </c:pt>
              </c:strCache>
            </c:strRef>
          </c:tx>
          <c:spPr>
            <a:solidFill>
              <a:schemeClr val="accent3"/>
            </a:solidFill>
            <a:ln>
              <a:noFill/>
            </a:ln>
            <a:effectLst/>
          </c:spPr>
          <c:invertIfNegative val="0"/>
          <c:val>
            <c:numRef>
              <c:f>'E-Cargo LA'!$R$57</c:f>
              <c:numCache>
                <c:formatCode>0.00</c:formatCode>
                <c:ptCount val="1"/>
                <c:pt idx="0">
                  <c:v>2.0017361769543968E-2</c:v>
                </c:pt>
              </c:numCache>
            </c:numRef>
          </c:val>
          <c:extLst>
            <c:ext xmlns:c16="http://schemas.microsoft.com/office/drawing/2014/chart" uri="{C3380CC4-5D6E-409C-BE32-E72D297353CC}">
              <c16:uniqueId val="{00000002-0055-45BB-9811-2810CC9A5A07}"/>
            </c:ext>
          </c:extLst>
        </c:ser>
        <c:ser>
          <c:idx val="4"/>
          <c:order val="3"/>
          <c:tx>
            <c:strRef>
              <c:f>'E-Cargo LA'!$O$58</c:f>
              <c:strCache>
                <c:ptCount val="1"/>
                <c:pt idx="0">
                  <c:v>Battery costs</c:v>
                </c:pt>
              </c:strCache>
            </c:strRef>
          </c:tx>
          <c:spPr>
            <a:solidFill>
              <a:schemeClr val="accent5"/>
            </a:solidFill>
            <a:ln>
              <a:noFill/>
            </a:ln>
            <a:effectLst/>
          </c:spPr>
          <c:invertIfNegative val="0"/>
          <c:val>
            <c:numRef>
              <c:f>'E-Cargo LA'!$R$58</c:f>
              <c:numCache>
                <c:formatCode>0.00</c:formatCode>
                <c:ptCount val="1"/>
                <c:pt idx="0">
                  <c:v>2.087155339897212E-2</c:v>
                </c:pt>
              </c:numCache>
            </c:numRef>
          </c:val>
          <c:extLst>
            <c:ext xmlns:c16="http://schemas.microsoft.com/office/drawing/2014/chart" uri="{C3380CC4-5D6E-409C-BE32-E72D297353CC}">
              <c16:uniqueId val="{00000003-0055-45BB-9811-2810CC9A5A07}"/>
            </c:ext>
          </c:extLst>
        </c:ser>
        <c:ser>
          <c:idx val="5"/>
          <c:order val="4"/>
          <c:tx>
            <c:strRef>
              <c:f>'E-Cargo LA'!$O$59</c:f>
              <c:strCache>
                <c:ptCount val="1"/>
                <c:pt idx="0">
                  <c:v>Resale value</c:v>
                </c:pt>
              </c:strCache>
            </c:strRef>
          </c:tx>
          <c:spPr>
            <a:solidFill>
              <a:schemeClr val="accent6"/>
            </a:solidFill>
            <a:ln>
              <a:noFill/>
            </a:ln>
            <a:effectLst/>
          </c:spPr>
          <c:invertIfNegative val="0"/>
          <c:val>
            <c:numRef>
              <c:f>'E-Cargo LA'!$R$59</c:f>
              <c:numCache>
                <c:formatCode>0.00</c:formatCode>
                <c:ptCount val="1"/>
                <c:pt idx="0">
                  <c:v>-1.3941773843604222E-2</c:v>
                </c:pt>
              </c:numCache>
            </c:numRef>
          </c:val>
          <c:extLst>
            <c:ext xmlns:c16="http://schemas.microsoft.com/office/drawing/2014/chart" uri="{C3380CC4-5D6E-409C-BE32-E72D297353CC}">
              <c16:uniqueId val="{00000004-0055-45BB-9811-2810CC9A5A07}"/>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(US$/km)</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0.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ICE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'ICE-Cargo LA'!$O$55</c:f>
              <c:strCache>
                <c:ptCount val="1"/>
                <c:pt idx="0">
                  <c:v>Capital costs</c:v>
                </c:pt>
              </c:strCache>
            </c:strRef>
          </c:tx>
          <c:spPr>
            <a:solidFill>
              <a:schemeClr val="accent1"/>
            </a:solidFill>
            <a:ln>
              <a:noFill/>
            </a:ln>
            <a:effectLst/>
          </c:spPr>
          <c:invertIfNegative val="0"/>
          <c:val>
            <c:numRef>
              <c:f>'ICE-Cargo LA'!$P$55</c:f>
              <c:numCache>
                <c:formatCode>_-* #,##0_-;\-* #,##0_-;_-* "-"??_-;_-@_-</c:formatCode>
                <c:ptCount val="1"/>
                <c:pt idx="0">
                  <c:v>4426.4423013669639</c:v>
                </c:pt>
              </c:numCache>
            </c:numRef>
          </c:val>
          <c:extLst>
            <c:ext xmlns:c16="http://schemas.microsoft.com/office/drawing/2014/chart" uri="{C3380CC4-5D6E-409C-BE32-E72D297353CC}">
              <c16:uniqueId val="{00000000-7B62-4988-BD6E-ACC073346D66}"/>
            </c:ext>
          </c:extLst>
        </c:ser>
        <c:ser>
          <c:idx val="1"/>
          <c:order val="1"/>
          <c:tx>
            <c:strRef>
              <c:f>'ICE-Cargo LA'!$O$56</c:f>
              <c:strCache>
                <c:ptCount val="1"/>
                <c:pt idx="0">
                  <c:v>Energy costs</c:v>
                </c:pt>
              </c:strCache>
            </c:strRef>
          </c:tx>
          <c:spPr>
            <a:solidFill>
              <a:schemeClr val="accent2"/>
            </a:solidFill>
            <a:ln>
              <a:noFill/>
            </a:ln>
            <a:effectLst/>
          </c:spPr>
          <c:invertIfNegative val="0"/>
          <c:val>
            <c:numRef>
              <c:f>'ICE-Cargo LA'!$P$56</c:f>
              <c:numCache>
                <c:formatCode>_-* #,##0_-;\-* #,##0_-;_-* "-"??_-;_-@_-</c:formatCode>
                <c:ptCount val="1"/>
                <c:pt idx="0">
                  <c:v>20207.221192650417</c:v>
                </c:pt>
              </c:numCache>
            </c:numRef>
          </c:val>
          <c:extLst>
            <c:ext xmlns:c16="http://schemas.microsoft.com/office/drawing/2014/chart" uri="{C3380CC4-5D6E-409C-BE32-E72D297353CC}">
              <c16:uniqueId val="{00000001-7B62-4988-BD6E-ACC073346D66}"/>
            </c:ext>
          </c:extLst>
        </c:ser>
        <c:ser>
          <c:idx val="2"/>
          <c:order val="2"/>
          <c:tx>
            <c:strRef>
              <c:f>'ICE-Cargo LA'!$O$57</c:f>
              <c:strCache>
                <c:ptCount val="1"/>
                <c:pt idx="0">
                  <c:v>Yearly Cost + Taxes</c:v>
                </c:pt>
              </c:strCache>
            </c:strRef>
          </c:tx>
          <c:spPr>
            <a:solidFill>
              <a:schemeClr val="accent3"/>
            </a:solidFill>
            <a:ln>
              <a:noFill/>
            </a:ln>
            <a:effectLst/>
          </c:spPr>
          <c:invertIfNegative val="0"/>
          <c:dPt>
            <c:idx val="0"/>
            <c:invertIfNegative val="0"/>
            <c:bubble3D val="0"/>
            <c:spPr>
              <a:solidFill>
                <a:schemeClr val="accent3"/>
              </a:solidFill>
              <a:ln>
                <a:noFill/>
              </a:ln>
              <a:effectLst/>
            </c:spPr>
            <c:extLst>
              <c:ext xmlns:c16="http://schemas.microsoft.com/office/drawing/2014/chart" uri="{C3380CC4-5D6E-409C-BE32-E72D297353CC}">
                <c16:uniqueId val="{00000003-7B62-4988-BD6E-ACC073346D66}"/>
              </c:ext>
            </c:extLst>
          </c:dPt>
          <c:val>
            <c:numRef>
              <c:f>'ICE-Cargo LA'!$P$57</c:f>
              <c:numCache>
                <c:formatCode>_-* #,##0_-;\-* #,##0_-;_-* "-"??_-;_-@_-</c:formatCode>
                <c:ptCount val="1"/>
                <c:pt idx="0">
                  <c:v>8422.029563934886</c:v>
                </c:pt>
              </c:numCache>
            </c:numRef>
          </c:val>
          <c:extLst>
            <c:ext xmlns:c16="http://schemas.microsoft.com/office/drawing/2014/chart" uri="{C3380CC4-5D6E-409C-BE32-E72D297353CC}">
              <c16:uniqueId val="{00000004-7B62-4988-BD6E-ACC073346D66}"/>
            </c:ext>
          </c:extLst>
        </c:ser>
        <c:ser>
          <c:idx val="4"/>
          <c:order val="3"/>
          <c:tx>
            <c:strRef>
              <c:f>'ICE-Cargo LA'!$O$58</c:f>
              <c:strCache>
                <c:ptCount val="1"/>
                <c:pt idx="0">
                  <c:v>Resale value</c:v>
                </c:pt>
              </c:strCache>
            </c:strRef>
          </c:tx>
          <c:spPr>
            <a:solidFill>
              <a:schemeClr val="accent5"/>
            </a:solidFill>
            <a:ln>
              <a:noFill/>
            </a:ln>
            <a:effectLst/>
          </c:spPr>
          <c:invertIfNegative val="0"/>
          <c:val>
            <c:numRef>
              <c:f>'ICE-Cargo LA'!$P$58</c:f>
              <c:numCache>
                <c:formatCode>_-* #,##0_-;\-* #,##0_-;_-* "-"??_-;_-@_-</c:formatCode>
                <c:ptCount val="1"/>
                <c:pt idx="0">
                  <c:v>-1462.9673888976561</c:v>
                </c:pt>
              </c:numCache>
            </c:numRef>
          </c:val>
          <c:extLst>
            <c:ext xmlns:c16="http://schemas.microsoft.com/office/drawing/2014/chart" uri="{C3380CC4-5D6E-409C-BE32-E72D297353CC}">
              <c16:uniqueId val="{00000005-7B62-4988-BD6E-ACC073346D66}"/>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ID"/>
              <a:t>ICE buses</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autoTitleDeleted val="0"/>
    <c:plotArea>
      <c:layout/>
      <c:barChart>
        <c:barDir val="col"/>
        <c:grouping val="stacked"/>
        <c:varyColors val="0"/>
        <c:ser>
          <c:idx val="0"/>
          <c:order val="0"/>
          <c:tx>
            <c:strRef>
              <c:f>'ICE-Cargo LA'!$O$55</c:f>
              <c:strCache>
                <c:ptCount val="1"/>
                <c:pt idx="0">
                  <c:v>Capital costs</c:v>
                </c:pt>
              </c:strCache>
            </c:strRef>
          </c:tx>
          <c:spPr>
            <a:solidFill>
              <a:schemeClr val="accent1"/>
            </a:solidFill>
            <a:ln>
              <a:noFill/>
            </a:ln>
            <a:effectLst/>
          </c:spPr>
          <c:invertIfNegative val="0"/>
          <c:val>
            <c:numRef>
              <c:f>'ICE-Cargo LA'!$R$55</c:f>
              <c:numCache>
                <c:formatCode>0.00</c:formatCode>
                <c:ptCount val="1"/>
                <c:pt idx="0">
                  <c:v>1.341346151929383E-2</c:v>
                </c:pt>
              </c:numCache>
            </c:numRef>
          </c:val>
          <c:extLst>
            <c:ext xmlns:c16="http://schemas.microsoft.com/office/drawing/2014/chart" uri="{C3380CC4-5D6E-409C-BE32-E72D297353CC}">
              <c16:uniqueId val="{00000000-7865-4BB5-8DA1-89F2538F3711}"/>
            </c:ext>
          </c:extLst>
        </c:ser>
        <c:ser>
          <c:idx val="1"/>
          <c:order val="1"/>
          <c:tx>
            <c:strRef>
              <c:f>'ICE-Cargo LA'!$O$56</c:f>
              <c:strCache>
                <c:ptCount val="1"/>
                <c:pt idx="0">
                  <c:v>Energy costs</c:v>
                </c:pt>
              </c:strCache>
            </c:strRef>
          </c:tx>
          <c:spPr>
            <a:solidFill>
              <a:schemeClr val="accent2"/>
            </a:solidFill>
            <a:ln>
              <a:noFill/>
            </a:ln>
            <a:effectLst/>
          </c:spPr>
          <c:invertIfNegative val="0"/>
          <c:val>
            <c:numRef>
              <c:f>'ICE-Cargo LA'!$R$56</c:f>
              <c:numCache>
                <c:formatCode>0.00</c:formatCode>
                <c:ptCount val="1"/>
                <c:pt idx="0">
                  <c:v>6.1234003614092175E-2</c:v>
                </c:pt>
              </c:numCache>
            </c:numRef>
          </c:val>
          <c:extLst>
            <c:ext xmlns:c16="http://schemas.microsoft.com/office/drawing/2014/chart" uri="{C3380CC4-5D6E-409C-BE32-E72D297353CC}">
              <c16:uniqueId val="{00000001-7865-4BB5-8DA1-89F2538F3711}"/>
            </c:ext>
          </c:extLst>
        </c:ser>
        <c:ser>
          <c:idx val="2"/>
          <c:order val="2"/>
          <c:tx>
            <c:strRef>
              <c:f>'ICE-Cargo LA'!$O$57</c:f>
              <c:strCache>
                <c:ptCount val="1"/>
                <c:pt idx="0">
                  <c:v>Yearly Cost + Taxes</c:v>
                </c:pt>
              </c:strCache>
            </c:strRef>
          </c:tx>
          <c:spPr>
            <a:solidFill>
              <a:schemeClr val="accent3"/>
            </a:solidFill>
            <a:ln>
              <a:noFill/>
            </a:ln>
            <a:effectLst/>
          </c:spPr>
          <c:invertIfNegative val="0"/>
          <c:val>
            <c:numRef>
              <c:f>'ICE-Cargo LA'!$R$57</c:f>
              <c:numCache>
                <c:formatCode>0.00</c:formatCode>
                <c:ptCount val="1"/>
                <c:pt idx="0">
                  <c:v>2.5521301708893593E-2</c:v>
                </c:pt>
              </c:numCache>
            </c:numRef>
          </c:val>
          <c:extLst>
            <c:ext xmlns:c16="http://schemas.microsoft.com/office/drawing/2014/chart" uri="{C3380CC4-5D6E-409C-BE32-E72D297353CC}">
              <c16:uniqueId val="{00000002-7865-4BB5-8DA1-89F2538F3711}"/>
            </c:ext>
          </c:extLst>
        </c:ser>
        <c:ser>
          <c:idx val="4"/>
          <c:order val="3"/>
          <c:tx>
            <c:strRef>
              <c:f>'ICE-Cargo LA'!$O$58</c:f>
              <c:strCache>
                <c:ptCount val="1"/>
                <c:pt idx="0">
                  <c:v>Resale value</c:v>
                </c:pt>
              </c:strCache>
            </c:strRef>
          </c:tx>
          <c:spPr>
            <a:solidFill>
              <a:schemeClr val="accent5"/>
            </a:solidFill>
            <a:ln>
              <a:noFill/>
            </a:ln>
            <a:effectLst/>
          </c:spPr>
          <c:invertIfNegative val="0"/>
          <c:val>
            <c:numRef>
              <c:f>'ICE-Cargo LA'!$R$58</c:f>
              <c:numCache>
                <c:formatCode>0.00</c:formatCode>
                <c:ptCount val="1"/>
                <c:pt idx="0">
                  <c:v>-4.4332345118110791E-3</c:v>
                </c:pt>
              </c:numCache>
            </c:numRef>
          </c:val>
          <c:extLst>
            <c:ext xmlns:c16="http://schemas.microsoft.com/office/drawing/2014/chart" uri="{C3380CC4-5D6E-409C-BE32-E72D297353CC}">
              <c16:uniqueId val="{00000003-7865-4BB5-8DA1-89F2538F3711}"/>
            </c:ext>
          </c:extLst>
        </c:ser>
        <c:dLbls>
          <c:showLegendKey val="0"/>
          <c:showVal val="0"/>
          <c:showCatName val="0"/>
          <c:showSerName val="0"/>
          <c:showPercent val="0"/>
          <c:showBubbleSize val="0"/>
        </c:dLbls>
        <c:gapWidth val="150"/>
        <c:overlap val="100"/>
        <c:axId val="1465819919"/>
        <c:axId val="1332396991"/>
      </c:barChart>
      <c:catAx>
        <c:axId val="1465819919"/>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332396991"/>
        <c:crosses val="autoZero"/>
        <c:auto val="1"/>
        <c:lblAlgn val="ctr"/>
        <c:lblOffset val="100"/>
        <c:noMultiLvlLbl val="0"/>
      </c:catAx>
      <c:valAx>
        <c:axId val="133239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ID"/>
                  <a:t>TCO (US$/km)</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title>
        <c:numFmt formatCode="0.0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id-ID"/>
          </a:p>
        </c:txPr>
        <c:crossAx val="146581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Times New Roman" panose="02020603050405020304" pitchFamily="18" charset="0"/>
          <a:cs typeface="Times New Roman" panose="02020603050405020304" pitchFamily="18" charset="0"/>
        </a:defRPr>
      </a:pPr>
      <a:endParaRPr lang="id-ID"/>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840" b="1" i="0" u="none" strike="noStrike" kern="1200" spc="0" baseline="0">
                <a:solidFill>
                  <a:sysClr val="windowText" lastClr="000000"/>
                </a:solidFill>
                <a:latin typeface="+mn-lt"/>
                <a:ea typeface="+mn-ea"/>
                <a:cs typeface="+mn-cs"/>
              </a:defRPr>
            </a:pPr>
            <a:r>
              <a:rPr lang="id-ID" b="1"/>
              <a:t>E-bus</a:t>
            </a:r>
          </a:p>
        </c:rich>
      </c:tx>
      <c:layout>
        <c:manualLayout>
          <c:xMode val="edge"/>
          <c:yMode val="edge"/>
          <c:x val="0.12472607919278225"/>
          <c:y val="5.1229508196721313E-2"/>
        </c:manualLayout>
      </c:layout>
      <c:overlay val="1"/>
      <c:spPr>
        <a:noFill/>
        <a:ln>
          <a:noFill/>
        </a:ln>
        <a:effectLst/>
      </c:spPr>
      <c:txPr>
        <a:bodyPr rot="0" spcFirstLastPara="1" vertOverflow="ellipsis" vert="horz" wrap="square" anchor="ctr" anchorCtr="1"/>
        <a:lstStyle/>
        <a:p>
          <a:pPr>
            <a:defRPr sz="840" b="1" i="0" u="none" strike="noStrike" kern="1200" spc="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9.8730055940434117E-2"/>
          <c:y val="6.2613843351548265E-2"/>
          <c:w val="0.83755205515493014"/>
          <c:h val="0.70305023314883552"/>
        </c:manualLayout>
      </c:layout>
      <c:lineChart>
        <c:grouping val="standard"/>
        <c:varyColors val="0"/>
        <c:ser>
          <c:idx val="1"/>
          <c:order val="0"/>
          <c:tx>
            <c:strRef>
              <c:f>Sensitivity!$C$4</c:f>
              <c:strCache>
                <c:ptCount val="1"/>
                <c:pt idx="0">
                  <c:v>Vehicle Price</c:v>
                </c:pt>
              </c:strCache>
            </c:strRef>
          </c:tx>
          <c:spPr>
            <a:ln w="12700" cap="rnd">
              <a:solidFill>
                <a:schemeClr val="accent1">
                  <a:lumMod val="50000"/>
                </a:schemeClr>
              </a:solidFill>
              <a:round/>
            </a:ln>
            <a:effectLst/>
          </c:spPr>
          <c:marker>
            <c:symbol val="circle"/>
            <c:size val="3"/>
            <c:spPr>
              <a:solidFill>
                <a:srgbClr val="002060"/>
              </a:solidFill>
              <a:ln w="9525">
                <a:noFill/>
              </a:ln>
              <a:effectLst/>
            </c:spPr>
          </c:marker>
          <c:cat>
            <c:numRef>
              <c:f>Sensitivity!$B$5:$B$15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Sensitivity!$C$5:$C$15</c:f>
              <c:numCache>
                <c:formatCode>0</c:formatCode>
                <c:ptCount val="11"/>
                <c:pt idx="0">
                  <c:v>-42.515796050628111</c:v>
                </c:pt>
                <c:pt idx="1">
                  <c:v>-34.012636840502509</c:v>
                </c:pt>
                <c:pt idx="2">
                  <c:v>-25.509477630376875</c:v>
                </c:pt>
                <c:pt idx="3">
                  <c:v>-17.00631842025124</c:v>
                </c:pt>
                <c:pt idx="4">
                  <c:v>-8.5031592101256361</c:v>
                </c:pt>
                <c:pt idx="5">
                  <c:v>0</c:v>
                </c:pt>
                <c:pt idx="6">
                  <c:v>8.5031592101256361</c:v>
                </c:pt>
                <c:pt idx="7">
                  <c:v>17.00631842025124</c:v>
                </c:pt>
                <c:pt idx="8">
                  <c:v>25.509477630376875</c:v>
                </c:pt>
                <c:pt idx="9">
                  <c:v>34.012636840502481</c:v>
                </c:pt>
                <c:pt idx="10">
                  <c:v>42.515796050628147</c:v>
                </c:pt>
              </c:numCache>
            </c:numRef>
          </c:val>
          <c:smooth val="0"/>
          <c:extLst>
            <c:ext xmlns:c16="http://schemas.microsoft.com/office/drawing/2014/chart" uri="{C3380CC4-5D6E-409C-BE32-E72D297353CC}">
              <c16:uniqueId val="{00000000-6ED4-42B5-8292-B07810336BB0}"/>
            </c:ext>
          </c:extLst>
        </c:ser>
        <c:ser>
          <c:idx val="2"/>
          <c:order val="1"/>
          <c:tx>
            <c:strRef>
              <c:f>Sensitivity!$D$4</c:f>
              <c:strCache>
                <c:ptCount val="1"/>
                <c:pt idx="0">
                  <c:v>Electricity tarrif</c:v>
                </c:pt>
              </c:strCache>
            </c:strRef>
          </c:tx>
          <c:spPr>
            <a:ln w="12700" cap="rnd">
              <a:solidFill>
                <a:schemeClr val="accent2"/>
              </a:solidFill>
              <a:round/>
            </a:ln>
            <a:effectLst/>
          </c:spPr>
          <c:marker>
            <c:symbol val="circle"/>
            <c:size val="3"/>
            <c:spPr>
              <a:solidFill>
                <a:schemeClr val="accent2"/>
              </a:solidFill>
              <a:ln w="9525">
                <a:noFill/>
              </a:ln>
              <a:effectLst/>
            </c:spPr>
          </c:marker>
          <c:cat>
            <c:numRef>
              <c:f>Sensitivity!$B$5:$B$15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Sensitivity!$D$5:$D$15</c:f>
              <c:numCache>
                <c:formatCode>0</c:formatCode>
                <c:ptCount val="11"/>
                <c:pt idx="0">
                  <c:v>-2.1402868910877673</c:v>
                </c:pt>
                <c:pt idx="1">
                  <c:v>-1.7122295128702236</c:v>
                </c:pt>
                <c:pt idx="2">
                  <c:v>-1.2841721346526636</c:v>
                </c:pt>
                <c:pt idx="3">
                  <c:v>-0.85611475643508783</c:v>
                </c:pt>
                <c:pt idx="4">
                  <c:v>-0.42805737821754392</c:v>
                </c:pt>
                <c:pt idx="5">
                  <c:v>0</c:v>
                </c:pt>
                <c:pt idx="6">
                  <c:v>0.42805737821757572</c:v>
                </c:pt>
                <c:pt idx="7">
                  <c:v>0.85611475643510382</c:v>
                </c:pt>
                <c:pt idx="8">
                  <c:v>1.2841721346526795</c:v>
                </c:pt>
                <c:pt idx="9">
                  <c:v>1.7122295128702552</c:v>
                </c:pt>
                <c:pt idx="10">
                  <c:v>2.1402868910877832</c:v>
                </c:pt>
              </c:numCache>
            </c:numRef>
          </c:val>
          <c:smooth val="0"/>
          <c:extLst>
            <c:ext xmlns:c16="http://schemas.microsoft.com/office/drawing/2014/chart" uri="{C3380CC4-5D6E-409C-BE32-E72D297353CC}">
              <c16:uniqueId val="{00000001-6ED4-42B5-8292-B07810336BB0}"/>
            </c:ext>
          </c:extLst>
        </c:ser>
        <c:ser>
          <c:idx val="3"/>
          <c:order val="2"/>
          <c:tx>
            <c:strRef>
              <c:f>Sensitivity!$E$4</c:f>
              <c:strCache>
                <c:ptCount val="1"/>
                <c:pt idx="0">
                  <c:v>Battery cost</c:v>
                </c:pt>
              </c:strCache>
            </c:strRef>
          </c:tx>
          <c:spPr>
            <a:ln w="12700" cap="rnd">
              <a:solidFill>
                <a:schemeClr val="bg1">
                  <a:lumMod val="50000"/>
                </a:schemeClr>
              </a:solidFill>
              <a:round/>
            </a:ln>
            <a:effectLst/>
          </c:spPr>
          <c:marker>
            <c:symbol val="circle"/>
            <c:size val="3"/>
            <c:spPr>
              <a:solidFill>
                <a:schemeClr val="bg1">
                  <a:lumMod val="50000"/>
                </a:schemeClr>
              </a:solidFill>
              <a:ln w="9525">
                <a:noFill/>
              </a:ln>
              <a:effectLst/>
            </c:spPr>
          </c:marker>
          <c:cat>
            <c:numRef>
              <c:f>Sensitivity!$B$5:$B$15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Sensitivity!$E$5:$E$15</c:f>
              <c:numCache>
                <c:formatCode>0</c:formatCode>
                <c:ptCount val="11"/>
                <c:pt idx="0">
                  <c:v>-4.7451903681266669</c:v>
                </c:pt>
                <c:pt idx="1">
                  <c:v>-3.7961522945013213</c:v>
                </c:pt>
                <c:pt idx="2">
                  <c:v>-2.8471142208759592</c:v>
                </c:pt>
                <c:pt idx="3">
                  <c:v>-1.8980761472506764</c:v>
                </c:pt>
                <c:pt idx="4">
                  <c:v>-0.9490380736253462</c:v>
                </c:pt>
                <c:pt idx="5">
                  <c:v>0</c:v>
                </c:pt>
                <c:pt idx="6">
                  <c:v>0.9490380736253462</c:v>
                </c:pt>
                <c:pt idx="7">
                  <c:v>1.8980761472506447</c:v>
                </c:pt>
                <c:pt idx="8">
                  <c:v>2.8471142208760067</c:v>
                </c:pt>
                <c:pt idx="9">
                  <c:v>3.7961522945012893</c:v>
                </c:pt>
                <c:pt idx="10">
                  <c:v>4.745190368126635</c:v>
                </c:pt>
              </c:numCache>
            </c:numRef>
          </c:val>
          <c:smooth val="0"/>
          <c:extLst>
            <c:ext xmlns:c16="http://schemas.microsoft.com/office/drawing/2014/chart" uri="{C3380CC4-5D6E-409C-BE32-E72D297353CC}">
              <c16:uniqueId val="{00000002-6ED4-42B5-8292-B07810336BB0}"/>
            </c:ext>
          </c:extLst>
        </c:ser>
        <c:ser>
          <c:idx val="4"/>
          <c:order val="3"/>
          <c:tx>
            <c:strRef>
              <c:f>Sensitivity!$F$4</c:f>
              <c:strCache>
                <c:ptCount val="1"/>
                <c:pt idx="0">
                  <c:v>AKT</c:v>
                </c:pt>
              </c:strCache>
            </c:strRef>
          </c:tx>
          <c:spPr>
            <a:ln w="12700" cap="rnd">
              <a:solidFill>
                <a:schemeClr val="accent4"/>
              </a:solidFill>
              <a:round/>
            </a:ln>
            <a:effectLst/>
          </c:spPr>
          <c:marker>
            <c:symbol val="circle"/>
            <c:size val="3"/>
            <c:spPr>
              <a:solidFill>
                <a:schemeClr val="accent4"/>
              </a:solidFill>
              <a:ln w="9525">
                <a:noFill/>
              </a:ln>
              <a:effectLst/>
            </c:spPr>
          </c:marker>
          <c:cat>
            <c:numRef>
              <c:f>Sensitivity!$B$5:$B$15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Sensitivity!$F$5:$F$15</c:f>
              <c:numCache>
                <c:formatCode>0</c:formatCode>
                <c:ptCount val="11"/>
                <c:pt idx="0">
                  <c:v>-17.850375877584423</c:v>
                </c:pt>
                <c:pt idx="1">
                  <c:v>-14.280300702067558</c:v>
                </c:pt>
                <c:pt idx="2">
                  <c:v>-10.710225526550678</c:v>
                </c:pt>
                <c:pt idx="3">
                  <c:v>-7.1401503510337792</c:v>
                </c:pt>
                <c:pt idx="4">
                  <c:v>-3.570075175516882</c:v>
                </c:pt>
                <c:pt idx="5">
                  <c:v>0</c:v>
                </c:pt>
                <c:pt idx="6">
                  <c:v>3.570075175516914</c:v>
                </c:pt>
                <c:pt idx="7">
                  <c:v>7.140150351033796</c:v>
                </c:pt>
                <c:pt idx="8">
                  <c:v>10.710225526550692</c:v>
                </c:pt>
                <c:pt idx="9">
                  <c:v>14.280300702067558</c:v>
                </c:pt>
                <c:pt idx="10">
                  <c:v>17.850375877584472</c:v>
                </c:pt>
              </c:numCache>
            </c:numRef>
          </c:val>
          <c:smooth val="0"/>
          <c:extLst>
            <c:ext xmlns:c16="http://schemas.microsoft.com/office/drawing/2014/chart" uri="{C3380CC4-5D6E-409C-BE32-E72D297353CC}">
              <c16:uniqueId val="{00000003-6ED4-42B5-8292-B07810336BB0}"/>
            </c:ext>
          </c:extLst>
        </c:ser>
        <c:ser>
          <c:idx val="5"/>
          <c:order val="4"/>
          <c:tx>
            <c:strRef>
              <c:f>Sensitivity!$G$4</c:f>
              <c:strCache>
                <c:ptCount val="1"/>
                <c:pt idx="0">
                  <c:v>O&amp;M costs</c:v>
                </c:pt>
              </c:strCache>
            </c:strRef>
          </c:tx>
          <c:spPr>
            <a:ln w="12700" cap="rnd">
              <a:solidFill>
                <a:schemeClr val="accent1"/>
              </a:solidFill>
              <a:round/>
            </a:ln>
            <a:effectLst/>
          </c:spPr>
          <c:marker>
            <c:symbol val="circle"/>
            <c:size val="3"/>
            <c:spPr>
              <a:solidFill>
                <a:schemeClr val="accent1"/>
              </a:solidFill>
              <a:ln w="9525">
                <a:noFill/>
              </a:ln>
              <a:effectLst/>
            </c:spPr>
          </c:marker>
          <c:cat>
            <c:numRef>
              <c:f>Sensitivity!$B$5:$B$15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Sensitivity!$G$5:$G$15</c:f>
              <c:numCache>
                <c:formatCode>0</c:formatCode>
                <c:ptCount val="11"/>
                <c:pt idx="0">
                  <c:v>-15.710088986496643</c:v>
                </c:pt>
                <c:pt idx="1">
                  <c:v>-12.568071189197289</c:v>
                </c:pt>
                <c:pt idx="2">
                  <c:v>-9.4260533918979821</c:v>
                </c:pt>
                <c:pt idx="3">
                  <c:v>-6.2840355945986444</c:v>
                </c:pt>
                <c:pt idx="4">
                  <c:v>-3.1420177972993062</c:v>
                </c:pt>
                <c:pt idx="5">
                  <c:v>0</c:v>
                </c:pt>
                <c:pt idx="6">
                  <c:v>3.1420177972993382</c:v>
                </c:pt>
                <c:pt idx="7">
                  <c:v>6.2840355945986763</c:v>
                </c:pt>
                <c:pt idx="8">
                  <c:v>9.4260533918980141</c:v>
                </c:pt>
                <c:pt idx="9">
                  <c:v>12.568071189197319</c:v>
                </c:pt>
                <c:pt idx="10">
                  <c:v>15.710088986496656</c:v>
                </c:pt>
              </c:numCache>
            </c:numRef>
          </c:val>
          <c:smooth val="0"/>
          <c:extLst>
            <c:ext xmlns:c16="http://schemas.microsoft.com/office/drawing/2014/chart" uri="{C3380CC4-5D6E-409C-BE32-E72D297353CC}">
              <c16:uniqueId val="{00000004-6ED4-42B5-8292-B07810336BB0}"/>
            </c:ext>
          </c:extLst>
        </c:ser>
        <c:ser>
          <c:idx val="0"/>
          <c:order val="5"/>
          <c:tx>
            <c:strRef>
              <c:f>Sensitivity!$H$4</c:f>
              <c:strCache>
                <c:ptCount val="1"/>
                <c:pt idx="0">
                  <c:v>Energy Efficiency</c:v>
                </c:pt>
              </c:strCache>
            </c:strRef>
          </c:tx>
          <c:spPr>
            <a:ln w="12700" cap="rnd">
              <a:solidFill>
                <a:srgbClr val="C00000"/>
              </a:solidFill>
              <a:round/>
            </a:ln>
            <a:effectLst/>
          </c:spPr>
          <c:marker>
            <c:symbol val="circle"/>
            <c:size val="3"/>
            <c:spPr>
              <a:solidFill>
                <a:srgbClr val="C00000"/>
              </a:solidFill>
              <a:ln w="9525">
                <a:noFill/>
              </a:ln>
              <a:effectLst/>
            </c:spPr>
          </c:marker>
          <c:cat>
            <c:numRef>
              <c:f>Sensitivity!$B$5:$B$15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Sensitivity!$H$5:$H$15</c:f>
              <c:numCache>
                <c:formatCode>0</c:formatCode>
                <c:ptCount val="11"/>
                <c:pt idx="0">
                  <c:v>2.1402868910877832</c:v>
                </c:pt>
                <c:pt idx="1">
                  <c:v>1.7122295128702552</c:v>
                </c:pt>
                <c:pt idx="2">
                  <c:v>1.2841721346526795</c:v>
                </c:pt>
                <c:pt idx="3">
                  <c:v>0.85611475643510382</c:v>
                </c:pt>
                <c:pt idx="4">
                  <c:v>0.42805737821757572</c:v>
                </c:pt>
                <c:pt idx="5">
                  <c:v>0</c:v>
                </c:pt>
                <c:pt idx="6">
                  <c:v>-0.42805737821754392</c:v>
                </c:pt>
                <c:pt idx="7">
                  <c:v>-0.85611475643508783</c:v>
                </c:pt>
                <c:pt idx="8">
                  <c:v>-1.2841721346526636</c:v>
                </c:pt>
                <c:pt idx="9">
                  <c:v>-1.7122295128702236</c:v>
                </c:pt>
                <c:pt idx="10">
                  <c:v>-2.1402868910877673</c:v>
                </c:pt>
              </c:numCache>
            </c:numRef>
          </c:val>
          <c:smooth val="0"/>
          <c:extLst>
            <c:ext xmlns:c16="http://schemas.microsoft.com/office/drawing/2014/chart" uri="{C3380CC4-5D6E-409C-BE32-E72D297353CC}">
              <c16:uniqueId val="{00000005-6ED4-42B5-8292-B07810336BB0}"/>
            </c:ext>
          </c:extLst>
        </c:ser>
        <c:dLbls>
          <c:showLegendKey val="0"/>
          <c:showVal val="0"/>
          <c:showCatName val="0"/>
          <c:showSerName val="0"/>
          <c:showPercent val="0"/>
          <c:showBubbleSize val="0"/>
        </c:dLbls>
        <c:marker val="1"/>
        <c:smooth val="0"/>
        <c:axId val="240839615"/>
        <c:axId val="240840095"/>
      </c:lineChart>
      <c:catAx>
        <c:axId val="240839615"/>
        <c:scaling>
          <c:orientation val="minMax"/>
        </c:scaling>
        <c:delete val="0"/>
        <c:axPos val="b"/>
        <c:title>
          <c:tx>
            <c:rich>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∆Parameter (%)</a:t>
                </a:r>
              </a:p>
            </c:rich>
          </c:tx>
          <c:layout>
            <c:manualLayout>
              <c:xMode val="edge"/>
              <c:yMode val="edge"/>
              <c:x val="0.7189275070103599"/>
              <c:y val="0.48419455380295984"/>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General" sourceLinked="1"/>
        <c:majorTickMark val="out"/>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40095"/>
        <c:crossesAt val="0"/>
        <c:auto val="1"/>
        <c:lblAlgn val="ctr"/>
        <c:lblOffset val="100"/>
        <c:tickLblSkip val="1"/>
        <c:noMultiLvlLbl val="0"/>
      </c:catAx>
      <c:valAx>
        <c:axId val="240840095"/>
        <c:scaling>
          <c:orientation val="minMax"/>
        </c:scaling>
        <c:delete val="0"/>
        <c:axPos val="l"/>
        <c:title>
          <c:tx>
            <c:rich>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∆TCO (%)</a:t>
                </a:r>
              </a:p>
            </c:rich>
          </c:tx>
          <c:layout>
            <c:manualLayout>
              <c:xMode val="edge"/>
              <c:yMode val="edge"/>
              <c:x val="0.52798793642239705"/>
              <c:y val="9.6913192249698965E-2"/>
            </c:manualLayout>
          </c:layout>
          <c:overlay val="0"/>
          <c:spPr>
            <a:noFill/>
            <a:ln>
              <a:noFill/>
            </a:ln>
            <a:effectLst/>
          </c:spPr>
          <c:txPr>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39615"/>
        <c:crossesAt val="6"/>
        <c:crossBetween val="midCat"/>
      </c:valAx>
      <c:spPr>
        <a:noFill/>
        <a:ln>
          <a:noFill/>
        </a:ln>
        <a:effectLst/>
      </c:spPr>
    </c:plotArea>
    <c:legend>
      <c:legendPos val="b"/>
      <c:layout>
        <c:manualLayout>
          <c:xMode val="edge"/>
          <c:yMode val="edge"/>
          <c:x val="3.0974890194164904E-2"/>
          <c:y val="0.85037360035678544"/>
          <c:w val="0.93649009886074819"/>
          <c:h val="0.11996325909615031"/>
        </c:manualLayout>
      </c:layout>
      <c:overlay val="1"/>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700">
          <a:solidFill>
            <a:sysClr val="windowText" lastClr="000000"/>
          </a:solidFill>
          <a:latin typeface="+mn-lt"/>
        </a:defRPr>
      </a:pPr>
      <a:endParaRPr lang="id-ID"/>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840" b="1" i="0" u="none" strike="noStrike" kern="1200" spc="0" baseline="0">
                <a:solidFill>
                  <a:sysClr val="windowText" lastClr="000000"/>
                </a:solidFill>
                <a:latin typeface="+mn-lt"/>
                <a:ea typeface="+mn-ea"/>
                <a:cs typeface="+mn-cs"/>
              </a:defRPr>
            </a:pPr>
            <a:r>
              <a:rPr lang="id-ID"/>
              <a:t>E-truck</a:t>
            </a:r>
          </a:p>
        </c:rich>
      </c:tx>
      <c:layout>
        <c:manualLayout>
          <c:xMode val="edge"/>
          <c:yMode val="edge"/>
          <c:x val="0.12472607919278225"/>
          <c:y val="5.1229508196721313E-2"/>
        </c:manualLayout>
      </c:layout>
      <c:overlay val="1"/>
      <c:spPr>
        <a:noFill/>
        <a:ln>
          <a:noFill/>
        </a:ln>
        <a:effectLst/>
      </c:spPr>
      <c:txPr>
        <a:bodyPr rot="0" spcFirstLastPara="1" vertOverflow="ellipsis" vert="horz" wrap="square" anchor="ctr" anchorCtr="1"/>
        <a:lstStyle/>
        <a:p>
          <a:pPr>
            <a:defRPr sz="840" b="1" i="0" u="none" strike="noStrike" kern="1200" spc="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9.8730055940434117E-2"/>
          <c:y val="6.2613843351548265E-2"/>
          <c:w val="0.83755205515493014"/>
          <c:h val="0.70305023314883552"/>
        </c:manualLayout>
      </c:layout>
      <c:lineChart>
        <c:grouping val="standard"/>
        <c:varyColors val="0"/>
        <c:ser>
          <c:idx val="1"/>
          <c:order val="0"/>
          <c:tx>
            <c:strRef>
              <c:f>Sensitivity!$C$19</c:f>
              <c:strCache>
                <c:ptCount val="1"/>
                <c:pt idx="0">
                  <c:v>Vehicle Price</c:v>
                </c:pt>
              </c:strCache>
            </c:strRef>
          </c:tx>
          <c:spPr>
            <a:ln w="12700" cap="rnd">
              <a:solidFill>
                <a:schemeClr val="accent1">
                  <a:lumMod val="50000"/>
                </a:schemeClr>
              </a:solidFill>
              <a:round/>
            </a:ln>
            <a:effectLst/>
          </c:spPr>
          <c:marker>
            <c:symbol val="circle"/>
            <c:size val="3"/>
            <c:spPr>
              <a:solidFill>
                <a:srgbClr val="002060"/>
              </a:solidFill>
              <a:ln w="9525">
                <a:noFill/>
              </a:ln>
              <a:effectLst/>
            </c:spPr>
          </c:marker>
          <c:cat>
            <c:numRef>
              <c:f>Sensitivity!$B$20:$B$30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Sensitivity!$C$20:$C$30</c:f>
              <c:numCache>
                <c:formatCode>0</c:formatCode>
                <c:ptCount val="11"/>
                <c:pt idx="0">
                  <c:v>-40.337904203924943</c:v>
                </c:pt>
                <c:pt idx="1">
                  <c:v>-32.270323363139944</c:v>
                </c:pt>
                <c:pt idx="2">
                  <c:v>-24.202742522354971</c:v>
                </c:pt>
                <c:pt idx="3">
                  <c:v>-16.135161681569972</c:v>
                </c:pt>
                <c:pt idx="4">
                  <c:v>-8.0675808407849789</c:v>
                </c:pt>
                <c:pt idx="5">
                  <c:v>0</c:v>
                </c:pt>
                <c:pt idx="6">
                  <c:v>8.067580840785018</c:v>
                </c:pt>
                <c:pt idx="7">
                  <c:v>16.135161681570018</c:v>
                </c:pt>
                <c:pt idx="8">
                  <c:v>24.20274252235496</c:v>
                </c:pt>
                <c:pt idx="9">
                  <c:v>32.27032336313998</c:v>
                </c:pt>
                <c:pt idx="10">
                  <c:v>40.337904203924978</c:v>
                </c:pt>
              </c:numCache>
            </c:numRef>
          </c:val>
          <c:smooth val="0"/>
          <c:extLst>
            <c:ext xmlns:c16="http://schemas.microsoft.com/office/drawing/2014/chart" uri="{C3380CC4-5D6E-409C-BE32-E72D297353CC}">
              <c16:uniqueId val="{00000000-8795-47E4-8DAE-7AA6B2C31C60}"/>
            </c:ext>
          </c:extLst>
        </c:ser>
        <c:ser>
          <c:idx val="2"/>
          <c:order val="1"/>
          <c:tx>
            <c:strRef>
              <c:f>Sensitivity!$D$19</c:f>
              <c:strCache>
                <c:ptCount val="1"/>
                <c:pt idx="0">
                  <c:v>Electricity tarrif</c:v>
                </c:pt>
              </c:strCache>
            </c:strRef>
          </c:tx>
          <c:spPr>
            <a:ln w="12700" cap="rnd">
              <a:solidFill>
                <a:schemeClr val="accent2"/>
              </a:solidFill>
              <a:round/>
            </a:ln>
            <a:effectLst/>
          </c:spPr>
          <c:marker>
            <c:symbol val="circle"/>
            <c:size val="3"/>
            <c:spPr>
              <a:solidFill>
                <a:schemeClr val="accent2"/>
              </a:solidFill>
              <a:ln w="9525">
                <a:noFill/>
              </a:ln>
              <a:effectLst/>
            </c:spPr>
          </c:marker>
          <c:cat>
            <c:numRef>
              <c:f>Sensitivity!$B$20:$B$30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Sensitivity!$D$20:$D$30</c:f>
              <c:numCache>
                <c:formatCode>0</c:formatCode>
                <c:ptCount val="11"/>
                <c:pt idx="0">
                  <c:v>-1.5032038948021391</c:v>
                </c:pt>
                <c:pt idx="1">
                  <c:v>-1.2025631158417152</c:v>
                </c:pt>
                <c:pt idx="2">
                  <c:v>-0.90192233688127232</c:v>
                </c:pt>
                <c:pt idx="3">
                  <c:v>-0.60128155792088556</c:v>
                </c:pt>
                <c:pt idx="4">
                  <c:v>-0.30064077896042407</c:v>
                </c:pt>
                <c:pt idx="5">
                  <c:v>0</c:v>
                </c:pt>
                <c:pt idx="6">
                  <c:v>0.30064077896046149</c:v>
                </c:pt>
                <c:pt idx="7">
                  <c:v>0.6012815579208669</c:v>
                </c:pt>
                <c:pt idx="8">
                  <c:v>0.90192233688132839</c:v>
                </c:pt>
                <c:pt idx="9">
                  <c:v>1.2025631158417525</c:v>
                </c:pt>
                <c:pt idx="10">
                  <c:v>1.5032038948021953</c:v>
                </c:pt>
              </c:numCache>
            </c:numRef>
          </c:val>
          <c:smooth val="0"/>
          <c:extLst>
            <c:ext xmlns:c16="http://schemas.microsoft.com/office/drawing/2014/chart" uri="{C3380CC4-5D6E-409C-BE32-E72D297353CC}">
              <c16:uniqueId val="{00000001-8795-47E4-8DAE-7AA6B2C31C60}"/>
            </c:ext>
          </c:extLst>
        </c:ser>
        <c:ser>
          <c:idx val="3"/>
          <c:order val="2"/>
          <c:tx>
            <c:strRef>
              <c:f>Sensitivity!$E$19</c:f>
              <c:strCache>
                <c:ptCount val="1"/>
                <c:pt idx="0">
                  <c:v>Battery cost</c:v>
                </c:pt>
              </c:strCache>
            </c:strRef>
          </c:tx>
          <c:spPr>
            <a:ln w="12700" cap="rnd">
              <a:solidFill>
                <a:schemeClr val="bg1">
                  <a:lumMod val="50000"/>
                </a:schemeClr>
              </a:solidFill>
              <a:round/>
            </a:ln>
            <a:effectLst/>
          </c:spPr>
          <c:marker>
            <c:symbol val="circle"/>
            <c:size val="3"/>
            <c:spPr>
              <a:solidFill>
                <a:schemeClr val="bg1">
                  <a:lumMod val="50000"/>
                </a:schemeClr>
              </a:solidFill>
              <a:ln w="9525">
                <a:noFill/>
              </a:ln>
              <a:effectLst/>
            </c:spPr>
          </c:marker>
          <c:cat>
            <c:numRef>
              <c:f>Sensitivity!$B$20:$B$30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Sensitivity!$E$20:$E$30</c:f>
              <c:numCache>
                <c:formatCode>0</c:formatCode>
                <c:ptCount val="11"/>
                <c:pt idx="0">
                  <c:v>-5.5968563486650789</c:v>
                </c:pt>
                <c:pt idx="1">
                  <c:v>-4.4774850789320748</c:v>
                </c:pt>
                <c:pt idx="2">
                  <c:v>-3.3581138091990508</c:v>
                </c:pt>
                <c:pt idx="3">
                  <c:v>-2.2387425394660281</c:v>
                </c:pt>
                <c:pt idx="4">
                  <c:v>-1.1193712697330045</c:v>
                </c:pt>
                <c:pt idx="5">
                  <c:v>0</c:v>
                </c:pt>
                <c:pt idx="6">
                  <c:v>1.1193712697330234</c:v>
                </c:pt>
                <c:pt idx="7">
                  <c:v>2.2387425394660649</c:v>
                </c:pt>
                <c:pt idx="8">
                  <c:v>3.3581138091990885</c:v>
                </c:pt>
                <c:pt idx="9">
                  <c:v>4.4774850789320935</c:v>
                </c:pt>
                <c:pt idx="10">
                  <c:v>5.5968563486651535</c:v>
                </c:pt>
              </c:numCache>
            </c:numRef>
          </c:val>
          <c:smooth val="0"/>
          <c:extLst>
            <c:ext xmlns:c16="http://schemas.microsoft.com/office/drawing/2014/chart" uri="{C3380CC4-5D6E-409C-BE32-E72D297353CC}">
              <c16:uniqueId val="{00000002-8795-47E4-8DAE-7AA6B2C31C60}"/>
            </c:ext>
          </c:extLst>
        </c:ser>
        <c:ser>
          <c:idx val="4"/>
          <c:order val="3"/>
          <c:tx>
            <c:strRef>
              <c:f>Sensitivity!$F$19</c:f>
              <c:strCache>
                <c:ptCount val="1"/>
                <c:pt idx="0">
                  <c:v>AKT</c:v>
                </c:pt>
              </c:strCache>
            </c:strRef>
          </c:tx>
          <c:spPr>
            <a:ln w="12700" cap="rnd">
              <a:solidFill>
                <a:schemeClr val="accent4"/>
              </a:solidFill>
              <a:round/>
            </a:ln>
            <a:effectLst/>
          </c:spPr>
          <c:marker>
            <c:symbol val="circle"/>
            <c:size val="3"/>
            <c:spPr>
              <a:solidFill>
                <a:schemeClr val="accent4"/>
              </a:solidFill>
              <a:ln w="9525">
                <a:noFill/>
              </a:ln>
              <a:effectLst/>
            </c:spPr>
          </c:marker>
          <c:cat>
            <c:numRef>
              <c:f>Sensitivity!$B$20:$B$30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Sensitivity!$F$20:$F$30</c:f>
              <c:numCache>
                <c:formatCode>0</c:formatCode>
                <c:ptCount val="11"/>
                <c:pt idx="0">
                  <c:v>-27.353896278357588</c:v>
                </c:pt>
                <c:pt idx="1">
                  <c:v>-17.612464347470137</c:v>
                </c:pt>
                <c:pt idx="2">
                  <c:v>-15.021633858268638</c:v>
                </c:pt>
                <c:pt idx="3">
                  <c:v>-12.416987839217946</c:v>
                </c:pt>
                <c:pt idx="4">
                  <c:v>-9.7979322225345591</c:v>
                </c:pt>
                <c:pt idx="5">
                  <c:v>0</c:v>
                </c:pt>
                <c:pt idx="6">
                  <c:v>2.2695390973598051</c:v>
                </c:pt>
                <c:pt idx="7">
                  <c:v>5.5486362205983246</c:v>
                </c:pt>
                <c:pt idx="8">
                  <c:v>7.8181753179581301</c:v>
                </c:pt>
                <c:pt idx="9">
                  <c:v>10.087714415317899</c:v>
                </c:pt>
                <c:pt idx="10">
                  <c:v>20.91034049467876</c:v>
                </c:pt>
              </c:numCache>
            </c:numRef>
          </c:val>
          <c:smooth val="0"/>
          <c:extLst>
            <c:ext xmlns:c16="http://schemas.microsoft.com/office/drawing/2014/chart" uri="{C3380CC4-5D6E-409C-BE32-E72D297353CC}">
              <c16:uniqueId val="{00000003-8795-47E4-8DAE-7AA6B2C31C60}"/>
            </c:ext>
          </c:extLst>
        </c:ser>
        <c:ser>
          <c:idx val="5"/>
          <c:order val="4"/>
          <c:tx>
            <c:strRef>
              <c:f>Sensitivity!$G$19</c:f>
              <c:strCache>
                <c:ptCount val="1"/>
                <c:pt idx="0">
                  <c:v>O&amp;M costs</c:v>
                </c:pt>
              </c:strCache>
            </c:strRef>
          </c:tx>
          <c:spPr>
            <a:ln w="12700" cap="rnd">
              <a:solidFill>
                <a:schemeClr val="accent1"/>
              </a:solidFill>
              <a:round/>
            </a:ln>
            <a:effectLst/>
          </c:spPr>
          <c:marker>
            <c:symbol val="circle"/>
            <c:size val="3"/>
            <c:spPr>
              <a:solidFill>
                <a:schemeClr val="accent1"/>
              </a:solidFill>
              <a:ln w="9525">
                <a:noFill/>
              </a:ln>
              <a:effectLst/>
            </c:spPr>
          </c:marker>
          <c:cat>
            <c:numRef>
              <c:f>Sensitivity!$B$20:$B$30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Sensitivity!$G$20:$G$30</c:f>
              <c:numCache>
                <c:formatCode>0</c:formatCode>
                <c:ptCount val="11"/>
                <c:pt idx="0">
                  <c:v>-9.8444915919967553</c:v>
                </c:pt>
                <c:pt idx="1">
                  <c:v>-7.8755932735974117</c:v>
                </c:pt>
                <c:pt idx="2">
                  <c:v>-5.9066949551980308</c:v>
                </c:pt>
                <c:pt idx="3">
                  <c:v>-3.9377966367986872</c:v>
                </c:pt>
                <c:pt idx="4">
                  <c:v>-1.9688983183993436</c:v>
                </c:pt>
                <c:pt idx="5">
                  <c:v>0</c:v>
                </c:pt>
                <c:pt idx="6">
                  <c:v>1.9688983183993622</c:v>
                </c:pt>
                <c:pt idx="7">
                  <c:v>3.9377966367987245</c:v>
                </c:pt>
                <c:pt idx="8">
                  <c:v>5.9066949551980681</c:v>
                </c:pt>
                <c:pt idx="9">
                  <c:v>7.8755932735974685</c:v>
                </c:pt>
                <c:pt idx="10">
                  <c:v>9.844491591996773</c:v>
                </c:pt>
              </c:numCache>
            </c:numRef>
          </c:val>
          <c:smooth val="0"/>
          <c:extLst>
            <c:ext xmlns:c16="http://schemas.microsoft.com/office/drawing/2014/chart" uri="{C3380CC4-5D6E-409C-BE32-E72D297353CC}">
              <c16:uniqueId val="{00000004-8795-47E4-8DAE-7AA6B2C31C60}"/>
            </c:ext>
          </c:extLst>
        </c:ser>
        <c:ser>
          <c:idx val="0"/>
          <c:order val="5"/>
          <c:tx>
            <c:strRef>
              <c:f>Sensitivity!$H$19</c:f>
              <c:strCache>
                <c:ptCount val="1"/>
                <c:pt idx="0">
                  <c:v>Energy Efficiency</c:v>
                </c:pt>
              </c:strCache>
            </c:strRef>
          </c:tx>
          <c:spPr>
            <a:ln w="12700" cap="rnd">
              <a:solidFill>
                <a:srgbClr val="C00000"/>
              </a:solidFill>
              <a:round/>
            </a:ln>
            <a:effectLst/>
          </c:spPr>
          <c:marker>
            <c:symbol val="circle"/>
            <c:size val="3"/>
            <c:spPr>
              <a:solidFill>
                <a:srgbClr val="C00000"/>
              </a:solidFill>
              <a:ln w="9525">
                <a:noFill/>
              </a:ln>
              <a:effectLst/>
            </c:spPr>
          </c:marker>
          <c:cat>
            <c:numRef>
              <c:f>Sensitivity!$B$20:$B$30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Sensitivity!$H$20:$H$30</c:f>
              <c:numCache>
                <c:formatCode>0</c:formatCode>
                <c:ptCount val="11"/>
                <c:pt idx="0">
                  <c:v>1.5032038948021953</c:v>
                </c:pt>
                <c:pt idx="1">
                  <c:v>1.2025631158417525</c:v>
                </c:pt>
                <c:pt idx="2">
                  <c:v>0.90192233688132839</c:v>
                </c:pt>
                <c:pt idx="3">
                  <c:v>0.6012815579208669</c:v>
                </c:pt>
                <c:pt idx="4">
                  <c:v>0.30064077896046149</c:v>
                </c:pt>
                <c:pt idx="5">
                  <c:v>0</c:v>
                </c:pt>
                <c:pt idx="6">
                  <c:v>-0.30064077896042407</c:v>
                </c:pt>
                <c:pt idx="7">
                  <c:v>-0.60128155792088556</c:v>
                </c:pt>
                <c:pt idx="8">
                  <c:v>-0.90192233688127232</c:v>
                </c:pt>
                <c:pt idx="9">
                  <c:v>-1.2025631158417152</c:v>
                </c:pt>
                <c:pt idx="10">
                  <c:v>-1.5032038948021391</c:v>
                </c:pt>
              </c:numCache>
            </c:numRef>
          </c:val>
          <c:smooth val="0"/>
          <c:extLst>
            <c:ext xmlns:c16="http://schemas.microsoft.com/office/drawing/2014/chart" uri="{C3380CC4-5D6E-409C-BE32-E72D297353CC}">
              <c16:uniqueId val="{00000005-8795-47E4-8DAE-7AA6B2C31C60}"/>
            </c:ext>
          </c:extLst>
        </c:ser>
        <c:dLbls>
          <c:showLegendKey val="0"/>
          <c:showVal val="0"/>
          <c:showCatName val="0"/>
          <c:showSerName val="0"/>
          <c:showPercent val="0"/>
          <c:showBubbleSize val="0"/>
        </c:dLbls>
        <c:marker val="1"/>
        <c:smooth val="0"/>
        <c:axId val="240839615"/>
        <c:axId val="240840095"/>
      </c:lineChart>
      <c:catAx>
        <c:axId val="240839615"/>
        <c:scaling>
          <c:orientation val="minMax"/>
        </c:scaling>
        <c:delete val="0"/>
        <c:axPos val="b"/>
        <c:title>
          <c:tx>
            <c:rich>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∆Parameter (%)</a:t>
                </a:r>
              </a:p>
            </c:rich>
          </c:tx>
          <c:layout>
            <c:manualLayout>
              <c:xMode val="edge"/>
              <c:yMode val="edge"/>
              <c:x val="0.72575371243996611"/>
              <c:y val="0.4853482810763412"/>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General" sourceLinked="1"/>
        <c:majorTickMark val="out"/>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40095"/>
        <c:crossesAt val="0"/>
        <c:auto val="1"/>
        <c:lblAlgn val="ctr"/>
        <c:lblOffset val="100"/>
        <c:tickLblSkip val="1"/>
        <c:noMultiLvlLbl val="0"/>
      </c:catAx>
      <c:valAx>
        <c:axId val="240840095"/>
        <c:scaling>
          <c:orientation val="minMax"/>
        </c:scaling>
        <c:delete val="0"/>
        <c:axPos val="l"/>
        <c:title>
          <c:tx>
            <c:rich>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∆TCO (%)</a:t>
                </a:r>
              </a:p>
            </c:rich>
          </c:tx>
          <c:layout>
            <c:manualLayout>
              <c:xMode val="edge"/>
              <c:yMode val="edge"/>
              <c:x val="0.52537078366796508"/>
              <c:y val="6.825592113485815E-2"/>
            </c:manualLayout>
          </c:layout>
          <c:overlay val="0"/>
          <c:spPr>
            <a:noFill/>
            <a:ln>
              <a:noFill/>
            </a:ln>
            <a:effectLst/>
          </c:spPr>
          <c:txPr>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39615"/>
        <c:crossesAt val="6"/>
        <c:crossBetween val="midCat"/>
      </c:valAx>
      <c:spPr>
        <a:noFill/>
        <a:ln>
          <a:noFill/>
        </a:ln>
        <a:effectLst/>
      </c:spPr>
    </c:plotArea>
    <c:legend>
      <c:legendPos val="b"/>
      <c:layout>
        <c:manualLayout>
          <c:xMode val="edge"/>
          <c:yMode val="edge"/>
          <c:x val="3.0974890194164904E-2"/>
          <c:y val="0.84045314648168978"/>
          <c:w val="0.93649009886074819"/>
          <c:h val="0.12988376452943382"/>
        </c:manualLayout>
      </c:layout>
      <c:overlay val="1"/>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700">
          <a:solidFill>
            <a:sysClr val="windowText" lastClr="000000"/>
          </a:solidFill>
          <a:latin typeface="+mn-lt"/>
        </a:defRPr>
      </a:pPr>
      <a:endParaRPr lang="id-ID"/>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840" b="1" i="0" u="none" strike="noStrike" kern="1200" spc="0" baseline="0">
                <a:solidFill>
                  <a:sysClr val="windowText" lastClr="000000"/>
                </a:solidFill>
                <a:latin typeface="+mn-lt"/>
                <a:ea typeface="+mn-ea"/>
                <a:cs typeface="+mn-cs"/>
              </a:defRPr>
            </a:pPr>
            <a:r>
              <a:rPr lang="id-ID"/>
              <a:t>E-</a:t>
            </a:r>
            <a:r>
              <a:rPr lang="en-US"/>
              <a:t>van</a:t>
            </a:r>
            <a:endParaRPr lang="id-ID"/>
          </a:p>
        </c:rich>
      </c:tx>
      <c:layout>
        <c:manualLayout>
          <c:xMode val="edge"/>
          <c:yMode val="edge"/>
          <c:x val="0.12472607919278225"/>
          <c:y val="5.1229508196721313E-2"/>
        </c:manualLayout>
      </c:layout>
      <c:overlay val="1"/>
      <c:spPr>
        <a:noFill/>
        <a:ln>
          <a:noFill/>
        </a:ln>
        <a:effectLst/>
      </c:spPr>
      <c:txPr>
        <a:bodyPr rot="0" spcFirstLastPara="1" vertOverflow="ellipsis" vert="horz" wrap="square" anchor="ctr" anchorCtr="1"/>
        <a:lstStyle/>
        <a:p>
          <a:pPr>
            <a:defRPr sz="840" b="1" i="0" u="none" strike="noStrike" kern="1200" spc="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9.8730055940434117E-2"/>
          <c:y val="6.2613843351548265E-2"/>
          <c:w val="0.83755205515493014"/>
          <c:h val="0.70305023314883552"/>
        </c:manualLayout>
      </c:layout>
      <c:lineChart>
        <c:grouping val="standard"/>
        <c:varyColors val="0"/>
        <c:ser>
          <c:idx val="1"/>
          <c:order val="0"/>
          <c:tx>
            <c:strRef>
              <c:f>Sensitivity!$C$34</c:f>
              <c:strCache>
                <c:ptCount val="1"/>
                <c:pt idx="0">
                  <c:v>Vehicle Price</c:v>
                </c:pt>
              </c:strCache>
            </c:strRef>
          </c:tx>
          <c:spPr>
            <a:ln w="12700" cap="rnd">
              <a:solidFill>
                <a:schemeClr val="accent1">
                  <a:lumMod val="50000"/>
                </a:schemeClr>
              </a:solidFill>
              <a:round/>
            </a:ln>
            <a:effectLst/>
          </c:spPr>
          <c:marker>
            <c:symbol val="circle"/>
            <c:size val="3"/>
            <c:spPr>
              <a:solidFill>
                <a:srgbClr val="002060"/>
              </a:solidFill>
              <a:ln w="9525">
                <a:noFill/>
              </a:ln>
              <a:effectLst/>
            </c:spPr>
          </c:marker>
          <c:cat>
            <c:numRef>
              <c:f>Sensitivity!$B$35:$B$45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Sensitivity!$C$35:$C$45</c:f>
              <c:numCache>
                <c:formatCode>0</c:formatCode>
                <c:ptCount val="11"/>
                <c:pt idx="0">
                  <c:v>-32.535796383166755</c:v>
                </c:pt>
                <c:pt idx="1">
                  <c:v>-26.028637106533392</c:v>
                </c:pt>
                <c:pt idx="2">
                  <c:v>-19.521477829900032</c:v>
                </c:pt>
                <c:pt idx="3">
                  <c:v>-13.014318553266696</c:v>
                </c:pt>
                <c:pt idx="4">
                  <c:v>-6.5071592766333355</c:v>
                </c:pt>
                <c:pt idx="5">
                  <c:v>0</c:v>
                </c:pt>
                <c:pt idx="6">
                  <c:v>6.5071592766333595</c:v>
                </c:pt>
                <c:pt idx="7">
                  <c:v>13.014318553266696</c:v>
                </c:pt>
                <c:pt idx="8">
                  <c:v>19.521477829900032</c:v>
                </c:pt>
                <c:pt idx="9">
                  <c:v>26.028637106533392</c:v>
                </c:pt>
                <c:pt idx="10">
                  <c:v>32.535796383166726</c:v>
                </c:pt>
              </c:numCache>
            </c:numRef>
          </c:val>
          <c:smooth val="0"/>
          <c:extLst>
            <c:ext xmlns:c16="http://schemas.microsoft.com/office/drawing/2014/chart" uri="{C3380CC4-5D6E-409C-BE32-E72D297353CC}">
              <c16:uniqueId val="{00000000-8AAD-4EB8-9C5E-E6C6F6A91D4B}"/>
            </c:ext>
          </c:extLst>
        </c:ser>
        <c:ser>
          <c:idx val="2"/>
          <c:order val="1"/>
          <c:tx>
            <c:strRef>
              <c:f>Sensitivity!$D$34</c:f>
              <c:strCache>
                <c:ptCount val="1"/>
                <c:pt idx="0">
                  <c:v>Electricity tarrif</c:v>
                </c:pt>
              </c:strCache>
            </c:strRef>
          </c:tx>
          <c:spPr>
            <a:ln w="12700" cap="rnd">
              <a:solidFill>
                <a:schemeClr val="accent2"/>
              </a:solidFill>
              <a:round/>
            </a:ln>
            <a:effectLst/>
          </c:spPr>
          <c:marker>
            <c:symbol val="circle"/>
            <c:size val="3"/>
            <c:spPr>
              <a:solidFill>
                <a:schemeClr val="accent2"/>
              </a:solidFill>
              <a:ln w="9525">
                <a:noFill/>
              </a:ln>
              <a:effectLst/>
            </c:spPr>
          </c:marker>
          <c:cat>
            <c:numRef>
              <c:f>Sensitivity!$B$35:$B$45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Sensitivity!$D$35:$D$45</c:f>
              <c:numCache>
                <c:formatCode>0</c:formatCode>
                <c:ptCount val="11"/>
                <c:pt idx="0">
                  <c:v>-2.9130166844399956</c:v>
                </c:pt>
                <c:pt idx="1">
                  <c:v>-2.330413347552013</c:v>
                </c:pt>
                <c:pt idx="2">
                  <c:v>-1.7478100106640069</c:v>
                </c:pt>
                <c:pt idx="3">
                  <c:v>-1.1652066737760007</c:v>
                </c:pt>
                <c:pt idx="4">
                  <c:v>-0.58260333688800625</c:v>
                </c:pt>
                <c:pt idx="5">
                  <c:v>0</c:v>
                </c:pt>
                <c:pt idx="6">
                  <c:v>0.58260333688800625</c:v>
                </c:pt>
                <c:pt idx="7">
                  <c:v>1.1652066737759887</c:v>
                </c:pt>
                <c:pt idx="8">
                  <c:v>1.7478100106639711</c:v>
                </c:pt>
                <c:pt idx="9">
                  <c:v>2.3304133475519775</c:v>
                </c:pt>
                <c:pt idx="10">
                  <c:v>2.9130166844400076</c:v>
                </c:pt>
              </c:numCache>
            </c:numRef>
          </c:val>
          <c:smooth val="0"/>
          <c:extLst>
            <c:ext xmlns:c16="http://schemas.microsoft.com/office/drawing/2014/chart" uri="{C3380CC4-5D6E-409C-BE32-E72D297353CC}">
              <c16:uniqueId val="{00000001-8AAD-4EB8-9C5E-E6C6F6A91D4B}"/>
            </c:ext>
          </c:extLst>
        </c:ser>
        <c:ser>
          <c:idx val="3"/>
          <c:order val="2"/>
          <c:tx>
            <c:strRef>
              <c:f>Sensitivity!$E$34</c:f>
              <c:strCache>
                <c:ptCount val="1"/>
                <c:pt idx="0">
                  <c:v>Battery cost</c:v>
                </c:pt>
              </c:strCache>
            </c:strRef>
          </c:tx>
          <c:spPr>
            <a:ln w="12700" cap="rnd">
              <a:solidFill>
                <a:schemeClr val="bg1">
                  <a:lumMod val="50000"/>
                </a:schemeClr>
              </a:solidFill>
              <a:round/>
            </a:ln>
            <a:effectLst/>
          </c:spPr>
          <c:marker>
            <c:symbol val="circle"/>
            <c:size val="3"/>
            <c:spPr>
              <a:solidFill>
                <a:schemeClr val="bg1">
                  <a:lumMod val="50000"/>
                </a:schemeClr>
              </a:solidFill>
              <a:ln w="9525">
                <a:noFill/>
              </a:ln>
              <a:effectLst/>
            </c:spPr>
          </c:marker>
          <c:cat>
            <c:numRef>
              <c:f>Sensitivity!$B$35:$B$45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Sensitivity!$E$35:$E$45</c:f>
              <c:numCache>
                <c:formatCode>0</c:formatCode>
                <c:ptCount val="11"/>
                <c:pt idx="0">
                  <c:v>-7.4010802828268192</c:v>
                </c:pt>
                <c:pt idx="1">
                  <c:v>-5.9208642262614619</c:v>
                </c:pt>
                <c:pt idx="2">
                  <c:v>-4.4406481696960824</c:v>
                </c:pt>
                <c:pt idx="3">
                  <c:v>-2.9604321131307252</c:v>
                </c:pt>
                <c:pt idx="4">
                  <c:v>-1.4802160565653686</c:v>
                </c:pt>
                <c:pt idx="5">
                  <c:v>0</c:v>
                </c:pt>
                <c:pt idx="6">
                  <c:v>1.4802160565653448</c:v>
                </c:pt>
                <c:pt idx="7">
                  <c:v>2.9604321131307372</c:v>
                </c:pt>
                <c:pt idx="8">
                  <c:v>4.44064816969607</c:v>
                </c:pt>
                <c:pt idx="9">
                  <c:v>5.9208642262614504</c:v>
                </c:pt>
                <c:pt idx="10">
                  <c:v>7.4010802828267952</c:v>
                </c:pt>
              </c:numCache>
            </c:numRef>
          </c:val>
          <c:smooth val="0"/>
          <c:extLst>
            <c:ext xmlns:c16="http://schemas.microsoft.com/office/drawing/2014/chart" uri="{C3380CC4-5D6E-409C-BE32-E72D297353CC}">
              <c16:uniqueId val="{00000002-8AAD-4EB8-9C5E-E6C6F6A91D4B}"/>
            </c:ext>
          </c:extLst>
        </c:ser>
        <c:ser>
          <c:idx val="4"/>
          <c:order val="3"/>
          <c:tx>
            <c:strRef>
              <c:f>Sensitivity!$F$34</c:f>
              <c:strCache>
                <c:ptCount val="1"/>
                <c:pt idx="0">
                  <c:v>AKT</c:v>
                </c:pt>
              </c:strCache>
            </c:strRef>
          </c:tx>
          <c:spPr>
            <a:ln w="12700" cap="rnd">
              <a:solidFill>
                <a:schemeClr val="accent4"/>
              </a:solidFill>
              <a:round/>
            </a:ln>
            <a:effectLst/>
          </c:spPr>
          <c:marker>
            <c:symbol val="circle"/>
            <c:size val="3"/>
            <c:spPr>
              <a:solidFill>
                <a:schemeClr val="accent4"/>
              </a:solidFill>
              <a:ln w="9525">
                <a:noFill/>
              </a:ln>
              <a:effectLst/>
            </c:spPr>
          </c:marker>
          <c:cat>
            <c:numRef>
              <c:f>Sensitivity!$B$35:$B$45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Sensitivity!$F$35:$F$45</c:f>
              <c:numCache>
                <c:formatCode>0</c:formatCode>
                <c:ptCount val="11"/>
                <c:pt idx="0">
                  <c:v>-26.278123749610355</c:v>
                </c:pt>
                <c:pt idx="1">
                  <c:v>-23.121727486889291</c:v>
                </c:pt>
                <c:pt idx="2">
                  <c:v>-19.484874071485869</c:v>
                </c:pt>
                <c:pt idx="3">
                  <c:v>-16.753341917662041</c:v>
                </c:pt>
                <c:pt idx="4">
                  <c:v>-4.0665351509049454</c:v>
                </c:pt>
                <c:pt idx="5">
                  <c:v>0</c:v>
                </c:pt>
                <c:pt idx="6">
                  <c:v>2.7315321538238284</c:v>
                </c:pt>
                <c:pt idx="7">
                  <c:v>5.4630643076476328</c:v>
                </c:pt>
                <c:pt idx="8">
                  <c:v>19.504889146558632</c:v>
                </c:pt>
                <c:pt idx="9">
                  <c:v>22.236421300382446</c:v>
                </c:pt>
                <c:pt idx="10">
                  <c:v>24.967953454206313</c:v>
                </c:pt>
              </c:numCache>
            </c:numRef>
          </c:val>
          <c:smooth val="0"/>
          <c:extLst>
            <c:ext xmlns:c16="http://schemas.microsoft.com/office/drawing/2014/chart" uri="{C3380CC4-5D6E-409C-BE32-E72D297353CC}">
              <c16:uniqueId val="{00000003-8AAD-4EB8-9C5E-E6C6F6A91D4B}"/>
            </c:ext>
          </c:extLst>
        </c:ser>
        <c:ser>
          <c:idx val="5"/>
          <c:order val="4"/>
          <c:tx>
            <c:strRef>
              <c:f>Sensitivity!$G$34</c:f>
              <c:strCache>
                <c:ptCount val="1"/>
                <c:pt idx="0">
                  <c:v>O&amp;M costs</c:v>
                </c:pt>
              </c:strCache>
            </c:strRef>
          </c:tx>
          <c:spPr>
            <a:ln w="12700" cap="rnd">
              <a:solidFill>
                <a:schemeClr val="accent1"/>
              </a:solidFill>
              <a:round/>
            </a:ln>
            <a:effectLst/>
          </c:spPr>
          <c:marker>
            <c:symbol val="circle"/>
            <c:size val="3"/>
            <c:spPr>
              <a:solidFill>
                <a:schemeClr val="accent1"/>
              </a:solidFill>
              <a:ln w="9525">
                <a:noFill/>
              </a:ln>
              <a:effectLst/>
            </c:spPr>
          </c:marker>
          <c:cat>
            <c:numRef>
              <c:f>Sensitivity!$B$35:$B$45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Sensitivity!$G$35:$G$45</c:f>
              <c:numCache>
                <c:formatCode>0</c:formatCode>
                <c:ptCount val="11"/>
                <c:pt idx="0">
                  <c:v>-10.744644084679074</c:v>
                </c:pt>
                <c:pt idx="1">
                  <c:v>-8.5957152677432642</c:v>
                </c:pt>
                <c:pt idx="2">
                  <c:v>-6.4467864508074664</c:v>
                </c:pt>
                <c:pt idx="3">
                  <c:v>-4.2978576338716561</c:v>
                </c:pt>
                <c:pt idx="4">
                  <c:v>-2.1489288169358338</c:v>
                </c:pt>
                <c:pt idx="5">
                  <c:v>0</c:v>
                </c:pt>
                <c:pt idx="6">
                  <c:v>2.1489288169358223</c:v>
                </c:pt>
                <c:pt idx="7">
                  <c:v>4.2978576338716445</c:v>
                </c:pt>
                <c:pt idx="8">
                  <c:v>6.4467864508074415</c:v>
                </c:pt>
                <c:pt idx="9">
                  <c:v>8.5957152677432411</c:v>
                </c:pt>
                <c:pt idx="10">
                  <c:v>10.744644084679097</c:v>
                </c:pt>
              </c:numCache>
            </c:numRef>
          </c:val>
          <c:smooth val="0"/>
          <c:extLst>
            <c:ext xmlns:c16="http://schemas.microsoft.com/office/drawing/2014/chart" uri="{C3380CC4-5D6E-409C-BE32-E72D297353CC}">
              <c16:uniqueId val="{00000004-8AAD-4EB8-9C5E-E6C6F6A91D4B}"/>
            </c:ext>
          </c:extLst>
        </c:ser>
        <c:ser>
          <c:idx val="0"/>
          <c:order val="5"/>
          <c:tx>
            <c:strRef>
              <c:f>Sensitivity!$H$34</c:f>
              <c:strCache>
                <c:ptCount val="1"/>
                <c:pt idx="0">
                  <c:v>Energy Efficiency</c:v>
                </c:pt>
              </c:strCache>
            </c:strRef>
          </c:tx>
          <c:spPr>
            <a:ln w="12700" cap="rnd">
              <a:solidFill>
                <a:srgbClr val="C00000"/>
              </a:solidFill>
              <a:round/>
            </a:ln>
            <a:effectLst/>
          </c:spPr>
          <c:marker>
            <c:symbol val="circle"/>
            <c:size val="3"/>
            <c:spPr>
              <a:solidFill>
                <a:srgbClr val="C00000"/>
              </a:solidFill>
              <a:ln w="9525">
                <a:noFill/>
              </a:ln>
              <a:effectLst/>
            </c:spPr>
          </c:marker>
          <c:cat>
            <c:numRef>
              <c:f>Sensitivity!$B$35:$B$45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Sensitivity!$H$35:$H$45</c:f>
              <c:numCache>
                <c:formatCode>0</c:formatCode>
                <c:ptCount val="11"/>
                <c:pt idx="0">
                  <c:v>2.9130166844400076</c:v>
                </c:pt>
                <c:pt idx="1">
                  <c:v>2.3304133475519775</c:v>
                </c:pt>
                <c:pt idx="2">
                  <c:v>1.7478100106639711</c:v>
                </c:pt>
                <c:pt idx="3">
                  <c:v>1.1652066737759887</c:v>
                </c:pt>
                <c:pt idx="4">
                  <c:v>0.58260333688800625</c:v>
                </c:pt>
                <c:pt idx="5">
                  <c:v>0</c:v>
                </c:pt>
                <c:pt idx="6">
                  <c:v>-0.58260333688800625</c:v>
                </c:pt>
                <c:pt idx="7">
                  <c:v>-1.1652066737760007</c:v>
                </c:pt>
                <c:pt idx="8">
                  <c:v>-1.7478100106640069</c:v>
                </c:pt>
                <c:pt idx="9">
                  <c:v>-2.330413347552013</c:v>
                </c:pt>
                <c:pt idx="10">
                  <c:v>-2.9130166844399956</c:v>
                </c:pt>
              </c:numCache>
            </c:numRef>
          </c:val>
          <c:smooth val="0"/>
          <c:extLst>
            <c:ext xmlns:c16="http://schemas.microsoft.com/office/drawing/2014/chart" uri="{C3380CC4-5D6E-409C-BE32-E72D297353CC}">
              <c16:uniqueId val="{00000005-8AAD-4EB8-9C5E-E6C6F6A91D4B}"/>
            </c:ext>
          </c:extLst>
        </c:ser>
        <c:dLbls>
          <c:showLegendKey val="0"/>
          <c:showVal val="0"/>
          <c:showCatName val="0"/>
          <c:showSerName val="0"/>
          <c:showPercent val="0"/>
          <c:showBubbleSize val="0"/>
        </c:dLbls>
        <c:marker val="1"/>
        <c:smooth val="0"/>
        <c:axId val="240839615"/>
        <c:axId val="240840095"/>
      </c:lineChart>
      <c:catAx>
        <c:axId val="240839615"/>
        <c:scaling>
          <c:orientation val="minMax"/>
        </c:scaling>
        <c:delete val="0"/>
        <c:axPos val="b"/>
        <c:title>
          <c:tx>
            <c:rich>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∆Parameter (%)</a:t>
                </a:r>
              </a:p>
            </c:rich>
          </c:tx>
          <c:layout>
            <c:manualLayout>
              <c:xMode val="edge"/>
              <c:yMode val="edge"/>
              <c:x val="0.71688876220583397"/>
              <c:y val="0.50351757868330949"/>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General" sourceLinked="1"/>
        <c:majorTickMark val="out"/>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40095"/>
        <c:crossesAt val="0"/>
        <c:auto val="1"/>
        <c:lblAlgn val="ctr"/>
        <c:lblOffset val="100"/>
        <c:tickLblSkip val="1"/>
        <c:noMultiLvlLbl val="0"/>
      </c:catAx>
      <c:valAx>
        <c:axId val="240840095"/>
        <c:scaling>
          <c:orientation val="minMax"/>
        </c:scaling>
        <c:delete val="0"/>
        <c:axPos val="l"/>
        <c:title>
          <c:tx>
            <c:rich>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∆TCO (%)</a:t>
                </a:r>
              </a:p>
            </c:rich>
          </c:tx>
          <c:layout>
            <c:manualLayout>
              <c:xMode val="edge"/>
              <c:yMode val="edge"/>
              <c:x val="0.52531261858585176"/>
              <c:y val="6.6341765925469059E-2"/>
            </c:manualLayout>
          </c:layout>
          <c:overlay val="0"/>
          <c:spPr>
            <a:noFill/>
            <a:ln>
              <a:noFill/>
            </a:ln>
            <a:effectLst/>
          </c:spPr>
          <c:txPr>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39615"/>
        <c:crossesAt val="6"/>
        <c:crossBetween val="midCat"/>
      </c:valAx>
      <c:spPr>
        <a:noFill/>
        <a:ln>
          <a:noFill/>
        </a:ln>
        <a:effectLst/>
      </c:spPr>
    </c:plotArea>
    <c:legend>
      <c:legendPos val="b"/>
      <c:layout>
        <c:manualLayout>
          <c:xMode val="edge"/>
          <c:yMode val="edge"/>
          <c:x val="3.0974890194164904E-2"/>
          <c:y val="0.85037360035678544"/>
          <c:w val="0.93649009886074819"/>
          <c:h val="0.11996325909615031"/>
        </c:manualLayout>
      </c:layout>
      <c:overlay val="1"/>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700">
          <a:solidFill>
            <a:sysClr val="windowText" lastClr="000000"/>
          </a:solidFill>
          <a:latin typeface="+mn-lt"/>
        </a:defRPr>
      </a:pPr>
      <a:endParaRPr lang="id-ID"/>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840" b="0" i="0" u="none" strike="noStrike" kern="1200" spc="0" baseline="0">
                <a:solidFill>
                  <a:sysClr val="windowText" lastClr="000000"/>
                </a:solidFill>
                <a:latin typeface="+mn-lt"/>
                <a:ea typeface="+mn-ea"/>
                <a:cs typeface="+mn-cs"/>
              </a:defRPr>
            </a:pPr>
            <a:r>
              <a:rPr lang="id-ID"/>
              <a:t>ICE-bus</a:t>
            </a:r>
          </a:p>
        </c:rich>
      </c:tx>
      <c:layout>
        <c:manualLayout>
          <c:xMode val="edge"/>
          <c:yMode val="edge"/>
          <c:x val="0.12472607919278225"/>
          <c:y val="5.1229508196721313E-2"/>
        </c:manualLayout>
      </c:layout>
      <c:overlay val="1"/>
      <c:spPr>
        <a:noFill/>
        <a:ln>
          <a:noFill/>
        </a:ln>
        <a:effectLst/>
      </c:spPr>
      <c:txPr>
        <a:bodyPr rot="0" spcFirstLastPara="1" vertOverflow="ellipsis" vert="horz" wrap="square" anchor="ctr" anchorCtr="1"/>
        <a:lstStyle/>
        <a:p>
          <a:pPr>
            <a:defRPr sz="840" b="0" i="0" u="none" strike="noStrike" kern="1200" spc="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9.8730055940434117E-2"/>
          <c:y val="6.2613843351548265E-2"/>
          <c:w val="0.83755205515493014"/>
          <c:h val="0.7140144195932564"/>
        </c:manualLayout>
      </c:layout>
      <c:lineChart>
        <c:grouping val="standard"/>
        <c:varyColors val="0"/>
        <c:ser>
          <c:idx val="1"/>
          <c:order val="0"/>
          <c:tx>
            <c:strRef>
              <c:f>Sensitivity!$P$4</c:f>
              <c:strCache>
                <c:ptCount val="1"/>
                <c:pt idx="0">
                  <c:v>Vehicle Price</c:v>
                </c:pt>
              </c:strCache>
            </c:strRef>
          </c:tx>
          <c:spPr>
            <a:ln w="12700" cap="rnd">
              <a:solidFill>
                <a:schemeClr val="accent1">
                  <a:lumMod val="50000"/>
                </a:schemeClr>
              </a:solidFill>
              <a:round/>
            </a:ln>
            <a:effectLst/>
          </c:spPr>
          <c:marker>
            <c:symbol val="circle"/>
            <c:size val="3"/>
            <c:spPr>
              <a:solidFill>
                <a:srgbClr val="002060"/>
              </a:solidFill>
              <a:ln w="9525">
                <a:noFill/>
              </a:ln>
              <a:effectLst/>
            </c:spPr>
          </c:marker>
          <c:cat>
            <c:numRef>
              <c:f>Sensitivity!$O$5:$O$15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Sensitivity!$P$5:$P$15</c:f>
              <c:numCache>
                <c:formatCode>0</c:formatCode>
                <c:ptCount val="11"/>
                <c:pt idx="0">
                  <c:v>-18.927999354315808</c:v>
                </c:pt>
                <c:pt idx="1">
                  <c:v>-15.142399483452657</c:v>
                </c:pt>
                <c:pt idx="2">
                  <c:v>-11.356799612589471</c:v>
                </c:pt>
                <c:pt idx="3">
                  <c:v>-7.5711997417263195</c:v>
                </c:pt>
                <c:pt idx="4">
                  <c:v>-3.7855998708631509</c:v>
                </c:pt>
                <c:pt idx="5">
                  <c:v>0</c:v>
                </c:pt>
                <c:pt idx="6">
                  <c:v>3.7855998708631691</c:v>
                </c:pt>
                <c:pt idx="7">
                  <c:v>7.5711997417263381</c:v>
                </c:pt>
                <c:pt idx="8">
                  <c:v>11.356799612589489</c:v>
                </c:pt>
                <c:pt idx="9">
                  <c:v>15.142399483452639</c:v>
                </c:pt>
                <c:pt idx="10">
                  <c:v>18.927999354315808</c:v>
                </c:pt>
              </c:numCache>
            </c:numRef>
          </c:val>
          <c:smooth val="0"/>
          <c:extLst>
            <c:ext xmlns:c16="http://schemas.microsoft.com/office/drawing/2014/chart" uri="{C3380CC4-5D6E-409C-BE32-E72D297353CC}">
              <c16:uniqueId val="{00000000-4E56-4CC1-9C24-B54FBBFC11B1}"/>
            </c:ext>
          </c:extLst>
        </c:ser>
        <c:ser>
          <c:idx val="2"/>
          <c:order val="1"/>
          <c:tx>
            <c:strRef>
              <c:f>Sensitivity!$Q$4</c:f>
              <c:strCache>
                <c:ptCount val="1"/>
                <c:pt idx="0">
                  <c:v>Fuel price</c:v>
                </c:pt>
              </c:strCache>
            </c:strRef>
          </c:tx>
          <c:spPr>
            <a:ln w="12700" cap="rnd">
              <a:solidFill>
                <a:schemeClr val="accent2"/>
              </a:solidFill>
              <a:round/>
            </a:ln>
            <a:effectLst/>
          </c:spPr>
          <c:marker>
            <c:symbol val="circle"/>
            <c:size val="3"/>
            <c:spPr>
              <a:solidFill>
                <a:schemeClr val="accent2"/>
              </a:solidFill>
              <a:ln w="9525">
                <a:noFill/>
              </a:ln>
              <a:effectLst/>
            </c:spPr>
          </c:marker>
          <c:cat>
            <c:numRef>
              <c:f>Sensitivity!$O$5:$O$15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Sensitivity!$Q$5:$Q$15</c:f>
              <c:numCache>
                <c:formatCode>0</c:formatCode>
                <c:ptCount val="11"/>
                <c:pt idx="0">
                  <c:v>-25.60624116158554</c:v>
                </c:pt>
                <c:pt idx="1">
                  <c:v>-20.48499292926844</c:v>
                </c:pt>
                <c:pt idx="2">
                  <c:v>-15.363744696951304</c:v>
                </c:pt>
                <c:pt idx="3">
                  <c:v>-10.242496464634202</c:v>
                </c:pt>
                <c:pt idx="4">
                  <c:v>-5.1212482323170834</c:v>
                </c:pt>
                <c:pt idx="5">
                  <c:v>0</c:v>
                </c:pt>
                <c:pt idx="6">
                  <c:v>5.1212482323170834</c:v>
                </c:pt>
                <c:pt idx="7">
                  <c:v>10.242496464634202</c:v>
                </c:pt>
                <c:pt idx="8">
                  <c:v>15.363744696951336</c:v>
                </c:pt>
                <c:pt idx="9">
                  <c:v>20.48499292926844</c:v>
                </c:pt>
                <c:pt idx="10">
                  <c:v>25.60624116158554</c:v>
                </c:pt>
              </c:numCache>
            </c:numRef>
          </c:val>
          <c:smooth val="0"/>
          <c:extLst>
            <c:ext xmlns:c16="http://schemas.microsoft.com/office/drawing/2014/chart" uri="{C3380CC4-5D6E-409C-BE32-E72D297353CC}">
              <c16:uniqueId val="{00000001-4E56-4CC1-9C24-B54FBBFC11B1}"/>
            </c:ext>
          </c:extLst>
        </c:ser>
        <c:ser>
          <c:idx val="3"/>
          <c:order val="2"/>
          <c:tx>
            <c:strRef>
              <c:f>Sensitivity!$R$4</c:f>
              <c:strCache>
                <c:ptCount val="1"/>
                <c:pt idx="0">
                  <c:v>O&amp;M costs</c:v>
                </c:pt>
              </c:strCache>
            </c:strRef>
          </c:tx>
          <c:spPr>
            <a:ln w="12700" cap="rnd">
              <a:solidFill>
                <a:srgbClr val="5B9BD5"/>
              </a:solidFill>
              <a:round/>
            </a:ln>
            <a:effectLst/>
          </c:spPr>
          <c:marker>
            <c:symbol val="circle"/>
            <c:size val="3"/>
            <c:spPr>
              <a:solidFill>
                <a:srgbClr val="5B9BD5"/>
              </a:solidFill>
              <a:ln w="9525">
                <a:noFill/>
              </a:ln>
              <a:effectLst/>
            </c:spPr>
          </c:marker>
          <c:cat>
            <c:numRef>
              <c:f>Sensitivity!$O$5:$O$15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Sensitivity!$R$5:$R$15</c:f>
              <c:numCache>
                <c:formatCode>0</c:formatCode>
                <c:ptCount val="11"/>
                <c:pt idx="0">
                  <c:v>-10.284079008964348</c:v>
                </c:pt>
                <c:pt idx="1">
                  <c:v>-8.2272632071714806</c:v>
                </c:pt>
                <c:pt idx="2">
                  <c:v>-6.1704474053786162</c:v>
                </c:pt>
                <c:pt idx="3">
                  <c:v>-4.1136316035857146</c:v>
                </c:pt>
                <c:pt idx="4">
                  <c:v>-2.0568158017928662</c:v>
                </c:pt>
                <c:pt idx="5">
                  <c:v>0</c:v>
                </c:pt>
                <c:pt idx="6">
                  <c:v>2.0568158017928662</c:v>
                </c:pt>
                <c:pt idx="7">
                  <c:v>4.1136316035857501</c:v>
                </c:pt>
                <c:pt idx="8">
                  <c:v>6.1704474053785985</c:v>
                </c:pt>
                <c:pt idx="9">
                  <c:v>8.2272632071715002</c:v>
                </c:pt>
                <c:pt idx="10">
                  <c:v>10.284079008964365</c:v>
                </c:pt>
              </c:numCache>
            </c:numRef>
          </c:val>
          <c:smooth val="0"/>
          <c:extLst>
            <c:ext xmlns:c16="http://schemas.microsoft.com/office/drawing/2014/chart" uri="{C3380CC4-5D6E-409C-BE32-E72D297353CC}">
              <c16:uniqueId val="{00000002-4E56-4CC1-9C24-B54FBBFC11B1}"/>
            </c:ext>
          </c:extLst>
        </c:ser>
        <c:ser>
          <c:idx val="4"/>
          <c:order val="3"/>
          <c:tx>
            <c:strRef>
              <c:f>Sensitivity!$S$4</c:f>
              <c:strCache>
                <c:ptCount val="1"/>
                <c:pt idx="0">
                  <c:v>AKT</c:v>
                </c:pt>
              </c:strCache>
            </c:strRef>
          </c:tx>
          <c:spPr>
            <a:ln w="12700" cap="rnd">
              <a:solidFill>
                <a:schemeClr val="accent4"/>
              </a:solidFill>
              <a:round/>
            </a:ln>
            <a:effectLst/>
          </c:spPr>
          <c:marker>
            <c:symbol val="circle"/>
            <c:size val="3"/>
            <c:spPr>
              <a:solidFill>
                <a:schemeClr val="accent4"/>
              </a:solidFill>
              <a:ln w="9525">
                <a:noFill/>
              </a:ln>
              <a:effectLst/>
            </c:spPr>
          </c:marker>
          <c:cat>
            <c:numRef>
              <c:f>Sensitivity!$O$5:$O$15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Sensitivity!$S$5:$S$15</c:f>
              <c:numCache>
                <c:formatCode>0</c:formatCode>
                <c:ptCount val="11"/>
                <c:pt idx="0">
                  <c:v>-35.890320170549877</c:v>
                </c:pt>
                <c:pt idx="1">
                  <c:v>-28.712256136439883</c:v>
                </c:pt>
                <c:pt idx="2">
                  <c:v>-21.534192102329943</c:v>
                </c:pt>
                <c:pt idx="3">
                  <c:v>-14.356128068219917</c:v>
                </c:pt>
                <c:pt idx="4">
                  <c:v>-7.1780640341099851</c:v>
                </c:pt>
                <c:pt idx="5">
                  <c:v>0</c:v>
                </c:pt>
                <c:pt idx="6">
                  <c:v>7.1780640341100019</c:v>
                </c:pt>
                <c:pt idx="7">
                  <c:v>14.356128068219951</c:v>
                </c:pt>
                <c:pt idx="8">
                  <c:v>21.534192102329953</c:v>
                </c:pt>
                <c:pt idx="9">
                  <c:v>28.712256136439869</c:v>
                </c:pt>
                <c:pt idx="10">
                  <c:v>35.890320170549892</c:v>
                </c:pt>
              </c:numCache>
            </c:numRef>
          </c:val>
          <c:smooth val="0"/>
          <c:extLst>
            <c:ext xmlns:c16="http://schemas.microsoft.com/office/drawing/2014/chart" uri="{C3380CC4-5D6E-409C-BE32-E72D297353CC}">
              <c16:uniqueId val="{00000003-4E56-4CC1-9C24-B54FBBFC11B1}"/>
            </c:ext>
          </c:extLst>
        </c:ser>
        <c:ser>
          <c:idx val="5"/>
          <c:order val="4"/>
          <c:tx>
            <c:strRef>
              <c:f>Sensitivity!$T$4</c:f>
              <c:strCache>
                <c:ptCount val="1"/>
                <c:pt idx="0">
                  <c:v>Energy Efficiency</c:v>
                </c:pt>
              </c:strCache>
            </c:strRef>
          </c:tx>
          <c:spPr>
            <a:ln w="12700" cap="rnd">
              <a:solidFill>
                <a:srgbClr val="C00000"/>
              </a:solidFill>
              <a:round/>
            </a:ln>
            <a:effectLst/>
          </c:spPr>
          <c:marker>
            <c:symbol val="circle"/>
            <c:size val="3"/>
            <c:spPr>
              <a:solidFill>
                <a:srgbClr val="C00000"/>
              </a:solidFill>
              <a:ln w="9525">
                <a:noFill/>
              </a:ln>
              <a:effectLst/>
            </c:spPr>
          </c:marker>
          <c:cat>
            <c:numRef>
              <c:f>Sensitivity!$O$5:$O$15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Sensitivity!$T$5:$T$15</c:f>
              <c:numCache>
                <c:formatCode>0</c:formatCode>
                <c:ptCount val="11"/>
                <c:pt idx="0">
                  <c:v>25.60624116158554</c:v>
                </c:pt>
                <c:pt idx="1">
                  <c:v>20.48499292926844</c:v>
                </c:pt>
                <c:pt idx="2">
                  <c:v>15.363744696951336</c:v>
                </c:pt>
                <c:pt idx="3">
                  <c:v>10.24249646463422</c:v>
                </c:pt>
                <c:pt idx="4">
                  <c:v>5.1212482323170834</c:v>
                </c:pt>
                <c:pt idx="5">
                  <c:v>0</c:v>
                </c:pt>
                <c:pt idx="6">
                  <c:v>-5.1212482323171011</c:v>
                </c:pt>
                <c:pt idx="7">
                  <c:v>-10.242496464634202</c:v>
                </c:pt>
                <c:pt idx="8">
                  <c:v>-15.363744696951304</c:v>
                </c:pt>
                <c:pt idx="9">
                  <c:v>-20.48499292926844</c:v>
                </c:pt>
                <c:pt idx="10">
                  <c:v>-25.60624116158554</c:v>
                </c:pt>
              </c:numCache>
            </c:numRef>
          </c:val>
          <c:smooth val="0"/>
          <c:extLst>
            <c:ext xmlns:c16="http://schemas.microsoft.com/office/drawing/2014/chart" uri="{C3380CC4-5D6E-409C-BE32-E72D297353CC}">
              <c16:uniqueId val="{00000004-4E56-4CC1-9C24-B54FBBFC11B1}"/>
            </c:ext>
          </c:extLst>
        </c:ser>
        <c:dLbls>
          <c:showLegendKey val="0"/>
          <c:showVal val="0"/>
          <c:showCatName val="0"/>
          <c:showSerName val="0"/>
          <c:showPercent val="0"/>
          <c:showBubbleSize val="0"/>
        </c:dLbls>
        <c:marker val="1"/>
        <c:smooth val="0"/>
        <c:axId val="240839615"/>
        <c:axId val="240840095"/>
      </c:lineChart>
      <c:catAx>
        <c:axId val="240839615"/>
        <c:scaling>
          <c:orientation val="minMax"/>
        </c:scaling>
        <c:delete val="0"/>
        <c:axPos val="b"/>
        <c:title>
          <c:tx>
            <c:rich>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∆Parameter (%)</a:t>
                </a:r>
              </a:p>
            </c:rich>
          </c:tx>
          <c:layout>
            <c:manualLayout>
              <c:xMode val="edge"/>
              <c:yMode val="edge"/>
              <c:x val="0.71017322242378667"/>
              <c:y val="0.44719021196936087"/>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General" sourceLinked="1"/>
        <c:majorTickMark val="out"/>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40095"/>
        <c:crossesAt val="0"/>
        <c:auto val="1"/>
        <c:lblAlgn val="ctr"/>
        <c:lblOffset val="100"/>
        <c:tickLblSkip val="1"/>
        <c:noMultiLvlLbl val="0"/>
      </c:catAx>
      <c:valAx>
        <c:axId val="240840095"/>
        <c:scaling>
          <c:orientation val="minMax"/>
        </c:scaling>
        <c:delete val="0"/>
        <c:axPos val="l"/>
        <c:title>
          <c:tx>
            <c:rich>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∆TCO (%)</a:t>
                </a:r>
              </a:p>
            </c:rich>
          </c:tx>
          <c:layout>
            <c:manualLayout>
              <c:xMode val="edge"/>
              <c:yMode val="edge"/>
              <c:x val="0.53335261534572731"/>
              <c:y val="6.3377127135476108E-2"/>
            </c:manualLayout>
          </c:layout>
          <c:overlay val="0"/>
          <c:spPr>
            <a:noFill/>
            <a:ln>
              <a:noFill/>
            </a:ln>
            <a:effectLst/>
          </c:spPr>
          <c:txPr>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39615"/>
        <c:crossesAt val="6"/>
        <c:crossBetween val="midCat"/>
      </c:valAx>
      <c:spPr>
        <a:noFill/>
        <a:ln>
          <a:noFill/>
        </a:ln>
        <a:effectLst/>
      </c:spPr>
    </c:plotArea>
    <c:legend>
      <c:legendPos val="b"/>
      <c:layout>
        <c:manualLayout>
          <c:xMode val="edge"/>
          <c:yMode val="edge"/>
          <c:x val="3.5050823694356817E-2"/>
          <c:y val="0.85681146643479378"/>
          <c:w val="0.94665685519593967"/>
          <c:h val="0.13029261871407177"/>
        </c:manualLayout>
      </c:layout>
      <c:overlay val="1"/>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700">
          <a:solidFill>
            <a:sysClr val="windowText" lastClr="000000"/>
          </a:solidFill>
          <a:latin typeface="+mn-lt"/>
        </a:defRPr>
      </a:pPr>
      <a:endParaRPr lang="id-ID"/>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840" b="0" i="0" u="none" strike="noStrike" kern="1200" spc="0" baseline="0">
                <a:solidFill>
                  <a:sysClr val="windowText" lastClr="000000"/>
                </a:solidFill>
                <a:latin typeface="+mn-lt"/>
                <a:ea typeface="+mn-ea"/>
                <a:cs typeface="+mn-cs"/>
              </a:defRPr>
            </a:pPr>
            <a:r>
              <a:rPr lang="id-ID"/>
              <a:t>ICE-truck</a:t>
            </a:r>
          </a:p>
        </c:rich>
      </c:tx>
      <c:layout>
        <c:manualLayout>
          <c:xMode val="edge"/>
          <c:yMode val="edge"/>
          <c:x val="0.12472607919278225"/>
          <c:y val="5.1229508196721313E-2"/>
        </c:manualLayout>
      </c:layout>
      <c:overlay val="1"/>
      <c:spPr>
        <a:noFill/>
        <a:ln>
          <a:noFill/>
        </a:ln>
        <a:effectLst/>
      </c:spPr>
      <c:txPr>
        <a:bodyPr rot="0" spcFirstLastPara="1" vertOverflow="ellipsis" vert="horz" wrap="square" anchor="ctr" anchorCtr="1"/>
        <a:lstStyle/>
        <a:p>
          <a:pPr>
            <a:defRPr sz="840" b="0" i="0" u="none" strike="noStrike" kern="1200" spc="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9.8730055940434117E-2"/>
          <c:y val="6.2613843351548265E-2"/>
          <c:w val="0.83755205515493014"/>
          <c:h val="0.7140144195932564"/>
        </c:manualLayout>
      </c:layout>
      <c:lineChart>
        <c:grouping val="standard"/>
        <c:varyColors val="0"/>
        <c:ser>
          <c:idx val="1"/>
          <c:order val="0"/>
          <c:tx>
            <c:strRef>
              <c:f>Sensitivity!$P$19</c:f>
              <c:strCache>
                <c:ptCount val="1"/>
                <c:pt idx="0">
                  <c:v>Vehicle Price</c:v>
                </c:pt>
              </c:strCache>
            </c:strRef>
          </c:tx>
          <c:spPr>
            <a:ln w="12700" cap="rnd">
              <a:solidFill>
                <a:schemeClr val="accent1">
                  <a:lumMod val="50000"/>
                </a:schemeClr>
              </a:solidFill>
              <a:round/>
            </a:ln>
            <a:effectLst/>
          </c:spPr>
          <c:marker>
            <c:symbol val="circle"/>
            <c:size val="3"/>
            <c:spPr>
              <a:solidFill>
                <a:srgbClr val="002060"/>
              </a:solidFill>
              <a:ln w="9525">
                <a:noFill/>
              </a:ln>
              <a:effectLst/>
            </c:spPr>
          </c:marker>
          <c:cat>
            <c:numRef>
              <c:f>Sensitivity!$O$20:$O$30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Sensitivity!$P$20:$P$30</c:f>
              <c:numCache>
                <c:formatCode>0</c:formatCode>
                <c:ptCount val="11"/>
                <c:pt idx="0">
                  <c:v>-6.1313915746488066</c:v>
                </c:pt>
                <c:pt idx="1">
                  <c:v>-4.9051132597190339</c:v>
                </c:pt>
                <c:pt idx="2">
                  <c:v>-3.6788349447892803</c:v>
                </c:pt>
                <c:pt idx="3">
                  <c:v>-2.4525566298595076</c:v>
                </c:pt>
                <c:pt idx="4">
                  <c:v>-1.2262783149297538</c:v>
                </c:pt>
                <c:pt idx="5">
                  <c:v>0</c:v>
                </c:pt>
                <c:pt idx="6">
                  <c:v>1.2262783149297729</c:v>
                </c:pt>
                <c:pt idx="7">
                  <c:v>2.4525566298595267</c:v>
                </c:pt>
                <c:pt idx="8">
                  <c:v>3.6788349447892998</c:v>
                </c:pt>
                <c:pt idx="9">
                  <c:v>4.9051132597190534</c:v>
                </c:pt>
                <c:pt idx="10">
                  <c:v>6.1313915746488261</c:v>
                </c:pt>
              </c:numCache>
            </c:numRef>
          </c:val>
          <c:smooth val="0"/>
          <c:extLst>
            <c:ext xmlns:c16="http://schemas.microsoft.com/office/drawing/2014/chart" uri="{C3380CC4-5D6E-409C-BE32-E72D297353CC}">
              <c16:uniqueId val="{00000000-AE07-420C-A286-B311C414B927}"/>
            </c:ext>
          </c:extLst>
        </c:ser>
        <c:ser>
          <c:idx val="2"/>
          <c:order val="1"/>
          <c:tx>
            <c:strRef>
              <c:f>Sensitivity!$Q$19</c:f>
              <c:strCache>
                <c:ptCount val="1"/>
                <c:pt idx="0">
                  <c:v>Fuel price</c:v>
                </c:pt>
              </c:strCache>
            </c:strRef>
          </c:tx>
          <c:spPr>
            <a:ln w="12700" cap="rnd">
              <a:solidFill>
                <a:schemeClr val="accent2"/>
              </a:solidFill>
              <a:round/>
            </a:ln>
            <a:effectLst/>
          </c:spPr>
          <c:marker>
            <c:symbol val="circle"/>
            <c:size val="3"/>
            <c:spPr>
              <a:solidFill>
                <a:schemeClr val="accent2"/>
              </a:solidFill>
              <a:ln w="9525">
                <a:noFill/>
              </a:ln>
              <a:effectLst/>
            </c:spPr>
          </c:marker>
          <c:cat>
            <c:numRef>
              <c:f>Sensitivity!$O$20:$O$30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Sensitivity!$Q$20:$Q$30</c:f>
              <c:numCache>
                <c:formatCode>0</c:formatCode>
                <c:ptCount val="11"/>
                <c:pt idx="0">
                  <c:v>-28.767719762555512</c:v>
                </c:pt>
                <c:pt idx="1">
                  <c:v>-23.014175810044431</c:v>
                </c:pt>
                <c:pt idx="2">
                  <c:v>-17.260631857533316</c:v>
                </c:pt>
                <c:pt idx="3">
                  <c:v>-11.507087905022216</c:v>
                </c:pt>
                <c:pt idx="4">
                  <c:v>-5.7535439525110981</c:v>
                </c:pt>
                <c:pt idx="5">
                  <c:v>0</c:v>
                </c:pt>
                <c:pt idx="6">
                  <c:v>5.7535439525110981</c:v>
                </c:pt>
                <c:pt idx="7">
                  <c:v>11.507087905022177</c:v>
                </c:pt>
                <c:pt idx="8">
                  <c:v>17.260631857533316</c:v>
                </c:pt>
                <c:pt idx="9">
                  <c:v>23.014175810044414</c:v>
                </c:pt>
                <c:pt idx="10">
                  <c:v>28.767719762555512</c:v>
                </c:pt>
              </c:numCache>
            </c:numRef>
          </c:val>
          <c:smooth val="0"/>
          <c:extLst>
            <c:ext xmlns:c16="http://schemas.microsoft.com/office/drawing/2014/chart" uri="{C3380CC4-5D6E-409C-BE32-E72D297353CC}">
              <c16:uniqueId val="{00000001-AE07-420C-A286-B311C414B927}"/>
            </c:ext>
          </c:extLst>
        </c:ser>
        <c:ser>
          <c:idx val="3"/>
          <c:order val="2"/>
          <c:tx>
            <c:strRef>
              <c:f>Sensitivity!$R$19</c:f>
              <c:strCache>
                <c:ptCount val="1"/>
                <c:pt idx="0">
                  <c:v>O&amp;M costs</c:v>
                </c:pt>
              </c:strCache>
            </c:strRef>
          </c:tx>
          <c:spPr>
            <a:ln w="12700" cap="rnd">
              <a:solidFill>
                <a:srgbClr val="5B9BD5"/>
              </a:solidFill>
              <a:round/>
            </a:ln>
            <a:effectLst/>
          </c:spPr>
          <c:marker>
            <c:symbol val="circle"/>
            <c:size val="3"/>
            <c:spPr>
              <a:solidFill>
                <a:srgbClr val="5B9BD5"/>
              </a:solidFill>
              <a:ln w="9525">
                <a:noFill/>
              </a:ln>
              <a:effectLst/>
            </c:spPr>
          </c:marker>
          <c:cat>
            <c:numRef>
              <c:f>Sensitivity!$O$20:$O$30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Sensitivity!$R$20:$R$30</c:f>
              <c:numCache>
                <c:formatCode>0</c:formatCode>
                <c:ptCount val="11"/>
                <c:pt idx="0">
                  <c:v>-17.011310630780198</c:v>
                </c:pt>
                <c:pt idx="1">
                  <c:v>-13.609048504624166</c:v>
                </c:pt>
                <c:pt idx="2">
                  <c:v>-10.206786378468131</c:v>
                </c:pt>
                <c:pt idx="3">
                  <c:v>-6.8045242523120679</c:v>
                </c:pt>
                <c:pt idx="4">
                  <c:v>-3.4022621261560242</c:v>
                </c:pt>
                <c:pt idx="5">
                  <c:v>0</c:v>
                </c:pt>
                <c:pt idx="6">
                  <c:v>3.4022621261560437</c:v>
                </c:pt>
                <c:pt idx="7">
                  <c:v>6.8045242523120875</c:v>
                </c:pt>
                <c:pt idx="8">
                  <c:v>10.206786378468111</c:v>
                </c:pt>
                <c:pt idx="9">
                  <c:v>13.609048504624175</c:v>
                </c:pt>
                <c:pt idx="10">
                  <c:v>17.01131063078018</c:v>
                </c:pt>
              </c:numCache>
            </c:numRef>
          </c:val>
          <c:smooth val="0"/>
          <c:extLst>
            <c:ext xmlns:c16="http://schemas.microsoft.com/office/drawing/2014/chart" uri="{C3380CC4-5D6E-409C-BE32-E72D297353CC}">
              <c16:uniqueId val="{00000002-AE07-420C-A286-B311C414B927}"/>
            </c:ext>
          </c:extLst>
        </c:ser>
        <c:ser>
          <c:idx val="4"/>
          <c:order val="3"/>
          <c:tx>
            <c:strRef>
              <c:f>Sensitivity!$S$19</c:f>
              <c:strCache>
                <c:ptCount val="1"/>
                <c:pt idx="0">
                  <c:v>AKT</c:v>
                </c:pt>
              </c:strCache>
            </c:strRef>
          </c:tx>
          <c:spPr>
            <a:ln w="12700" cap="rnd">
              <a:solidFill>
                <a:schemeClr val="accent4"/>
              </a:solidFill>
              <a:round/>
            </a:ln>
            <a:effectLst/>
          </c:spPr>
          <c:marker>
            <c:symbol val="circle"/>
            <c:size val="3"/>
            <c:spPr>
              <a:solidFill>
                <a:schemeClr val="accent4"/>
              </a:solidFill>
              <a:ln w="9525">
                <a:noFill/>
              </a:ln>
              <a:effectLst/>
            </c:spPr>
          </c:marker>
          <c:cat>
            <c:numRef>
              <c:f>Sensitivity!$O$20:$O$30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Sensitivity!$S$20:$S$30</c:f>
              <c:numCache>
                <c:formatCode>0</c:formatCode>
                <c:ptCount val="11"/>
                <c:pt idx="0">
                  <c:v>-45.779030393335717</c:v>
                </c:pt>
                <c:pt idx="1">
                  <c:v>-36.623224314668576</c:v>
                </c:pt>
                <c:pt idx="2">
                  <c:v>-27.467418236001436</c:v>
                </c:pt>
                <c:pt idx="3">
                  <c:v>-18.311612157334295</c:v>
                </c:pt>
                <c:pt idx="4">
                  <c:v>-9.1558060786671422</c:v>
                </c:pt>
                <c:pt idx="5">
                  <c:v>0</c:v>
                </c:pt>
                <c:pt idx="6">
                  <c:v>9.1558060786671422</c:v>
                </c:pt>
                <c:pt idx="7">
                  <c:v>18.311612157334263</c:v>
                </c:pt>
                <c:pt idx="8">
                  <c:v>27.467418236001407</c:v>
                </c:pt>
                <c:pt idx="9">
                  <c:v>36.62322431466859</c:v>
                </c:pt>
                <c:pt idx="10">
                  <c:v>45.779030393335709</c:v>
                </c:pt>
              </c:numCache>
            </c:numRef>
          </c:val>
          <c:smooth val="0"/>
          <c:extLst>
            <c:ext xmlns:c16="http://schemas.microsoft.com/office/drawing/2014/chart" uri="{C3380CC4-5D6E-409C-BE32-E72D297353CC}">
              <c16:uniqueId val="{00000003-AE07-420C-A286-B311C414B927}"/>
            </c:ext>
          </c:extLst>
        </c:ser>
        <c:ser>
          <c:idx val="5"/>
          <c:order val="4"/>
          <c:tx>
            <c:strRef>
              <c:f>Sensitivity!$T$19</c:f>
              <c:strCache>
                <c:ptCount val="1"/>
                <c:pt idx="0">
                  <c:v>Energy Efficiency</c:v>
                </c:pt>
              </c:strCache>
            </c:strRef>
          </c:tx>
          <c:spPr>
            <a:ln w="12700" cap="rnd">
              <a:solidFill>
                <a:srgbClr val="C00000"/>
              </a:solidFill>
              <a:round/>
            </a:ln>
            <a:effectLst/>
          </c:spPr>
          <c:marker>
            <c:symbol val="circle"/>
            <c:size val="3"/>
            <c:spPr>
              <a:solidFill>
                <a:srgbClr val="C00000"/>
              </a:solidFill>
              <a:ln w="9525">
                <a:noFill/>
              </a:ln>
              <a:effectLst/>
            </c:spPr>
          </c:marker>
          <c:cat>
            <c:numRef>
              <c:f>Sensitivity!$O$20:$O$30</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Sensitivity!$T$20:$T$30</c:f>
              <c:numCache>
                <c:formatCode>0</c:formatCode>
                <c:ptCount val="11"/>
                <c:pt idx="0">
                  <c:v>28.767719762555512</c:v>
                </c:pt>
                <c:pt idx="1">
                  <c:v>23.014175810044414</c:v>
                </c:pt>
                <c:pt idx="2">
                  <c:v>17.260631857533316</c:v>
                </c:pt>
                <c:pt idx="3">
                  <c:v>11.507087905022177</c:v>
                </c:pt>
                <c:pt idx="4">
                  <c:v>5.7535439525110981</c:v>
                </c:pt>
                <c:pt idx="5">
                  <c:v>0</c:v>
                </c:pt>
                <c:pt idx="6">
                  <c:v>-5.7535439525110981</c:v>
                </c:pt>
                <c:pt idx="7">
                  <c:v>-11.507087905022216</c:v>
                </c:pt>
                <c:pt idx="8">
                  <c:v>-17.260631857533316</c:v>
                </c:pt>
                <c:pt idx="9">
                  <c:v>-23.014175810044431</c:v>
                </c:pt>
                <c:pt idx="10">
                  <c:v>-28.767719762555512</c:v>
                </c:pt>
              </c:numCache>
            </c:numRef>
          </c:val>
          <c:smooth val="0"/>
          <c:extLst>
            <c:ext xmlns:c16="http://schemas.microsoft.com/office/drawing/2014/chart" uri="{C3380CC4-5D6E-409C-BE32-E72D297353CC}">
              <c16:uniqueId val="{00000004-AE07-420C-A286-B311C414B927}"/>
            </c:ext>
          </c:extLst>
        </c:ser>
        <c:dLbls>
          <c:showLegendKey val="0"/>
          <c:showVal val="0"/>
          <c:showCatName val="0"/>
          <c:showSerName val="0"/>
          <c:showPercent val="0"/>
          <c:showBubbleSize val="0"/>
        </c:dLbls>
        <c:marker val="1"/>
        <c:smooth val="0"/>
        <c:axId val="240839615"/>
        <c:axId val="240840095"/>
      </c:lineChart>
      <c:catAx>
        <c:axId val="240839615"/>
        <c:scaling>
          <c:orientation val="minMax"/>
        </c:scaling>
        <c:delete val="0"/>
        <c:axPos val="b"/>
        <c:title>
          <c:tx>
            <c:rich>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∆Parameter (%)</a:t>
                </a:r>
              </a:p>
            </c:rich>
          </c:tx>
          <c:layout>
            <c:manualLayout>
              <c:xMode val="edge"/>
              <c:yMode val="edge"/>
              <c:x val="0.71456332154786084"/>
              <c:y val="0.44251112929984132"/>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General" sourceLinked="1"/>
        <c:majorTickMark val="out"/>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40095"/>
        <c:crossesAt val="0"/>
        <c:auto val="1"/>
        <c:lblAlgn val="ctr"/>
        <c:lblOffset val="100"/>
        <c:tickLblSkip val="1"/>
        <c:noMultiLvlLbl val="0"/>
      </c:catAx>
      <c:valAx>
        <c:axId val="240840095"/>
        <c:scaling>
          <c:orientation val="minMax"/>
        </c:scaling>
        <c:delete val="0"/>
        <c:axPos val="l"/>
        <c:title>
          <c:tx>
            <c:rich>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en-US"/>
                  <a:t>∆TCO (%)</a:t>
                </a:r>
              </a:p>
            </c:rich>
          </c:tx>
          <c:layout>
            <c:manualLayout>
              <c:xMode val="edge"/>
              <c:yMode val="edge"/>
              <c:x val="0.53335261534572731"/>
              <c:y val="6.3377127135476108E-2"/>
            </c:manualLayout>
          </c:layout>
          <c:overlay val="0"/>
          <c:spPr>
            <a:noFill/>
            <a:ln>
              <a:noFill/>
            </a:ln>
            <a:effectLst/>
          </c:spPr>
          <c:txPr>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39615"/>
        <c:crossesAt val="6"/>
        <c:crossBetween val="midCat"/>
      </c:valAx>
      <c:spPr>
        <a:noFill/>
        <a:ln>
          <a:noFill/>
        </a:ln>
        <a:effectLst/>
      </c:spPr>
    </c:plotArea>
    <c:legend>
      <c:legendPos val="b"/>
      <c:layout>
        <c:manualLayout>
          <c:xMode val="edge"/>
          <c:yMode val="edge"/>
          <c:x val="3.5050823694356817E-2"/>
          <c:y val="0.85681146643479378"/>
          <c:w val="0.94665685519593967"/>
          <c:h val="0.13029261871407177"/>
        </c:manualLayout>
      </c:layout>
      <c:overlay val="1"/>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700">
          <a:solidFill>
            <a:sysClr val="windowText" lastClr="000000"/>
          </a:solidFill>
          <a:latin typeface="+mn-lt"/>
        </a:defRPr>
      </a:pPr>
      <a:endParaRPr lang="id-ID"/>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840" b="0" i="0" u="none" strike="noStrike" kern="1200" spc="0" baseline="0">
                <a:solidFill>
                  <a:sysClr val="windowText" lastClr="000000"/>
                </a:solidFill>
                <a:latin typeface="+mn-lt"/>
                <a:ea typeface="+mn-ea"/>
                <a:cs typeface="+mn-cs"/>
              </a:defRPr>
            </a:pPr>
            <a:r>
              <a:rPr lang="id-ID"/>
              <a:t>ICE-van</a:t>
            </a:r>
          </a:p>
        </c:rich>
      </c:tx>
      <c:layout>
        <c:manualLayout>
          <c:xMode val="edge"/>
          <c:yMode val="edge"/>
          <c:x val="0.12472607919278225"/>
          <c:y val="5.1229508196721313E-2"/>
        </c:manualLayout>
      </c:layout>
      <c:overlay val="1"/>
      <c:spPr>
        <a:noFill/>
        <a:ln>
          <a:noFill/>
        </a:ln>
        <a:effectLst/>
      </c:spPr>
      <c:txPr>
        <a:bodyPr rot="0" spcFirstLastPara="1" vertOverflow="ellipsis" vert="horz" wrap="square" anchor="ctr" anchorCtr="1"/>
        <a:lstStyle/>
        <a:p>
          <a:pPr>
            <a:defRPr sz="840" b="0" i="0" u="none" strike="noStrike" kern="1200" spc="0" baseline="0">
              <a:solidFill>
                <a:sysClr val="windowText" lastClr="000000"/>
              </a:solidFill>
              <a:latin typeface="+mn-lt"/>
              <a:ea typeface="+mn-ea"/>
              <a:cs typeface="+mn-cs"/>
            </a:defRPr>
          </a:pPr>
          <a:endParaRPr lang="id-ID"/>
        </a:p>
      </c:txPr>
    </c:title>
    <c:autoTitleDeleted val="0"/>
    <c:plotArea>
      <c:layout>
        <c:manualLayout>
          <c:layoutTarget val="inner"/>
          <c:xMode val="edge"/>
          <c:yMode val="edge"/>
          <c:x val="9.8730055940434117E-2"/>
          <c:y val="6.2613843351548265E-2"/>
          <c:w val="0.83755205515493014"/>
          <c:h val="0.7140144195932564"/>
        </c:manualLayout>
      </c:layout>
      <c:lineChart>
        <c:grouping val="standard"/>
        <c:varyColors val="0"/>
        <c:ser>
          <c:idx val="1"/>
          <c:order val="0"/>
          <c:tx>
            <c:strRef>
              <c:f>Sensitivity!$P$34</c:f>
              <c:strCache>
                <c:ptCount val="1"/>
                <c:pt idx="0">
                  <c:v>Vehicle Price</c:v>
                </c:pt>
              </c:strCache>
            </c:strRef>
          </c:tx>
          <c:spPr>
            <a:ln w="12700" cap="rnd">
              <a:solidFill>
                <a:schemeClr val="accent1">
                  <a:lumMod val="50000"/>
                </a:schemeClr>
              </a:solidFill>
              <a:round/>
            </a:ln>
            <a:effectLst/>
          </c:spPr>
          <c:marker>
            <c:symbol val="circle"/>
            <c:size val="3"/>
            <c:spPr>
              <a:solidFill>
                <a:srgbClr val="002060"/>
              </a:solidFill>
              <a:ln w="9525">
                <a:noFill/>
              </a:ln>
              <a:effectLst/>
            </c:spPr>
          </c:marker>
          <c:cat>
            <c:numRef>
              <c:f>Sensitivity!$O$35:$O$45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Sensitivity!$P$35:$P$45</c:f>
              <c:numCache>
                <c:formatCode>0</c:formatCode>
                <c:ptCount val="11"/>
                <c:pt idx="0">
                  <c:v>-7.0027789199077537</c:v>
                </c:pt>
                <c:pt idx="1">
                  <c:v>-5.6022231359262165</c:v>
                </c:pt>
                <c:pt idx="2">
                  <c:v>-4.201667351944657</c:v>
                </c:pt>
                <c:pt idx="3">
                  <c:v>-2.8011115679630971</c:v>
                </c:pt>
                <c:pt idx="4">
                  <c:v>-1.4005557839815599</c:v>
                </c:pt>
                <c:pt idx="5">
                  <c:v>0</c:v>
                </c:pt>
                <c:pt idx="6">
                  <c:v>1.4005557839815599</c:v>
                </c:pt>
                <c:pt idx="7">
                  <c:v>2.8011115679630971</c:v>
                </c:pt>
                <c:pt idx="8">
                  <c:v>4.201667351944657</c:v>
                </c:pt>
                <c:pt idx="9">
                  <c:v>5.6022231359262165</c:v>
                </c:pt>
                <c:pt idx="10">
                  <c:v>7.0027789199077759</c:v>
                </c:pt>
              </c:numCache>
            </c:numRef>
          </c:val>
          <c:smooth val="0"/>
          <c:extLst>
            <c:ext xmlns:c16="http://schemas.microsoft.com/office/drawing/2014/chart" uri="{C3380CC4-5D6E-409C-BE32-E72D297353CC}">
              <c16:uniqueId val="{00000000-3695-4185-9DE5-125F0CA1FD5B}"/>
            </c:ext>
          </c:extLst>
        </c:ser>
        <c:ser>
          <c:idx val="2"/>
          <c:order val="1"/>
          <c:tx>
            <c:strRef>
              <c:f>Sensitivity!$Q$34</c:f>
              <c:strCache>
                <c:ptCount val="1"/>
                <c:pt idx="0">
                  <c:v>Fuel price</c:v>
                </c:pt>
              </c:strCache>
            </c:strRef>
          </c:tx>
          <c:spPr>
            <a:ln w="12700" cap="rnd">
              <a:solidFill>
                <a:schemeClr val="accent2"/>
              </a:solidFill>
              <a:round/>
            </a:ln>
            <a:effectLst/>
          </c:spPr>
          <c:marker>
            <c:symbol val="circle"/>
            <c:size val="3"/>
            <c:spPr>
              <a:solidFill>
                <a:schemeClr val="accent2"/>
              </a:solidFill>
              <a:ln w="9525">
                <a:noFill/>
              </a:ln>
              <a:effectLst/>
            </c:spPr>
          </c:marker>
          <c:cat>
            <c:numRef>
              <c:f>Sensitivity!$O$35:$O$45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Sensitivity!$Q$35:$Q$45</c:f>
              <c:numCache>
                <c:formatCode>0</c:formatCode>
                <c:ptCount val="11"/>
                <c:pt idx="0">
                  <c:v>-31.968495907900106</c:v>
                </c:pt>
                <c:pt idx="1">
                  <c:v>-25.574796726320091</c:v>
                </c:pt>
                <c:pt idx="2">
                  <c:v>-19.181097544740055</c:v>
                </c:pt>
                <c:pt idx="3">
                  <c:v>-12.787398363160019</c:v>
                </c:pt>
                <c:pt idx="4">
                  <c:v>-6.3936991815800273</c:v>
                </c:pt>
                <c:pt idx="5">
                  <c:v>0</c:v>
                </c:pt>
                <c:pt idx="6">
                  <c:v>6.3936991815800388</c:v>
                </c:pt>
                <c:pt idx="7">
                  <c:v>12.787398363160055</c:v>
                </c:pt>
                <c:pt idx="8">
                  <c:v>19.181097544740091</c:v>
                </c:pt>
                <c:pt idx="9">
                  <c:v>25.574796726320109</c:v>
                </c:pt>
                <c:pt idx="10">
                  <c:v>31.968495907900124</c:v>
                </c:pt>
              </c:numCache>
            </c:numRef>
          </c:val>
          <c:smooth val="0"/>
          <c:extLst>
            <c:ext xmlns:c16="http://schemas.microsoft.com/office/drawing/2014/chart" uri="{C3380CC4-5D6E-409C-BE32-E72D297353CC}">
              <c16:uniqueId val="{00000001-3695-4185-9DE5-125F0CA1FD5B}"/>
            </c:ext>
          </c:extLst>
        </c:ser>
        <c:ser>
          <c:idx val="3"/>
          <c:order val="2"/>
          <c:tx>
            <c:strRef>
              <c:f>Sensitivity!$R$34</c:f>
              <c:strCache>
                <c:ptCount val="1"/>
                <c:pt idx="0">
                  <c:v>O&amp;M costs</c:v>
                </c:pt>
              </c:strCache>
            </c:strRef>
          </c:tx>
          <c:spPr>
            <a:ln w="12700" cap="rnd">
              <a:solidFill>
                <a:srgbClr val="5B9BD5"/>
              </a:solidFill>
              <a:round/>
            </a:ln>
            <a:effectLst/>
          </c:spPr>
          <c:marker>
            <c:symbol val="circle"/>
            <c:size val="3"/>
            <c:spPr>
              <a:solidFill>
                <a:srgbClr val="5B9BD5"/>
              </a:solidFill>
              <a:ln w="9525">
                <a:noFill/>
              </a:ln>
              <a:effectLst/>
            </c:spPr>
          </c:marker>
          <c:cat>
            <c:numRef>
              <c:f>Sensitivity!$O$35:$O$45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Sensitivity!$R$35:$R$45</c:f>
              <c:numCache>
                <c:formatCode>0</c:formatCode>
                <c:ptCount val="11"/>
                <c:pt idx="0">
                  <c:v>-13.18328369165577</c:v>
                </c:pt>
                <c:pt idx="1">
                  <c:v>-10.546626953324626</c:v>
                </c:pt>
                <c:pt idx="2">
                  <c:v>-7.9099702149934723</c:v>
                </c:pt>
                <c:pt idx="3">
                  <c:v>-5.2733134766623078</c:v>
                </c:pt>
                <c:pt idx="4">
                  <c:v>-2.6366567383311539</c:v>
                </c:pt>
                <c:pt idx="5">
                  <c:v>0</c:v>
                </c:pt>
                <c:pt idx="6">
                  <c:v>2.6366567383311539</c:v>
                </c:pt>
                <c:pt idx="7">
                  <c:v>5.2733134766623078</c:v>
                </c:pt>
                <c:pt idx="8">
                  <c:v>7.9099702149934723</c:v>
                </c:pt>
                <c:pt idx="9">
                  <c:v>10.546626953324639</c:v>
                </c:pt>
                <c:pt idx="10">
                  <c:v>13.183283691655781</c:v>
                </c:pt>
              </c:numCache>
            </c:numRef>
          </c:val>
          <c:smooth val="0"/>
          <c:extLst>
            <c:ext xmlns:c16="http://schemas.microsoft.com/office/drawing/2014/chart" uri="{C3380CC4-5D6E-409C-BE32-E72D297353CC}">
              <c16:uniqueId val="{00000002-3695-4185-9DE5-125F0CA1FD5B}"/>
            </c:ext>
          </c:extLst>
        </c:ser>
        <c:ser>
          <c:idx val="4"/>
          <c:order val="3"/>
          <c:tx>
            <c:strRef>
              <c:f>Sensitivity!$S$34</c:f>
              <c:strCache>
                <c:ptCount val="1"/>
                <c:pt idx="0">
                  <c:v>AKT</c:v>
                </c:pt>
              </c:strCache>
            </c:strRef>
          </c:tx>
          <c:spPr>
            <a:ln w="12700" cap="rnd">
              <a:solidFill>
                <a:schemeClr val="accent4"/>
              </a:solidFill>
              <a:round/>
            </a:ln>
            <a:effectLst/>
          </c:spPr>
          <c:marker>
            <c:symbol val="circle"/>
            <c:size val="3"/>
            <c:spPr>
              <a:solidFill>
                <a:schemeClr val="accent4"/>
              </a:solidFill>
              <a:ln w="9525">
                <a:noFill/>
              </a:ln>
              <a:effectLst/>
            </c:spPr>
          </c:marker>
          <c:cat>
            <c:numRef>
              <c:f>Sensitivity!$O$35:$O$45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Sensitivity!$S$35:$S$45</c:f>
              <c:numCache>
                <c:formatCode>0</c:formatCode>
                <c:ptCount val="11"/>
                <c:pt idx="0">
                  <c:v>-45.15177959955588</c:v>
                </c:pt>
                <c:pt idx="1">
                  <c:v>-36.121423679644707</c:v>
                </c:pt>
                <c:pt idx="2">
                  <c:v>-27.091067759733527</c:v>
                </c:pt>
                <c:pt idx="3">
                  <c:v>-18.060711839822361</c:v>
                </c:pt>
                <c:pt idx="4">
                  <c:v>-9.0303559199111572</c:v>
                </c:pt>
                <c:pt idx="5">
                  <c:v>0</c:v>
                </c:pt>
                <c:pt idx="6">
                  <c:v>9.0303559199111803</c:v>
                </c:pt>
                <c:pt idx="7">
                  <c:v>18.060711839822361</c:v>
                </c:pt>
                <c:pt idx="8">
                  <c:v>27.091067759733541</c:v>
                </c:pt>
                <c:pt idx="9">
                  <c:v>36.121423679644721</c:v>
                </c:pt>
                <c:pt idx="10">
                  <c:v>45.15177959955588</c:v>
                </c:pt>
              </c:numCache>
            </c:numRef>
          </c:val>
          <c:smooth val="0"/>
          <c:extLst>
            <c:ext xmlns:c16="http://schemas.microsoft.com/office/drawing/2014/chart" uri="{C3380CC4-5D6E-409C-BE32-E72D297353CC}">
              <c16:uniqueId val="{00000003-3695-4185-9DE5-125F0CA1FD5B}"/>
            </c:ext>
          </c:extLst>
        </c:ser>
        <c:ser>
          <c:idx val="5"/>
          <c:order val="4"/>
          <c:tx>
            <c:strRef>
              <c:f>Sensitivity!$T$34</c:f>
              <c:strCache>
                <c:ptCount val="1"/>
                <c:pt idx="0">
                  <c:v>Energy Efficiency</c:v>
                </c:pt>
              </c:strCache>
            </c:strRef>
          </c:tx>
          <c:spPr>
            <a:ln w="12700" cap="rnd">
              <a:solidFill>
                <a:srgbClr val="C00000"/>
              </a:solidFill>
              <a:round/>
            </a:ln>
            <a:effectLst/>
          </c:spPr>
          <c:marker>
            <c:symbol val="circle"/>
            <c:size val="3"/>
            <c:spPr>
              <a:solidFill>
                <a:srgbClr val="C00000"/>
              </a:solidFill>
              <a:ln w="9525">
                <a:noFill/>
              </a:ln>
              <a:effectLst/>
            </c:spPr>
          </c:marker>
          <c:cat>
            <c:numRef>
              <c:f>Sensitivity!$O$35:$O$45</c:f>
              <c:numCache>
                <c:formatCode>General</c:formatCode>
                <c:ptCount val="11"/>
                <c:pt idx="0">
                  <c:v>-50</c:v>
                </c:pt>
                <c:pt idx="1">
                  <c:v>-40</c:v>
                </c:pt>
                <c:pt idx="2">
                  <c:v>-30</c:v>
                </c:pt>
                <c:pt idx="3">
                  <c:v>-20</c:v>
                </c:pt>
                <c:pt idx="4">
                  <c:v>-10</c:v>
                </c:pt>
                <c:pt idx="5">
                  <c:v>0</c:v>
                </c:pt>
                <c:pt idx="6">
                  <c:v>10</c:v>
                </c:pt>
                <c:pt idx="7">
                  <c:v>20</c:v>
                </c:pt>
                <c:pt idx="8">
                  <c:v>30</c:v>
                </c:pt>
                <c:pt idx="9">
                  <c:v>40</c:v>
                </c:pt>
                <c:pt idx="10">
                  <c:v>50</c:v>
                </c:pt>
              </c:numCache>
            </c:numRef>
          </c:cat>
          <c:val>
            <c:numRef>
              <c:f>Sensitivity!$T$35:$T$45</c:f>
              <c:numCache>
                <c:formatCode>0</c:formatCode>
                <c:ptCount val="11"/>
                <c:pt idx="0">
                  <c:v>31.968495907900095</c:v>
                </c:pt>
                <c:pt idx="1">
                  <c:v>25.574796726320109</c:v>
                </c:pt>
                <c:pt idx="2">
                  <c:v>19.181097544740091</c:v>
                </c:pt>
                <c:pt idx="3">
                  <c:v>12.787398363160055</c:v>
                </c:pt>
                <c:pt idx="4">
                  <c:v>6.393699181580061</c:v>
                </c:pt>
                <c:pt idx="5">
                  <c:v>0</c:v>
                </c:pt>
                <c:pt idx="6">
                  <c:v>-6.3936991815800273</c:v>
                </c:pt>
                <c:pt idx="7">
                  <c:v>-12.787398363160019</c:v>
                </c:pt>
                <c:pt idx="8">
                  <c:v>-19.181097544740055</c:v>
                </c:pt>
                <c:pt idx="9">
                  <c:v>-25.574796726320091</c:v>
                </c:pt>
                <c:pt idx="10">
                  <c:v>-31.968495907900106</c:v>
                </c:pt>
              </c:numCache>
            </c:numRef>
          </c:val>
          <c:smooth val="0"/>
          <c:extLst>
            <c:ext xmlns:c16="http://schemas.microsoft.com/office/drawing/2014/chart" uri="{C3380CC4-5D6E-409C-BE32-E72D297353CC}">
              <c16:uniqueId val="{00000004-3695-4185-9DE5-125F0CA1FD5B}"/>
            </c:ext>
          </c:extLst>
        </c:ser>
        <c:dLbls>
          <c:showLegendKey val="0"/>
          <c:showVal val="0"/>
          <c:showCatName val="0"/>
          <c:showSerName val="0"/>
          <c:showPercent val="0"/>
          <c:showBubbleSize val="0"/>
        </c:dLbls>
        <c:marker val="1"/>
        <c:smooth val="0"/>
        <c:axId val="240839615"/>
        <c:axId val="240840095"/>
      </c:lineChart>
      <c:catAx>
        <c:axId val="240839615"/>
        <c:scaling>
          <c:orientation val="minMax"/>
        </c:scaling>
        <c:delete val="0"/>
        <c:axPos val="b"/>
        <c:title>
          <c:tx>
            <c:rich>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id-ID"/>
                  <a:t>∆Parameter (%)</a:t>
                </a:r>
              </a:p>
            </c:rich>
          </c:tx>
          <c:layout>
            <c:manualLayout>
              <c:xMode val="edge"/>
              <c:yMode val="edge"/>
              <c:x val="0.72215807039974622"/>
              <c:y val="0.43965933631892218"/>
            </c:manualLayout>
          </c:layout>
          <c:overlay val="0"/>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General" sourceLinked="1"/>
        <c:majorTickMark val="out"/>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40095"/>
        <c:crossesAt val="0"/>
        <c:auto val="1"/>
        <c:lblAlgn val="ctr"/>
        <c:lblOffset val="100"/>
        <c:tickLblSkip val="1"/>
        <c:noMultiLvlLbl val="0"/>
      </c:catAx>
      <c:valAx>
        <c:axId val="240840095"/>
        <c:scaling>
          <c:orientation val="minMax"/>
        </c:scaling>
        <c:delete val="0"/>
        <c:axPos val="l"/>
        <c:title>
          <c:tx>
            <c:rich>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r>
                  <a:rPr lang="id-ID"/>
                  <a:t>∆TCO (%)</a:t>
                </a:r>
              </a:p>
            </c:rich>
          </c:tx>
          <c:layout>
            <c:manualLayout>
              <c:xMode val="edge"/>
              <c:yMode val="edge"/>
              <c:x val="0.52920813154493507"/>
              <c:y val="6.3830815757463813E-2"/>
            </c:manualLayout>
          </c:layout>
          <c:overlay val="0"/>
          <c:spPr>
            <a:noFill/>
            <a:ln>
              <a:noFill/>
            </a:ln>
            <a:effectLst/>
          </c:spPr>
          <c:txPr>
            <a:bodyPr rot="-54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title>
        <c:numFmt formatCode="0" sourceLinked="1"/>
        <c:majorTickMark val="out"/>
        <c:minorTickMark val="none"/>
        <c:tickLblPos val="nextTo"/>
        <c:spPr>
          <a:noFill/>
          <a:ln w="6350">
            <a:solidFill>
              <a:schemeClr val="tx1"/>
            </a:solidFill>
          </a:ln>
          <a:effectLst/>
        </c:spPr>
        <c:txPr>
          <a:bodyPr rot="-6000000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crossAx val="240839615"/>
        <c:crossesAt val="6"/>
        <c:crossBetween val="midCat"/>
      </c:valAx>
      <c:spPr>
        <a:noFill/>
        <a:ln>
          <a:noFill/>
        </a:ln>
        <a:effectLst/>
      </c:spPr>
    </c:plotArea>
    <c:legend>
      <c:legendPos val="b"/>
      <c:layout>
        <c:manualLayout>
          <c:xMode val="edge"/>
          <c:yMode val="edge"/>
          <c:x val="3.5050823694356817E-2"/>
          <c:y val="0.85182033803049384"/>
          <c:w val="0.94665685519593967"/>
          <c:h val="0.13528372592058388"/>
        </c:manualLayout>
      </c:layout>
      <c:overlay val="1"/>
      <c:spPr>
        <a:noFill/>
        <a:ln>
          <a:noFill/>
        </a:ln>
        <a:effectLst/>
      </c:spPr>
      <c:txPr>
        <a:bodyPr rot="0" spcFirstLastPara="1" vertOverflow="ellipsis" vert="horz" wrap="square" anchor="ctr" anchorCtr="1"/>
        <a:lstStyle/>
        <a:p>
          <a:pPr>
            <a:defRPr sz="700" b="0" i="0" u="none" strike="noStrike" kern="1200" baseline="0">
              <a:solidFill>
                <a:sysClr val="windowText" lastClr="000000"/>
              </a:solidFill>
              <a:latin typeface="+mn-lt"/>
              <a:ea typeface="+mn-ea"/>
              <a:cs typeface="+mn-cs"/>
            </a:defRPr>
          </a:pPr>
          <a:endParaRPr lang="id-ID"/>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700">
          <a:solidFill>
            <a:sysClr val="windowText" lastClr="000000"/>
          </a:solidFill>
          <a:latin typeface="+mn-lt"/>
        </a:defRPr>
      </a:pPr>
      <a:endParaRPr lang="id-I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6</xdr:col>
      <xdr:colOff>339435</xdr:colOff>
      <xdr:row>62</xdr:row>
      <xdr:rowOff>131617</xdr:rowOff>
    </xdr:from>
    <xdr:to>
      <xdr:col>10</xdr:col>
      <xdr:colOff>318655</xdr:colOff>
      <xdr:row>82</xdr:row>
      <xdr:rowOff>166254</xdr:rowOff>
    </xdr:to>
    <xdr:graphicFrame macro="">
      <xdr:nvGraphicFramePr>
        <xdr:cNvPr id="3" name="Chart 2">
          <a:extLst>
            <a:ext uri="{FF2B5EF4-FFF2-40B4-BE49-F238E27FC236}">
              <a16:creationId xmlns:a16="http://schemas.microsoft.com/office/drawing/2014/main" id="{D2B92A7F-A34F-6B19-D05C-D1ECC170A2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41564</xdr:colOff>
      <xdr:row>62</xdr:row>
      <xdr:rowOff>69272</xdr:rowOff>
    </xdr:from>
    <xdr:to>
      <xdr:col>17</xdr:col>
      <xdr:colOff>921328</xdr:colOff>
      <xdr:row>82</xdr:row>
      <xdr:rowOff>103909</xdr:rowOff>
    </xdr:to>
    <xdr:graphicFrame macro="">
      <xdr:nvGraphicFramePr>
        <xdr:cNvPr id="4" name="Chart 3">
          <a:extLst>
            <a:ext uri="{FF2B5EF4-FFF2-40B4-BE49-F238E27FC236}">
              <a16:creationId xmlns:a16="http://schemas.microsoft.com/office/drawing/2014/main" id="{BA3CF90C-F23B-44A3-934E-2D7D3E9D9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339435</xdr:colOff>
      <xdr:row>62</xdr:row>
      <xdr:rowOff>131617</xdr:rowOff>
    </xdr:from>
    <xdr:to>
      <xdr:col>10</xdr:col>
      <xdr:colOff>318655</xdr:colOff>
      <xdr:row>82</xdr:row>
      <xdr:rowOff>166254</xdr:rowOff>
    </xdr:to>
    <xdr:graphicFrame macro="">
      <xdr:nvGraphicFramePr>
        <xdr:cNvPr id="2" name="Chart 1">
          <a:extLst>
            <a:ext uri="{FF2B5EF4-FFF2-40B4-BE49-F238E27FC236}">
              <a16:creationId xmlns:a16="http://schemas.microsoft.com/office/drawing/2014/main" id="{C2D3459C-56B5-42BC-B270-D1CAF1DB1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41564</xdr:colOff>
      <xdr:row>62</xdr:row>
      <xdr:rowOff>69272</xdr:rowOff>
    </xdr:from>
    <xdr:to>
      <xdr:col>17</xdr:col>
      <xdr:colOff>0</xdr:colOff>
      <xdr:row>82</xdr:row>
      <xdr:rowOff>103909</xdr:rowOff>
    </xdr:to>
    <xdr:graphicFrame macro="">
      <xdr:nvGraphicFramePr>
        <xdr:cNvPr id="3" name="Chart 2">
          <a:extLst>
            <a:ext uri="{FF2B5EF4-FFF2-40B4-BE49-F238E27FC236}">
              <a16:creationId xmlns:a16="http://schemas.microsoft.com/office/drawing/2014/main" id="{40BF2003-2421-478D-BAD7-DF123579A3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339435</xdr:colOff>
      <xdr:row>62</xdr:row>
      <xdr:rowOff>131617</xdr:rowOff>
    </xdr:from>
    <xdr:to>
      <xdr:col>10</xdr:col>
      <xdr:colOff>318655</xdr:colOff>
      <xdr:row>82</xdr:row>
      <xdr:rowOff>166254</xdr:rowOff>
    </xdr:to>
    <xdr:graphicFrame macro="">
      <xdr:nvGraphicFramePr>
        <xdr:cNvPr id="2" name="Chart 1">
          <a:extLst>
            <a:ext uri="{FF2B5EF4-FFF2-40B4-BE49-F238E27FC236}">
              <a16:creationId xmlns:a16="http://schemas.microsoft.com/office/drawing/2014/main" id="{267E011C-A3B7-4F2A-8FBC-A5A26F506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41564</xdr:colOff>
      <xdr:row>62</xdr:row>
      <xdr:rowOff>69272</xdr:rowOff>
    </xdr:from>
    <xdr:to>
      <xdr:col>17</xdr:col>
      <xdr:colOff>921328</xdr:colOff>
      <xdr:row>82</xdr:row>
      <xdr:rowOff>103909</xdr:rowOff>
    </xdr:to>
    <xdr:graphicFrame macro="">
      <xdr:nvGraphicFramePr>
        <xdr:cNvPr id="3" name="Chart 2">
          <a:extLst>
            <a:ext uri="{FF2B5EF4-FFF2-40B4-BE49-F238E27FC236}">
              <a16:creationId xmlns:a16="http://schemas.microsoft.com/office/drawing/2014/main" id="{F498B091-E4F6-4A51-A8E7-0CED28EA8D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339435</xdr:colOff>
      <xdr:row>62</xdr:row>
      <xdr:rowOff>131617</xdr:rowOff>
    </xdr:from>
    <xdr:to>
      <xdr:col>10</xdr:col>
      <xdr:colOff>318655</xdr:colOff>
      <xdr:row>82</xdr:row>
      <xdr:rowOff>166254</xdr:rowOff>
    </xdr:to>
    <xdr:graphicFrame macro="">
      <xdr:nvGraphicFramePr>
        <xdr:cNvPr id="2" name="Chart 1">
          <a:extLst>
            <a:ext uri="{FF2B5EF4-FFF2-40B4-BE49-F238E27FC236}">
              <a16:creationId xmlns:a16="http://schemas.microsoft.com/office/drawing/2014/main" id="{3181E348-D7A8-4F1A-9E05-79B05A810B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41564</xdr:colOff>
      <xdr:row>62</xdr:row>
      <xdr:rowOff>69272</xdr:rowOff>
    </xdr:from>
    <xdr:to>
      <xdr:col>17</xdr:col>
      <xdr:colOff>0</xdr:colOff>
      <xdr:row>82</xdr:row>
      <xdr:rowOff>103909</xdr:rowOff>
    </xdr:to>
    <xdr:graphicFrame macro="">
      <xdr:nvGraphicFramePr>
        <xdr:cNvPr id="3" name="Chart 2">
          <a:extLst>
            <a:ext uri="{FF2B5EF4-FFF2-40B4-BE49-F238E27FC236}">
              <a16:creationId xmlns:a16="http://schemas.microsoft.com/office/drawing/2014/main" id="{849FC710-80C7-4C2B-9952-9267919616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339435</xdr:colOff>
      <xdr:row>62</xdr:row>
      <xdr:rowOff>131617</xdr:rowOff>
    </xdr:from>
    <xdr:to>
      <xdr:col>10</xdr:col>
      <xdr:colOff>318655</xdr:colOff>
      <xdr:row>82</xdr:row>
      <xdr:rowOff>166254</xdr:rowOff>
    </xdr:to>
    <xdr:graphicFrame macro="">
      <xdr:nvGraphicFramePr>
        <xdr:cNvPr id="2" name="Chart 1">
          <a:extLst>
            <a:ext uri="{FF2B5EF4-FFF2-40B4-BE49-F238E27FC236}">
              <a16:creationId xmlns:a16="http://schemas.microsoft.com/office/drawing/2014/main" id="{41BF71C4-7360-409A-8E3E-56F7E9A50C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41564</xdr:colOff>
      <xdr:row>62</xdr:row>
      <xdr:rowOff>69272</xdr:rowOff>
    </xdr:from>
    <xdr:to>
      <xdr:col>17</xdr:col>
      <xdr:colOff>921328</xdr:colOff>
      <xdr:row>82</xdr:row>
      <xdr:rowOff>103909</xdr:rowOff>
    </xdr:to>
    <xdr:graphicFrame macro="">
      <xdr:nvGraphicFramePr>
        <xdr:cNvPr id="3" name="Chart 2">
          <a:extLst>
            <a:ext uri="{FF2B5EF4-FFF2-40B4-BE49-F238E27FC236}">
              <a16:creationId xmlns:a16="http://schemas.microsoft.com/office/drawing/2014/main" id="{C27BC6CF-849B-4BDC-A101-8F6803558D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339435</xdr:colOff>
      <xdr:row>62</xdr:row>
      <xdr:rowOff>131617</xdr:rowOff>
    </xdr:from>
    <xdr:to>
      <xdr:col>10</xdr:col>
      <xdr:colOff>318655</xdr:colOff>
      <xdr:row>82</xdr:row>
      <xdr:rowOff>166254</xdr:rowOff>
    </xdr:to>
    <xdr:graphicFrame macro="">
      <xdr:nvGraphicFramePr>
        <xdr:cNvPr id="2" name="Chart 1">
          <a:extLst>
            <a:ext uri="{FF2B5EF4-FFF2-40B4-BE49-F238E27FC236}">
              <a16:creationId xmlns:a16="http://schemas.microsoft.com/office/drawing/2014/main" id="{108941B4-ACB4-4B68-9A16-F21427370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41564</xdr:colOff>
      <xdr:row>62</xdr:row>
      <xdr:rowOff>69272</xdr:rowOff>
    </xdr:from>
    <xdr:to>
      <xdr:col>17</xdr:col>
      <xdr:colOff>0</xdr:colOff>
      <xdr:row>82</xdr:row>
      <xdr:rowOff>103909</xdr:rowOff>
    </xdr:to>
    <xdr:graphicFrame macro="">
      <xdr:nvGraphicFramePr>
        <xdr:cNvPr id="3" name="Chart 2">
          <a:extLst>
            <a:ext uri="{FF2B5EF4-FFF2-40B4-BE49-F238E27FC236}">
              <a16:creationId xmlns:a16="http://schemas.microsoft.com/office/drawing/2014/main" id="{4BFA46AE-9882-42A1-8A92-1AF77A61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345515</xdr:colOff>
      <xdr:row>2</xdr:row>
      <xdr:rowOff>0</xdr:rowOff>
    </xdr:from>
    <xdr:to>
      <xdr:col>13</xdr:col>
      <xdr:colOff>122694</xdr:colOff>
      <xdr:row>15</xdr:row>
      <xdr:rowOff>132379</xdr:rowOff>
    </xdr:to>
    <xdr:graphicFrame macro="">
      <xdr:nvGraphicFramePr>
        <xdr:cNvPr id="8" name="Chart 7">
          <a:extLst>
            <a:ext uri="{FF2B5EF4-FFF2-40B4-BE49-F238E27FC236}">
              <a16:creationId xmlns:a16="http://schemas.microsoft.com/office/drawing/2014/main" id="{57F101CF-2C49-44A0-A84E-EAB21B9661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354853</xdr:colOff>
      <xdr:row>17</xdr:row>
      <xdr:rowOff>37353</xdr:rowOff>
    </xdr:from>
    <xdr:to>
      <xdr:col>13</xdr:col>
      <xdr:colOff>129190</xdr:colOff>
      <xdr:row>30</xdr:row>
      <xdr:rowOff>169731</xdr:rowOff>
    </xdr:to>
    <xdr:graphicFrame macro="">
      <xdr:nvGraphicFramePr>
        <xdr:cNvPr id="9" name="Chart 8">
          <a:extLst>
            <a:ext uri="{FF2B5EF4-FFF2-40B4-BE49-F238E27FC236}">
              <a16:creationId xmlns:a16="http://schemas.microsoft.com/office/drawing/2014/main" id="{E570F60F-2BC3-4818-B370-0E22C5E06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233456</xdr:colOff>
      <xdr:row>32</xdr:row>
      <xdr:rowOff>28015</xdr:rowOff>
    </xdr:from>
    <xdr:to>
      <xdr:col>13</xdr:col>
      <xdr:colOff>7793</xdr:colOff>
      <xdr:row>45</xdr:row>
      <xdr:rowOff>160394</xdr:rowOff>
    </xdr:to>
    <xdr:graphicFrame macro="">
      <xdr:nvGraphicFramePr>
        <xdr:cNvPr id="10" name="Chart 9">
          <a:extLst>
            <a:ext uri="{FF2B5EF4-FFF2-40B4-BE49-F238E27FC236}">
              <a16:creationId xmlns:a16="http://schemas.microsoft.com/office/drawing/2014/main" id="{6D719169-3EEB-4B7F-AC30-E2A2D47DC7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0</xdr:colOff>
      <xdr:row>2</xdr:row>
      <xdr:rowOff>0</xdr:rowOff>
    </xdr:from>
    <xdr:to>
      <xdr:col>25</xdr:col>
      <xdr:colOff>449025</xdr:colOff>
      <xdr:row>15</xdr:row>
      <xdr:rowOff>132379</xdr:rowOff>
    </xdr:to>
    <xdr:graphicFrame macro="">
      <xdr:nvGraphicFramePr>
        <xdr:cNvPr id="11" name="Chart 10">
          <a:extLst>
            <a:ext uri="{FF2B5EF4-FFF2-40B4-BE49-F238E27FC236}">
              <a16:creationId xmlns:a16="http://schemas.microsoft.com/office/drawing/2014/main" id="{EC78FA66-F70A-47EA-B4E9-BBADA6625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21</xdr:col>
      <xdr:colOff>0</xdr:colOff>
      <xdr:row>17</xdr:row>
      <xdr:rowOff>0</xdr:rowOff>
    </xdr:from>
    <xdr:to>
      <xdr:col>25</xdr:col>
      <xdr:colOff>449025</xdr:colOff>
      <xdr:row>30</xdr:row>
      <xdr:rowOff>132378</xdr:rowOff>
    </xdr:to>
    <xdr:graphicFrame macro="">
      <xdr:nvGraphicFramePr>
        <xdr:cNvPr id="12" name="Chart 11">
          <a:extLst>
            <a:ext uri="{FF2B5EF4-FFF2-40B4-BE49-F238E27FC236}">
              <a16:creationId xmlns:a16="http://schemas.microsoft.com/office/drawing/2014/main" id="{1DB09BBC-2AAC-4FA8-9EAD-1200CBA01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21</xdr:col>
      <xdr:colOff>0</xdr:colOff>
      <xdr:row>32</xdr:row>
      <xdr:rowOff>0</xdr:rowOff>
    </xdr:from>
    <xdr:to>
      <xdr:col>25</xdr:col>
      <xdr:colOff>449025</xdr:colOff>
      <xdr:row>45</xdr:row>
      <xdr:rowOff>132379</xdr:rowOff>
    </xdr:to>
    <xdr:graphicFrame macro="">
      <xdr:nvGraphicFramePr>
        <xdr:cNvPr id="13" name="Chart 12">
          <a:extLst>
            <a:ext uri="{FF2B5EF4-FFF2-40B4-BE49-F238E27FC236}">
              <a16:creationId xmlns:a16="http://schemas.microsoft.com/office/drawing/2014/main" id="{A3EC2709-0964-4C5E-8236-34D7FAB50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c6908e728f1b34df/Paper%20ERIA/Xls%20baru%2029092024/TCO_Thailand%2025092024.xlsx" TargetMode="External"/><Relationship Id="rId1" Type="http://schemas.openxmlformats.org/officeDocument/2006/relationships/externalLinkPath" Target="TCO_Thailand%20250920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Bus TH"/>
      <sheetName val="ICE-Bus TH"/>
      <sheetName val="E-Truck TH"/>
      <sheetName val="ICE-Truck TH"/>
      <sheetName val="E-Cargo TH"/>
      <sheetName val="ICE-Cargo TH"/>
      <sheetName val="Sensitivity"/>
    </sheetNames>
    <sheetDataSet>
      <sheetData sheetId="0"/>
      <sheetData sheetId="1"/>
      <sheetData sheetId="2"/>
      <sheetData sheetId="3"/>
      <sheetData sheetId="4"/>
      <sheetData sheetId="5"/>
      <sheetData sheetId="6">
        <row r="4">
          <cell r="C4" t="str">
            <v>Vehicle Price</v>
          </cell>
          <cell r="D4" t="str">
            <v>Electricity tarrif</v>
          </cell>
          <cell r="E4" t="str">
            <v>Battery cost</v>
          </cell>
          <cell r="F4" t="str">
            <v>AKT</v>
          </cell>
          <cell r="G4" t="str">
            <v>O&amp;M costs</v>
          </cell>
          <cell r="H4" t="str">
            <v>Energy Efficiency</v>
          </cell>
          <cell r="P4" t="str">
            <v>Vehicle Price</v>
          </cell>
          <cell r="Q4" t="str">
            <v>Fuel price</v>
          </cell>
          <cell r="R4" t="str">
            <v>O&amp;M costs</v>
          </cell>
          <cell r="S4" t="str">
            <v>AKT</v>
          </cell>
          <cell r="T4" t="str">
            <v>Energy Efficiency</v>
          </cell>
        </row>
        <row r="5">
          <cell r="B5">
            <v>-50</v>
          </cell>
          <cell r="C5">
            <v>-33.91886901865854</v>
          </cell>
          <cell r="D5">
            <v>-8.6848791959787892</v>
          </cell>
          <cell r="E5">
            <v>-3.9335217890154777</v>
          </cell>
          <cell r="F5">
            <v>-22.706613958277778</v>
          </cell>
          <cell r="G5">
            <v>-14.021734762298971</v>
          </cell>
          <cell r="H5">
            <v>8.6848791959788212</v>
          </cell>
          <cell r="O5">
            <v>-50</v>
          </cell>
          <cell r="P5">
            <v>-15.854368027842799</v>
          </cell>
          <cell r="Q5">
            <v>-29.202684266710367</v>
          </cell>
          <cell r="R5">
            <v>-9.252787616740612</v>
          </cell>
          <cell r="S5">
            <v>-38.455471883450983</v>
          </cell>
          <cell r="T5">
            <v>29.202684266710367</v>
          </cell>
        </row>
        <row r="6">
          <cell r="B6">
            <v>-40</v>
          </cell>
          <cell r="C6">
            <v>-27.135095214926842</v>
          </cell>
          <cell r="D6">
            <v>-6.9479033567830477</v>
          </cell>
          <cell r="E6">
            <v>-3.1468174312123667</v>
          </cell>
          <cell r="F6">
            <v>-18.165291166622222</v>
          </cell>
          <cell r="G6">
            <v>-11.217387809839174</v>
          </cell>
          <cell r="H6">
            <v>6.9479033567830788</v>
          </cell>
          <cell r="O6">
            <v>-40</v>
          </cell>
          <cell r="P6">
            <v>-12.683494422274244</v>
          </cell>
          <cell r="Q6">
            <v>-23.362147413368277</v>
          </cell>
          <cell r="R6">
            <v>-7.402230093392502</v>
          </cell>
          <cell r="S6">
            <v>-30.764377506760798</v>
          </cell>
          <cell r="T6">
            <v>23.362147413368277</v>
          </cell>
        </row>
        <row r="7">
          <cell r="B7">
            <v>-30</v>
          </cell>
          <cell r="C7">
            <v>-20.35132141119513</v>
          </cell>
          <cell r="D7">
            <v>-5.2109275175872742</v>
          </cell>
          <cell r="E7">
            <v>-2.3601130734092868</v>
          </cell>
          <cell r="F7">
            <v>-13.623968374966635</v>
          </cell>
          <cell r="G7">
            <v>-8.4130408573793929</v>
          </cell>
          <cell r="H7">
            <v>5.2109275175873053</v>
          </cell>
          <cell r="O7">
            <v>-30</v>
          </cell>
          <cell r="P7">
            <v>-9.512620816705688</v>
          </cell>
          <cell r="Q7">
            <v>-17.521610560026208</v>
          </cell>
          <cell r="R7">
            <v>-5.5516725700443592</v>
          </cell>
          <cell r="S7">
            <v>-23.073283130070585</v>
          </cell>
          <cell r="T7">
            <v>17.521610560026208</v>
          </cell>
        </row>
        <row r="8">
          <cell r="B8">
            <v>-20</v>
          </cell>
          <cell r="C8">
            <v>-13.567547607463407</v>
          </cell>
          <cell r="D8">
            <v>-3.4739516783915008</v>
          </cell>
          <cell r="E8">
            <v>-1.5734087156061911</v>
          </cell>
          <cell r="F8">
            <v>-9.0826455833110806</v>
          </cell>
          <cell r="G8">
            <v>-5.6086939049195639</v>
          </cell>
          <cell r="H8">
            <v>3.4739516783915318</v>
          </cell>
          <cell r="O8">
            <v>-20</v>
          </cell>
          <cell r="P8">
            <v>-6.3417472111371138</v>
          </cell>
          <cell r="Q8">
            <v>-11.681073706684156</v>
          </cell>
          <cell r="R8">
            <v>-3.701115046696251</v>
          </cell>
          <cell r="S8">
            <v>-15.38218875338039</v>
          </cell>
          <cell r="T8">
            <v>11.681073706684138</v>
          </cell>
        </row>
        <row r="9">
          <cell r="B9">
            <v>-10</v>
          </cell>
          <cell r="C9">
            <v>-6.7837738037316946</v>
          </cell>
          <cell r="D9">
            <v>-1.7369758391957268</v>
          </cell>
          <cell r="E9">
            <v>-0.78670435780309556</v>
          </cell>
          <cell r="F9">
            <v>-4.5413227916555243</v>
          </cell>
          <cell r="G9">
            <v>-2.8043469524597819</v>
          </cell>
          <cell r="H9">
            <v>1.7369758391957892</v>
          </cell>
          <cell r="O9">
            <v>-10</v>
          </cell>
          <cell r="P9">
            <v>-3.1708736055685569</v>
          </cell>
          <cell r="Q9">
            <v>-5.8405368533420523</v>
          </cell>
          <cell r="R9">
            <v>-1.8505575233481255</v>
          </cell>
          <cell r="S9">
            <v>-7.691094376690212</v>
          </cell>
          <cell r="T9">
            <v>5.8405368533420869</v>
          </cell>
        </row>
        <row r="10">
          <cell r="B10">
            <v>0</v>
          </cell>
          <cell r="C10">
            <v>0</v>
          </cell>
          <cell r="D10">
            <v>0</v>
          </cell>
          <cell r="E10">
            <v>0</v>
          </cell>
          <cell r="F10">
            <v>0</v>
          </cell>
          <cell r="G10">
            <v>0</v>
          </cell>
          <cell r="H10">
            <v>0</v>
          </cell>
          <cell r="O10">
            <v>0</v>
          </cell>
          <cell r="P10">
            <v>0</v>
          </cell>
          <cell r="Q10">
            <v>0</v>
          </cell>
          <cell r="R10">
            <v>0</v>
          </cell>
          <cell r="S10">
            <v>0</v>
          </cell>
          <cell r="T10">
            <v>0</v>
          </cell>
        </row>
        <row r="11">
          <cell r="B11">
            <v>10</v>
          </cell>
          <cell r="C11">
            <v>6.7837738037317266</v>
          </cell>
          <cell r="D11">
            <v>1.7369758391957892</v>
          </cell>
          <cell r="E11">
            <v>0.78670435780309556</v>
          </cell>
          <cell r="F11">
            <v>4.5413227916556025</v>
          </cell>
          <cell r="G11">
            <v>2.8043469524598286</v>
          </cell>
          <cell r="H11">
            <v>-1.7369758391957268</v>
          </cell>
          <cell r="O11">
            <v>10</v>
          </cell>
          <cell r="P11">
            <v>3.1708736055685569</v>
          </cell>
          <cell r="Q11">
            <v>5.8405368533420869</v>
          </cell>
          <cell r="R11">
            <v>1.8505575233481428</v>
          </cell>
          <cell r="S11">
            <v>7.691094376690212</v>
          </cell>
          <cell r="T11">
            <v>-5.8405368533420523</v>
          </cell>
        </row>
        <row r="12">
          <cell r="B12">
            <v>20</v>
          </cell>
          <cell r="C12">
            <v>13.567547607463421</v>
          </cell>
          <cell r="D12">
            <v>3.4739516783915318</v>
          </cell>
          <cell r="E12">
            <v>1.5734087156062067</v>
          </cell>
          <cell r="F12">
            <v>11.867236970441136</v>
          </cell>
          <cell r="G12">
            <v>5.608693904919611</v>
          </cell>
          <cell r="H12">
            <v>-3.4739516783915008</v>
          </cell>
          <cell r="O12">
            <v>20</v>
          </cell>
          <cell r="P12">
            <v>6.3417472111371307</v>
          </cell>
          <cell r="Q12">
            <v>11.681073706684138</v>
          </cell>
          <cell r="R12">
            <v>3.701115046696251</v>
          </cell>
          <cell r="S12">
            <v>15.38218875338039</v>
          </cell>
          <cell r="T12">
            <v>-11.681073706684156</v>
          </cell>
        </row>
        <row r="13">
          <cell r="B13">
            <v>30</v>
          </cell>
          <cell r="C13">
            <v>20.35132141119513</v>
          </cell>
          <cell r="D13">
            <v>5.2109275175873053</v>
          </cell>
          <cell r="E13">
            <v>2.3601130734093023</v>
          </cell>
          <cell r="F13">
            <v>16.547789331453181</v>
          </cell>
          <cell r="G13">
            <v>8.4130408573794391</v>
          </cell>
          <cell r="H13">
            <v>-5.2109275175872742</v>
          </cell>
          <cell r="O13">
            <v>30</v>
          </cell>
          <cell r="P13">
            <v>9.512620816705688</v>
          </cell>
          <cell r="Q13">
            <v>17.521610560026208</v>
          </cell>
          <cell r="R13">
            <v>5.551672570044377</v>
          </cell>
          <cell r="S13">
            <v>23.073283130070603</v>
          </cell>
          <cell r="T13">
            <v>-17.521610560026208</v>
          </cell>
        </row>
        <row r="14">
          <cell r="B14">
            <v>40</v>
          </cell>
          <cell r="C14">
            <v>27.135095214926842</v>
          </cell>
          <cell r="D14">
            <v>6.9479033567830788</v>
          </cell>
          <cell r="E14">
            <v>3.1468174312123667</v>
          </cell>
          <cell r="F14">
            <v>21.23530317093309</v>
          </cell>
          <cell r="G14">
            <v>11.217387809839236</v>
          </cell>
          <cell r="H14">
            <v>-6.9479033567830477</v>
          </cell>
          <cell r="O14">
            <v>40</v>
          </cell>
          <cell r="P14">
            <v>12.683494422274244</v>
          </cell>
          <cell r="Q14">
            <v>23.362147413368277</v>
          </cell>
          <cell r="R14">
            <v>7.4022300933924852</v>
          </cell>
          <cell r="S14">
            <v>30.764377506760766</v>
          </cell>
          <cell r="T14">
            <v>-23.362147413368277</v>
          </cell>
        </row>
        <row r="15">
          <cell r="B15">
            <v>50</v>
          </cell>
          <cell r="C15">
            <v>33.918869018658555</v>
          </cell>
          <cell r="D15">
            <v>8.6848791959788212</v>
          </cell>
          <cell r="E15">
            <v>3.9335217890154621</v>
          </cell>
          <cell r="F15">
            <v>25.776625962588611</v>
          </cell>
          <cell r="G15">
            <v>14.021734762298987</v>
          </cell>
          <cell r="H15">
            <v>-8.6848791959787892</v>
          </cell>
          <cell r="O15">
            <v>50</v>
          </cell>
          <cell r="P15">
            <v>15.854368027842819</v>
          </cell>
          <cell r="Q15">
            <v>29.202684266710367</v>
          </cell>
          <cell r="R15">
            <v>9.252787616740628</v>
          </cell>
          <cell r="S15">
            <v>38.45547188345099</v>
          </cell>
          <cell r="T15">
            <v>-29.202684266710367</v>
          </cell>
        </row>
        <row r="19">
          <cell r="C19" t="str">
            <v>Vehicle Price</v>
          </cell>
          <cell r="D19" t="str">
            <v>Electricity tarrif</v>
          </cell>
          <cell r="E19" t="str">
            <v>Battery cost</v>
          </cell>
          <cell r="F19" t="str">
            <v>AKT</v>
          </cell>
          <cell r="G19" t="str">
            <v>O&amp;M costs</v>
          </cell>
          <cell r="H19" t="str">
            <v>Energy Efficiency</v>
          </cell>
          <cell r="P19" t="str">
            <v>Vehicle Price</v>
          </cell>
          <cell r="Q19" t="str">
            <v>Fuel price</v>
          </cell>
          <cell r="R19" t="str">
            <v>O&amp;M costs</v>
          </cell>
          <cell r="S19" t="str">
            <v>AKT</v>
          </cell>
          <cell r="T19" t="str">
            <v>Energy Efficiency</v>
          </cell>
        </row>
        <row r="20">
          <cell r="B20">
            <v>-50</v>
          </cell>
          <cell r="C20">
            <v>-31.334378733128059</v>
          </cell>
          <cell r="D20">
            <v>-6.013814651953564</v>
          </cell>
          <cell r="E20">
            <v>-4.5180452752601878</v>
          </cell>
          <cell r="F20">
            <v>-27.020026746178566</v>
          </cell>
          <cell r="G20">
            <v>-8.6627693469554448</v>
          </cell>
          <cell r="H20">
            <v>6.0138146519535107</v>
          </cell>
          <cell r="O20">
            <v>-50</v>
          </cell>
          <cell r="P20">
            <v>-6.1609276276644458</v>
          </cell>
          <cell r="Q20">
            <v>-30.826878875146811</v>
          </cell>
          <cell r="R20">
            <v>-14.381101091813321</v>
          </cell>
          <cell r="S20">
            <v>-45.207979966960146</v>
          </cell>
          <cell r="T20">
            <v>30.826878875146889</v>
          </cell>
        </row>
        <row r="21">
          <cell r="B21">
            <v>-40</v>
          </cell>
          <cell r="C21">
            <v>-25.067502986502443</v>
          </cell>
          <cell r="D21">
            <v>-4.8110517215628406</v>
          </cell>
          <cell r="E21">
            <v>-3.6144362202081322</v>
          </cell>
          <cell r="F21">
            <v>-23.552773794971479</v>
          </cell>
          <cell r="G21">
            <v>-6.9302154775643485</v>
          </cell>
          <cell r="H21">
            <v>4.8110517215628219</v>
          </cell>
          <cell r="O21">
            <v>-40</v>
          </cell>
          <cell r="P21">
            <v>-4.9287421021315598</v>
          </cell>
          <cell r="Q21">
            <v>-24.661503100117454</v>
          </cell>
          <cell r="R21">
            <v>-11.504880873450658</v>
          </cell>
          <cell r="S21">
            <v>-36.166383973568124</v>
          </cell>
          <cell r="T21">
            <v>24.6615031001175</v>
          </cell>
        </row>
        <row r="22">
          <cell r="B22">
            <v>-30</v>
          </cell>
          <cell r="C22">
            <v>-18.800627239876842</v>
          </cell>
          <cell r="D22">
            <v>-3.6082887911721344</v>
          </cell>
          <cell r="E22">
            <v>-2.7108271651561129</v>
          </cell>
          <cell r="F22">
            <v>-20.617456995189677</v>
          </cell>
          <cell r="G22">
            <v>-5.1976616081732878</v>
          </cell>
          <cell r="H22">
            <v>3.6082887911721344</v>
          </cell>
          <cell r="O22">
            <v>-30</v>
          </cell>
          <cell r="P22">
            <v>-3.6965565765986743</v>
          </cell>
          <cell r="Q22">
            <v>-18.496127325088089</v>
          </cell>
          <cell r="R22">
            <v>-8.6286606550879803</v>
          </cell>
          <cell r="S22">
            <v>-27.12478798017608</v>
          </cell>
          <cell r="T22">
            <v>18.496127325088125</v>
          </cell>
        </row>
        <row r="23">
          <cell r="B23">
            <v>-20</v>
          </cell>
          <cell r="C23">
            <v>-12.533751493251263</v>
          </cell>
          <cell r="D23">
            <v>-2.4055258607813936</v>
          </cell>
          <cell r="E23">
            <v>-1.8072181101040752</v>
          </cell>
          <cell r="F23">
            <v>-13.748093589337598</v>
          </cell>
          <cell r="G23">
            <v>-3.4651077387821743</v>
          </cell>
          <cell r="H23">
            <v>2.4055258607814292</v>
          </cell>
          <cell r="O23">
            <v>-20</v>
          </cell>
          <cell r="P23">
            <v>-2.4643710510657715</v>
          </cell>
          <cell r="Q23">
            <v>-12.330751550058695</v>
          </cell>
          <cell r="R23">
            <v>-5.7524404367253208</v>
          </cell>
          <cell r="S23">
            <v>-18.083191986784033</v>
          </cell>
          <cell r="T23">
            <v>12.33075155005875</v>
          </cell>
        </row>
        <row r="24">
          <cell r="B24">
            <v>-10</v>
          </cell>
          <cell r="C24">
            <v>-6.2668757466256135</v>
          </cell>
          <cell r="D24">
            <v>-1.2027629303907412</v>
          </cell>
          <cell r="E24">
            <v>-0.90360905505205547</v>
          </cell>
          <cell r="F24">
            <v>-10.812776789555814</v>
          </cell>
          <cell r="G24">
            <v>-1.7325538693910958</v>
          </cell>
          <cell r="H24">
            <v>1.2027629303906879</v>
          </cell>
          <cell r="O24">
            <v>-10</v>
          </cell>
          <cell r="P24">
            <v>-1.2321855255328857</v>
          </cell>
          <cell r="Q24">
            <v>-6.1653757750293563</v>
          </cell>
          <cell r="R24">
            <v>-2.8762202183626422</v>
          </cell>
          <cell r="S24">
            <v>-9.0415959933919989</v>
          </cell>
          <cell r="T24">
            <v>6.1653757750293918</v>
          </cell>
        </row>
        <row r="25">
          <cell r="B25">
            <v>0</v>
          </cell>
          <cell r="C25">
            <v>0</v>
          </cell>
          <cell r="D25">
            <v>0</v>
          </cell>
          <cell r="E25">
            <v>0</v>
          </cell>
          <cell r="F25">
            <v>0</v>
          </cell>
          <cell r="G25">
            <v>0</v>
          </cell>
          <cell r="H25">
            <v>0</v>
          </cell>
          <cell r="O25">
            <v>0</v>
          </cell>
          <cell r="P25">
            <v>0</v>
          </cell>
          <cell r="Q25">
            <v>0</v>
          </cell>
          <cell r="R25">
            <v>0</v>
          </cell>
          <cell r="S25">
            <v>0</v>
          </cell>
          <cell r="T25">
            <v>0</v>
          </cell>
        </row>
        <row r="26">
          <cell r="B26">
            <v>10</v>
          </cell>
          <cell r="C26">
            <v>6.2668757466256135</v>
          </cell>
          <cell r="D26">
            <v>1.2027629303906879</v>
          </cell>
          <cell r="E26">
            <v>0.90360905505201972</v>
          </cell>
          <cell r="F26">
            <v>2.9353167997817837</v>
          </cell>
          <cell r="G26">
            <v>1.732553869391078</v>
          </cell>
          <cell r="H26">
            <v>-1.2027629303907412</v>
          </cell>
          <cell r="O26">
            <v>10</v>
          </cell>
          <cell r="P26">
            <v>1.2321855255329033</v>
          </cell>
          <cell r="Q26">
            <v>6.1653757750293918</v>
          </cell>
          <cell r="R26">
            <v>2.8762202183626782</v>
          </cell>
          <cell r="S26">
            <v>9.0415959933920522</v>
          </cell>
          <cell r="T26">
            <v>-6.1653757750293563</v>
          </cell>
        </row>
        <row r="27">
          <cell r="B27">
            <v>20</v>
          </cell>
          <cell r="C27">
            <v>12.533751493251227</v>
          </cell>
          <cell r="D27">
            <v>2.405525860781411</v>
          </cell>
          <cell r="E27">
            <v>1.8072181101040574</v>
          </cell>
          <cell r="F27">
            <v>5.8706335995635861</v>
          </cell>
          <cell r="G27">
            <v>3.4651077387821561</v>
          </cell>
          <cell r="H27">
            <v>-2.4055258607813936</v>
          </cell>
          <cell r="O27">
            <v>20</v>
          </cell>
          <cell r="P27">
            <v>2.4643710510657888</v>
          </cell>
          <cell r="Q27">
            <v>12.33075155005875</v>
          </cell>
          <cell r="R27">
            <v>5.7524404367253563</v>
          </cell>
          <cell r="S27">
            <v>18.083191986784069</v>
          </cell>
          <cell r="T27">
            <v>-12.330751550058713</v>
          </cell>
        </row>
        <row r="28">
          <cell r="B28">
            <v>30</v>
          </cell>
          <cell r="C28">
            <v>18.800627239876803</v>
          </cell>
          <cell r="D28">
            <v>3.6082887911721344</v>
          </cell>
          <cell r="E28">
            <v>2.7108271651560951</v>
          </cell>
          <cell r="F28">
            <v>8.8059503993453507</v>
          </cell>
          <cell r="G28">
            <v>5.1976616081732523</v>
          </cell>
          <cell r="H28">
            <v>-3.6082887911721344</v>
          </cell>
          <cell r="O28">
            <v>30</v>
          </cell>
          <cell r="P28">
            <v>3.6965565765986925</v>
          </cell>
          <cell r="Q28">
            <v>18.496127325088125</v>
          </cell>
          <cell r="R28">
            <v>8.6286606550880336</v>
          </cell>
          <cell r="S28">
            <v>27.124787980176141</v>
          </cell>
          <cell r="T28">
            <v>-18.496127325088089</v>
          </cell>
        </row>
        <row r="29">
          <cell r="B29">
            <v>40</v>
          </cell>
          <cell r="C29">
            <v>25.067502986502422</v>
          </cell>
          <cell r="D29">
            <v>4.8110517215628219</v>
          </cell>
          <cell r="E29">
            <v>3.6144362202081148</v>
          </cell>
          <cell r="F29">
            <v>11.741267199127188</v>
          </cell>
          <cell r="G29">
            <v>6.9302154775643485</v>
          </cell>
          <cell r="H29">
            <v>-4.8110517215628406</v>
          </cell>
          <cell r="O29">
            <v>40</v>
          </cell>
          <cell r="P29">
            <v>4.9287421021315776</v>
          </cell>
          <cell r="Q29">
            <v>24.6615031001175</v>
          </cell>
          <cell r="R29">
            <v>11.504880873450677</v>
          </cell>
          <cell r="S29">
            <v>36.166383973568159</v>
          </cell>
          <cell r="T29">
            <v>-24.661503100117447</v>
          </cell>
        </row>
        <row r="30">
          <cell r="B30">
            <v>50</v>
          </cell>
          <cell r="C30">
            <v>31.334378733128066</v>
          </cell>
          <cell r="D30">
            <v>6.0138146519535107</v>
          </cell>
          <cell r="E30">
            <v>4.5180452752601523</v>
          </cell>
          <cell r="F30">
            <v>35.281640598553594</v>
          </cell>
          <cell r="G30">
            <v>8.6627693469554075</v>
          </cell>
          <cell r="H30">
            <v>-6.013814651953564</v>
          </cell>
          <cell r="O30">
            <v>50</v>
          </cell>
          <cell r="P30">
            <v>6.1609276276644636</v>
          </cell>
          <cell r="Q30">
            <v>30.826878875146889</v>
          </cell>
          <cell r="R30">
            <v>14.381101091813337</v>
          </cell>
          <cell r="S30">
            <v>45.207979966960195</v>
          </cell>
          <cell r="T30">
            <v>-30.826878875146811</v>
          </cell>
        </row>
        <row r="34">
          <cell r="C34" t="str">
            <v>Vehicle Price</v>
          </cell>
          <cell r="D34" t="str">
            <v>Electricity tarrif</v>
          </cell>
          <cell r="E34" t="str">
            <v>Battery cost</v>
          </cell>
          <cell r="F34" t="str">
            <v>AKT</v>
          </cell>
          <cell r="G34" t="str">
            <v>O&amp;M costs</v>
          </cell>
          <cell r="H34" t="str">
            <v>Energy Efficiency</v>
          </cell>
          <cell r="P34" t="str">
            <v>Vehicle Price</v>
          </cell>
          <cell r="Q34" t="str">
            <v>Fuel price</v>
          </cell>
          <cell r="R34" t="str">
            <v>O&amp;M costs</v>
          </cell>
          <cell r="S34" t="str">
            <v>AKT</v>
          </cell>
          <cell r="T34" t="str">
            <v>Energy Efficiency</v>
          </cell>
        </row>
        <row r="35">
          <cell r="B35">
            <v>-50</v>
          </cell>
          <cell r="C35">
            <v>-38.484104622912902</v>
          </cell>
          <cell r="D35">
            <v>-8.1857231243426618</v>
          </cell>
          <cell r="E35">
            <v>-10.527463801339621</v>
          </cell>
          <cell r="F35">
            <v>-23.7918429107831</v>
          </cell>
          <cell r="G35">
            <v>-6.5475242627844752</v>
          </cell>
          <cell r="H35">
            <v>8.1857231243427009</v>
          </cell>
          <cell r="O35">
            <v>-50</v>
          </cell>
          <cell r="P35">
            <v>-15.090338283968252</v>
          </cell>
          <cell r="Q35">
            <v>-28.871783746588232</v>
          </cell>
          <cell r="R35">
            <v>-9.3930202369186802</v>
          </cell>
          <cell r="S35">
            <v>-38.264803983506887</v>
          </cell>
          <cell r="T35">
            <v>28.871783746588207</v>
          </cell>
        </row>
        <row r="36">
          <cell r="B36">
            <v>-40</v>
          </cell>
          <cell r="C36">
            <v>-30.787283698330327</v>
          </cell>
          <cell r="D36">
            <v>-6.5485784994741651</v>
          </cell>
          <cell r="E36">
            <v>-8.4219710410717283</v>
          </cell>
          <cell r="F36">
            <v>-13.392664477907257</v>
          </cell>
          <cell r="G36">
            <v>-5.2380194102275679</v>
          </cell>
          <cell r="H36">
            <v>6.5485784994741252</v>
          </cell>
          <cell r="O36">
            <v>-40</v>
          </cell>
          <cell r="P36">
            <v>-12.072270627174603</v>
          </cell>
          <cell r="Q36">
            <v>-23.097426997270585</v>
          </cell>
          <cell r="R36">
            <v>-7.5144161895349351</v>
          </cell>
          <cell r="S36">
            <v>-30.611843186805523</v>
          </cell>
          <cell r="T36">
            <v>23.097426997270549</v>
          </cell>
        </row>
        <row r="37">
          <cell r="B37">
            <v>-30</v>
          </cell>
          <cell r="C37">
            <v>-23.090462773747749</v>
          </cell>
          <cell r="D37">
            <v>-4.911433874605609</v>
          </cell>
          <cell r="E37">
            <v>-6.3164782808037767</v>
          </cell>
          <cell r="F37">
            <v>-10.073388552709297</v>
          </cell>
          <cell r="G37">
            <v>-3.928514557670701</v>
          </cell>
          <cell r="H37">
            <v>4.911433874605609</v>
          </cell>
          <cell r="O37">
            <v>-30</v>
          </cell>
          <cell r="P37">
            <v>-9.0542029703809543</v>
          </cell>
          <cell r="Q37">
            <v>-17.323070247952938</v>
          </cell>
          <cell r="R37">
            <v>-5.6358121421512131</v>
          </cell>
          <cell r="S37">
            <v>-22.958882390104161</v>
          </cell>
          <cell r="T37">
            <v>17.323070247952916</v>
          </cell>
        </row>
        <row r="38">
          <cell r="B38">
            <v>-20</v>
          </cell>
          <cell r="C38">
            <v>-15.393641849165151</v>
          </cell>
          <cell r="D38">
            <v>-3.2742892497370328</v>
          </cell>
          <cell r="E38">
            <v>-4.2109855205358437</v>
          </cell>
          <cell r="F38">
            <v>-6.7354813051226774</v>
          </cell>
          <cell r="G38">
            <v>-2.6190097051137942</v>
          </cell>
          <cell r="H38">
            <v>3.2742892497370528</v>
          </cell>
          <cell r="O38">
            <v>-20</v>
          </cell>
          <cell r="P38">
            <v>-6.0361353135872955</v>
          </cell>
          <cell r="Q38">
            <v>-11.548713498635292</v>
          </cell>
          <cell r="R38">
            <v>-3.7572080947674786</v>
          </cell>
          <cell r="S38">
            <v>-15.305921593402761</v>
          </cell>
          <cell r="T38">
            <v>11.548713498635257</v>
          </cell>
        </row>
        <row r="39">
          <cell r="B39">
            <v>-10</v>
          </cell>
          <cell r="C39">
            <v>-7.6968209245825969</v>
          </cell>
          <cell r="D39">
            <v>-1.6371446248685366</v>
          </cell>
          <cell r="E39">
            <v>-2.1054927602678921</v>
          </cell>
          <cell r="F39">
            <v>-3.3780111690280958</v>
          </cell>
          <cell r="G39">
            <v>-1.3095048525568871</v>
          </cell>
          <cell r="H39">
            <v>1.6371446248685366</v>
          </cell>
          <cell r="O39">
            <v>-10</v>
          </cell>
          <cell r="P39">
            <v>-3.0180676567936593</v>
          </cell>
          <cell r="Q39">
            <v>-5.7743567493176231</v>
          </cell>
          <cell r="R39">
            <v>-1.8786040473837338</v>
          </cell>
          <cell r="S39">
            <v>-7.6529607967013913</v>
          </cell>
          <cell r="T39">
            <v>5.7743567493176462</v>
          </cell>
        </row>
        <row r="40">
          <cell r="B40">
            <v>0</v>
          </cell>
          <cell r="C40">
            <v>0</v>
          </cell>
          <cell r="D40">
            <v>0</v>
          </cell>
          <cell r="E40">
            <v>0</v>
          </cell>
          <cell r="F40">
            <v>0</v>
          </cell>
          <cell r="G40">
            <v>0</v>
          </cell>
          <cell r="H40">
            <v>0</v>
          </cell>
          <cell r="O40">
            <v>0</v>
          </cell>
          <cell r="P40">
            <v>0</v>
          </cell>
          <cell r="Q40">
            <v>0</v>
          </cell>
          <cell r="R40">
            <v>0</v>
          </cell>
          <cell r="S40">
            <v>0</v>
          </cell>
          <cell r="T40">
            <v>0</v>
          </cell>
        </row>
        <row r="41">
          <cell r="B41">
            <v>10</v>
          </cell>
          <cell r="C41">
            <v>7.6968209245825969</v>
          </cell>
          <cell r="D41">
            <v>1.6371446248685366</v>
          </cell>
          <cell r="E41">
            <v>2.1054927602679121</v>
          </cell>
          <cell r="F41">
            <v>10.852108209058626</v>
          </cell>
          <cell r="G41">
            <v>1.3095048525568871</v>
          </cell>
          <cell r="H41">
            <v>-1.6371446248685366</v>
          </cell>
          <cell r="O41">
            <v>10</v>
          </cell>
          <cell r="P41">
            <v>3.0180676567936366</v>
          </cell>
          <cell r="Q41">
            <v>5.7743567493176462</v>
          </cell>
          <cell r="R41">
            <v>1.8786040473837224</v>
          </cell>
          <cell r="S41">
            <v>7.6529607967013673</v>
          </cell>
          <cell r="T41">
            <v>-5.7743567493176231</v>
          </cell>
        </row>
        <row r="42">
          <cell r="B42">
            <v>20</v>
          </cell>
          <cell r="C42">
            <v>15.393641849165112</v>
          </cell>
          <cell r="D42">
            <v>3.2742892497370528</v>
          </cell>
          <cell r="E42">
            <v>4.2109855205358437</v>
          </cell>
          <cell r="F42">
            <v>13.79875768648405</v>
          </cell>
          <cell r="G42">
            <v>2.6190097051137542</v>
          </cell>
          <cell r="H42">
            <v>-3.2742892497370328</v>
          </cell>
          <cell r="O42">
            <v>20</v>
          </cell>
          <cell r="P42">
            <v>6.0361353135873079</v>
          </cell>
          <cell r="Q42">
            <v>11.548713498635257</v>
          </cell>
          <cell r="R42">
            <v>3.7572080947674564</v>
          </cell>
          <cell r="S42">
            <v>15.305921593402724</v>
          </cell>
          <cell r="T42">
            <v>-11.548713498635292</v>
          </cell>
        </row>
        <row r="43">
          <cell r="B43">
            <v>30</v>
          </cell>
          <cell r="C43">
            <v>23.090462773747749</v>
          </cell>
          <cell r="D43">
            <v>4.911433874605609</v>
          </cell>
          <cell r="E43">
            <v>6.3164782808037971</v>
          </cell>
          <cell r="F43">
            <v>17.984867646835145</v>
          </cell>
          <cell r="G43">
            <v>3.928514557670701</v>
          </cell>
          <cell r="H43">
            <v>-4.911433874605609</v>
          </cell>
          <cell r="O43">
            <v>30</v>
          </cell>
          <cell r="P43">
            <v>9.054202970380933</v>
          </cell>
          <cell r="Q43">
            <v>17.323070247952916</v>
          </cell>
          <cell r="R43">
            <v>5.6358121421511784</v>
          </cell>
          <cell r="S43">
            <v>22.958882390104126</v>
          </cell>
          <cell r="T43">
            <v>-17.323070247952938</v>
          </cell>
        </row>
        <row r="44">
          <cell r="B44">
            <v>40</v>
          </cell>
          <cell r="C44">
            <v>30.787283698330302</v>
          </cell>
          <cell r="D44">
            <v>6.5485784994741252</v>
          </cell>
          <cell r="E44">
            <v>8.4219710410716484</v>
          </cell>
          <cell r="F44">
            <v>20.93151712426053</v>
          </cell>
          <cell r="G44">
            <v>5.2380194102275679</v>
          </cell>
          <cell r="H44">
            <v>-6.5485784994741651</v>
          </cell>
          <cell r="O44">
            <v>40</v>
          </cell>
          <cell r="P44">
            <v>12.072270627174559</v>
          </cell>
          <cell r="Q44">
            <v>23.097426997270549</v>
          </cell>
          <cell r="R44">
            <v>7.5144161895349466</v>
          </cell>
          <cell r="S44">
            <v>30.611843186805487</v>
          </cell>
          <cell r="T44">
            <v>-23.097426997270585</v>
          </cell>
        </row>
        <row r="45">
          <cell r="B45">
            <v>50</v>
          </cell>
          <cell r="C45">
            <v>38.484104622912859</v>
          </cell>
          <cell r="D45">
            <v>8.1857231243427009</v>
          </cell>
          <cell r="E45">
            <v>10.527463801339602</v>
          </cell>
          <cell r="F45">
            <v>23.878166601685951</v>
          </cell>
          <cell r="G45">
            <v>6.5475242627844557</v>
          </cell>
          <cell r="H45">
            <v>-8.1857231243426618</v>
          </cell>
          <cell r="O45">
            <v>50</v>
          </cell>
          <cell r="P45">
            <v>15.090338283968229</v>
          </cell>
          <cell r="Q45">
            <v>28.871783746588207</v>
          </cell>
          <cell r="R45">
            <v>9.3930202369186464</v>
          </cell>
          <cell r="S45">
            <v>38.264803983506887</v>
          </cell>
          <cell r="T45">
            <v>-28.871783746588232</v>
          </cell>
        </row>
      </sheetData>
    </sheetDataSet>
  </externalBook>
</externalLink>
</file>

<file path=xl/persons/person.xml><?xml version="1.0" encoding="utf-8"?>
<personList xmlns="http://schemas.microsoft.com/office/spreadsheetml/2018/threadedcomments" xmlns:x="http://schemas.openxmlformats.org/spreadsheetml/2006/main">
  <person displayName="Valentinus Febri" id="{7690CEC2-A4B3-4AE6-BBB9-89109360F2C5}" userId="S::ValentinusFebri@microindo.net::91b2b0ab-4839-4c13-82b0-268e9dcb63e7" providerId="AD"/>
  <person displayName="Yohanes Gunawan" id="{EFE82F4D-4668-47C4-8960-553518D8057C}" userId="S::YohanesGunawan@365msoffice.live::9b0526c5-c95e-4072-8949-4b78036096e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R7" dT="2024-01-08T06:31:29.24" personId="{7690CEC2-A4B3-4AE6-BBB9-89109360F2C5}" id="{D4CEFC3C-7325-4E34-A64D-30E52256CE03}">
    <text>Dipengaruhi dengan growth tidak? 25000 apakah diasumsikan konstan?</text>
  </threadedComment>
  <threadedComment ref="U7" dT="2024-01-08T06:37:21.49" personId="{7690CEC2-A4B3-4AE6-BBB9-89109360F2C5}" id="{928E7189-DF96-4AF8-901E-1C3117C12B69}">
    <text>Ada battery replacement 8 tahun</text>
  </threadedComment>
  <threadedComment ref="W7" dT="2024-01-08T06:37:21.49" personId="{7690CEC2-A4B3-4AE6-BBB9-89109360F2C5}" id="{928E7189-DF96-4AF9-901E-1C3117C12B69}">
    <text>Ada battery replacement 8 tahun</text>
  </threadedComment>
  <threadedComment ref="B8" dT="2024-02-27T15:05:02.01" personId="{EFE82F4D-4668-47C4-8960-553518D8057C}" id="{1D9F2821-F493-4A07-A669-9FD6B09BBBA8}">
    <text xml:space="preserve">Source:
https://www.xe.com/currencyconverter/convert/?Amount=1&amp;From=VND&amp;To=USD
</text>
    <extLst>
      <x:ext xmlns:xltc2="http://schemas.microsoft.com/office/spreadsheetml/2020/threadedcomments2" uri="{F7C98A9C-CBB3-438F-8F68-D28B6AF4A901}">
        <xltc2:checksum>193242100</xltc2:checksum>
        <xltc2:hyperlink startIndex="8" length="70" url="https://www.xe.com/currencyconverter/convert/?Amount=1&amp;From=VND&amp;To=USD"/>
      </x:ext>
    </extLst>
  </threadedComment>
  <threadedComment ref="Q9" dT="2024-01-08T06:34:04.84" personId="{7690CEC2-A4B3-4AE6-BBB9-89109360F2C5}" id="{BEE3DC45-D192-48E4-B051-DA830092375D}">
    <text>Rubah rumus sedikit, hasil sama</text>
  </threadedComment>
  <threadedComment ref="F41" dT="2024-01-08T05:29:15.39" personId="{7690CEC2-A4B3-4AE6-BBB9-89109360F2C5}" id="{004D7F3F-C5C1-4610-A019-7D9E4061B6F1}">
    <text>tambahan</text>
  </threadedComment>
  <threadedComment ref="B46" dT="2024-01-08T05:08:49.98" personId="{7690CEC2-A4B3-4AE6-BBB9-89109360F2C5}" id="{C56CAB35-0F73-4DA9-9E08-15FB1529777D}">
    <text>Perlu di breakdown untuk analisa komposisi biaya TCO</text>
  </threadedComment>
</ThreadedComments>
</file>

<file path=xl/threadedComments/threadedComment2.xml><?xml version="1.0" encoding="utf-8"?>
<ThreadedComments xmlns="http://schemas.microsoft.com/office/spreadsheetml/2018/threadedcomments" xmlns:x="http://schemas.openxmlformats.org/spreadsheetml/2006/main">
  <threadedComment ref="B47" dT="2024-01-08T05:08:49.98" personId="{7690CEC2-A4B3-4AE6-BBB9-89109360F2C5}" id="{C56CAB35-0F73-4DAA-9E08-15FB1529777D}">
    <text>Perlu di breakdown untuk analisa komposisi biaya TCO</text>
  </threadedComment>
</ThreadedComments>
</file>

<file path=xl/threadedComments/threadedComment3.xml><?xml version="1.0" encoding="utf-8"?>
<ThreadedComments xmlns="http://schemas.microsoft.com/office/spreadsheetml/2018/threadedcomments" xmlns:x="http://schemas.openxmlformats.org/spreadsheetml/2006/main">
  <threadedComment ref="R7" dT="2024-01-08T06:31:29.24" personId="{7690CEC2-A4B3-4AE6-BBB9-89109360F2C5}" id="{E1E72FBA-F085-49D5-A6BE-1B7C8C10C544}">
    <text>Dipengaruhi dengan growth tidak? 25000 apakah diasumsikan konstan?</text>
  </threadedComment>
  <threadedComment ref="U7" dT="2024-01-08T06:37:21.49" personId="{7690CEC2-A4B3-4AE6-BBB9-89109360F2C5}" id="{38723B3C-D151-407D-89C4-D5DC4901E3B8}">
    <text>Ada battery replacement 8 tahun</text>
  </threadedComment>
  <threadedComment ref="W7" dT="2024-01-08T06:37:21.49" personId="{7690CEC2-A4B3-4AE6-BBB9-89109360F2C5}" id="{843C356D-DA8C-428D-BB45-0ECEA0D578A5}">
    <text>Ada battery replacement 8 tahun</text>
  </threadedComment>
  <threadedComment ref="B8" dT="2024-02-27T15:05:02.01" personId="{EFE82F4D-4668-47C4-8960-553518D8057C}" id="{A651C736-31F6-4DB8-BC8F-23CFB55EA6A3}">
    <text xml:space="preserve">Source:
https://www.xe.com/currencyconverter/convert/?Amount=1&amp;From=VND&amp;To=USD
</text>
    <extLst>
      <x:ext xmlns:xltc2="http://schemas.microsoft.com/office/spreadsheetml/2020/threadedcomments2" uri="{F7C98A9C-CBB3-438F-8F68-D28B6AF4A901}">
        <xltc2:checksum>193242100</xltc2:checksum>
        <xltc2:hyperlink startIndex="8" length="70" url="https://www.xe.com/currencyconverter/convert/?Amount=1&amp;From=VND&amp;To=USD"/>
      </x:ext>
    </extLst>
  </threadedComment>
  <threadedComment ref="Q9" dT="2024-01-08T06:34:04.84" personId="{7690CEC2-A4B3-4AE6-BBB9-89109360F2C5}" id="{76B74DDD-ED02-49EA-9B70-9AF676942A4B}">
    <text>Rubah rumus sedikit, hasil sama</text>
  </threadedComment>
  <threadedComment ref="J11" dT="2024-01-07T08:53:31.95" personId="{7690CEC2-A4B3-4AE6-BBB9-89109360F2C5}" id="{E6076404-DD75-4BFC-A280-E2F6FF9FBB6D}">
    <text>Sumber ??</text>
  </threadedComment>
  <threadedComment ref="J11" dT="2024-04-17T04:01:09.06" personId="{EFE82F4D-4668-47C4-8960-553518D8057C}" id="{375F425A-4B15-43A3-87B1-DEB07C14E43B}" parentId="{E6076404-DD75-4BFC-A280-E2F6FF9FBB6D}">
    <text>Annual kilometer travelled (per tahun) x 10 tahun masa replacement battery : battery range (km/cycle) hasilnya adalah 1447 cycle dibulatkan keatas, menjadi 1500 cycle</text>
  </threadedComment>
  <threadedComment ref="F41" dT="2024-01-08T05:29:15.39" personId="{7690CEC2-A4B3-4AE6-BBB9-89109360F2C5}" id="{638480F0-666E-4C46-87F4-16A88A37AF61}">
    <text>tambahan</text>
  </threadedComment>
  <threadedComment ref="B46" dT="2024-01-08T05:08:49.98" personId="{7690CEC2-A4B3-4AE6-BBB9-89109360F2C5}" id="{9A778602-1301-4FB6-A5CB-066DD5C1E05A}">
    <text>Perlu di breakdown untuk analisa komposisi biaya TCO</text>
  </threadedComment>
</ThreadedComments>
</file>

<file path=xl/threadedComments/threadedComment4.xml><?xml version="1.0" encoding="utf-8"?>
<ThreadedComments xmlns="http://schemas.microsoft.com/office/spreadsheetml/2018/threadedcomments" xmlns:x="http://schemas.openxmlformats.org/spreadsheetml/2006/main">
  <threadedComment ref="B47" dT="2024-01-08T05:08:49.98" personId="{7690CEC2-A4B3-4AE6-BBB9-89109360F2C5}" id="{AA143406-803F-4BD1-B48B-BE960FA756ED}">
    <text>Perlu di breakdown untuk analisa komposisi biaya TCO</text>
  </threadedComment>
</ThreadedComments>
</file>

<file path=xl/threadedComments/threadedComment5.xml><?xml version="1.0" encoding="utf-8"?>
<ThreadedComments xmlns="http://schemas.microsoft.com/office/spreadsheetml/2018/threadedcomments" xmlns:x="http://schemas.openxmlformats.org/spreadsheetml/2006/main">
  <threadedComment ref="R7" dT="2024-01-08T06:31:29.24" personId="{7690CEC2-A4B3-4AE6-BBB9-89109360F2C5}" id="{C1E8542A-5A94-465B-AAB7-21BD623A16AD}">
    <text>Dipengaruhi dengan growth tidak? 25000 apakah diasumsikan konstan?</text>
  </threadedComment>
  <threadedComment ref="U7" dT="2024-01-08T06:37:21.49" personId="{7690CEC2-A4B3-4AE6-BBB9-89109360F2C5}" id="{47EE45F6-588D-4FF4-BF34-63FA2309AD38}">
    <text>Ada battery replacement 8 tahun</text>
  </threadedComment>
  <threadedComment ref="W7" dT="2024-01-08T06:37:21.49" personId="{7690CEC2-A4B3-4AE6-BBB9-89109360F2C5}" id="{4C34CCD8-4186-4118-9A2D-E8DA316ABDE0}">
    <text>Ada battery replacement 8 tahun</text>
  </threadedComment>
  <threadedComment ref="B8" dT="2024-02-27T15:05:02.01" personId="{EFE82F4D-4668-47C4-8960-553518D8057C}" id="{CA58B995-B803-49E9-A1A4-48FFE183C520}">
    <text xml:space="preserve">Source:
https://www.xe.com/currencyconverter/convert/?Amount=1&amp;From=VND&amp;To=USD
</text>
    <extLst>
      <x:ext xmlns:xltc2="http://schemas.microsoft.com/office/spreadsheetml/2020/threadedcomments2" uri="{F7C98A9C-CBB3-438F-8F68-D28B6AF4A901}">
        <xltc2:checksum>193242100</xltc2:checksum>
        <xltc2:hyperlink startIndex="8" length="70" url="https://www.xe.com/currencyconverter/convert/?Amount=1&amp;From=VND&amp;To=USD"/>
      </x:ext>
    </extLst>
  </threadedComment>
  <threadedComment ref="Q9" dT="2024-01-08T06:34:04.84" personId="{7690CEC2-A4B3-4AE6-BBB9-89109360F2C5}" id="{38CBBC88-595E-4A1A-AB11-901857B6877F}">
    <text>Rubah rumus sedikit, hasil sama</text>
  </threadedComment>
  <threadedComment ref="F41" dT="2024-01-08T05:29:15.39" personId="{7690CEC2-A4B3-4AE6-BBB9-89109360F2C5}" id="{444F8445-43CB-43B2-8D5D-63402180C030}">
    <text>tambahan</text>
  </threadedComment>
  <threadedComment ref="B46" dT="2024-01-08T05:08:49.98" personId="{7690CEC2-A4B3-4AE6-BBB9-89109360F2C5}" id="{5372A5A0-A8BF-4986-BE5C-496A33B67700}">
    <text>Perlu di breakdown untuk analisa komposisi biaya TCO</text>
  </threadedComment>
</ThreadedComments>
</file>

<file path=xl/threadedComments/threadedComment6.xml><?xml version="1.0" encoding="utf-8"?>
<ThreadedComments xmlns="http://schemas.microsoft.com/office/spreadsheetml/2018/threadedcomments" xmlns:x="http://schemas.openxmlformats.org/spreadsheetml/2006/main">
  <threadedComment ref="B47" dT="2024-01-08T05:08:49.98" personId="{7690CEC2-A4B3-4AE6-BBB9-89109360F2C5}" id="{393E011D-D8DF-4948-800E-1A2C54FC93E0}">
    <text>Perlu di breakdown untuk analisa komposisi biaya TCO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2.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3.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hyperlink" Target="https://research.hktdc.com/en/article/Mjk1NzQ2NzQz" TargetMode="External"/><Relationship Id="rId2" Type="http://schemas.openxmlformats.org/officeDocument/2006/relationships/hyperlink" Target="https://taxsummaries.pwc.com/vietnam/corporate/taxes-on-corporate-income" TargetMode="External"/><Relationship Id="rId1" Type="http://schemas.openxmlformats.org/officeDocument/2006/relationships/hyperlink" Target="https://wise.com/id/currency-converter/usd-to-vnd-rate?amount=1" TargetMode="Externa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7"/>
  </sheetPr>
  <dimension ref="A1:AX95"/>
  <sheetViews>
    <sheetView topLeftCell="U46" zoomScale="55" zoomScaleNormal="55" workbookViewId="0">
      <selection activeCell="AB79" sqref="AB79"/>
    </sheetView>
  </sheetViews>
  <sheetFormatPr defaultColWidth="8.85546875" defaultRowHeight="15" x14ac:dyDescent="0.25"/>
  <cols>
    <col min="1" max="1" width="52.7109375" style="1" bestFit="1" customWidth="1"/>
    <col min="2" max="2" width="20.42578125" style="1" customWidth="1"/>
    <col min="3" max="3" width="16.28515625" style="1" bestFit="1" customWidth="1"/>
    <col min="4" max="4" width="8.85546875" style="1" customWidth="1"/>
    <col min="5" max="5" width="48" style="1" customWidth="1"/>
    <col min="6" max="6" width="17" style="1" customWidth="1"/>
    <col min="7" max="7" width="17.42578125" style="1" customWidth="1"/>
    <col min="8" max="8" width="19.28515625" style="1" customWidth="1"/>
    <col min="9" max="9" width="37.85546875" style="1" customWidth="1"/>
    <col min="10" max="10" width="17.7109375" style="1" customWidth="1"/>
    <col min="11" max="14" width="8.85546875" style="1" customWidth="1"/>
    <col min="15" max="15" width="20" style="1" customWidth="1"/>
    <col min="16" max="16" width="16.28515625" style="1" customWidth="1"/>
    <col min="17" max="17" width="25.28515625" style="1" customWidth="1"/>
    <col min="18" max="18" width="33.7109375" style="1" customWidth="1"/>
    <col min="19" max="19" width="16.5703125" style="1" bestFit="1" customWidth="1"/>
    <col min="20" max="20" width="11.140625" style="1" customWidth="1"/>
    <col min="21" max="23" width="31.28515625" style="1" customWidth="1"/>
    <col min="24" max="24" width="23.85546875" style="1" customWidth="1"/>
    <col min="25" max="25" width="13.42578125" style="1" bestFit="1" customWidth="1"/>
    <col min="26" max="26" width="13.42578125" style="1" customWidth="1"/>
    <col min="27" max="27" width="20.140625" style="1" bestFit="1" customWidth="1"/>
    <col min="28" max="28" width="19.28515625" style="1" bestFit="1" customWidth="1"/>
    <col min="29" max="29" width="12.85546875" style="1" customWidth="1"/>
    <col min="30" max="30" width="19" style="1" customWidth="1"/>
    <col min="31" max="31" width="4.7109375" style="1" customWidth="1"/>
    <col min="32" max="32" width="20.140625" style="1" bestFit="1" customWidth="1"/>
    <col min="33" max="33" width="19.28515625" style="1" bestFit="1" customWidth="1"/>
    <col min="34" max="34" width="11.28515625" style="1" bestFit="1" customWidth="1"/>
    <col min="35" max="35" width="17.85546875" style="1" bestFit="1" customWidth="1"/>
    <col min="36" max="37" width="8.85546875" style="1"/>
    <col min="38" max="38" width="17.5703125" style="1" bestFit="1" customWidth="1"/>
    <col min="39" max="39" width="9.7109375" style="1" bestFit="1" customWidth="1"/>
    <col min="40" max="40" width="15.5703125" style="1" bestFit="1" customWidth="1"/>
    <col min="41" max="41" width="8.85546875" style="1"/>
    <col min="42" max="43" width="12.7109375" style="1" bestFit="1" customWidth="1"/>
    <col min="44" max="16384" width="8.85546875" style="1"/>
  </cols>
  <sheetData>
    <row r="1" spans="1:31" x14ac:dyDescent="0.25">
      <c r="A1" s="12" t="s">
        <v>1</v>
      </c>
      <c r="B1" s="12" t="s">
        <v>149</v>
      </c>
      <c r="C1" s="12"/>
    </row>
    <row r="2" spans="1:31" x14ac:dyDescent="0.25">
      <c r="A2" s="12" t="s">
        <v>74</v>
      </c>
      <c r="B2" s="19">
        <f>Y49</f>
        <v>365381.26970994822</v>
      </c>
      <c r="C2" s="12" t="s">
        <v>3</v>
      </c>
    </row>
    <row r="3" spans="1:31" x14ac:dyDescent="0.25">
      <c r="B3" s="44">
        <f>B2/J34</f>
        <v>0.89117382856084926</v>
      </c>
      <c r="C3" s="12" t="s">
        <v>57</v>
      </c>
      <c r="G3" s="93"/>
    </row>
    <row r="4" spans="1:31" x14ac:dyDescent="0.25">
      <c r="A4" s="12" t="s">
        <v>59</v>
      </c>
      <c r="G4" s="46"/>
      <c r="J4" s="8"/>
      <c r="N4" s="12" t="s">
        <v>79</v>
      </c>
      <c r="AA4" s="12" t="s">
        <v>75</v>
      </c>
    </row>
    <row r="5" spans="1:31" x14ac:dyDescent="0.25">
      <c r="A5" s="1" t="s">
        <v>36</v>
      </c>
      <c r="B5" s="2">
        <v>10</v>
      </c>
      <c r="C5" s="1" t="s">
        <v>37</v>
      </c>
      <c r="G5" s="46"/>
      <c r="J5" s="77"/>
    </row>
    <row r="6" spans="1:31" ht="15.75" thickBot="1" x14ac:dyDescent="0.3">
      <c r="B6" s="2"/>
      <c r="N6" s="1" t="s">
        <v>100</v>
      </c>
    </row>
    <row r="7" spans="1:31" x14ac:dyDescent="0.25">
      <c r="A7" s="3" t="s">
        <v>24</v>
      </c>
      <c r="B7" s="4"/>
      <c r="C7" s="4"/>
      <c r="D7" s="4"/>
      <c r="E7" s="4"/>
      <c r="F7" s="4"/>
      <c r="G7" s="4"/>
      <c r="H7" s="6"/>
      <c r="I7" s="5" t="s">
        <v>43</v>
      </c>
      <c r="J7" s="4"/>
      <c r="K7" s="4"/>
      <c r="L7" s="6"/>
      <c r="N7" s="31" t="s">
        <v>61</v>
      </c>
      <c r="O7" s="31" t="s">
        <v>65</v>
      </c>
      <c r="P7" s="31" t="s">
        <v>67</v>
      </c>
      <c r="Q7" s="31" t="s">
        <v>120</v>
      </c>
      <c r="R7" s="31" t="s">
        <v>121</v>
      </c>
      <c r="S7" s="31" t="s">
        <v>123</v>
      </c>
      <c r="T7" s="31" t="s">
        <v>70</v>
      </c>
      <c r="U7" s="31" t="s">
        <v>87</v>
      </c>
      <c r="V7" s="31" t="s">
        <v>165</v>
      </c>
      <c r="W7" s="31" t="s">
        <v>99</v>
      </c>
      <c r="X7" s="31" t="s">
        <v>101</v>
      </c>
      <c r="Y7" s="32" t="s">
        <v>72</v>
      </c>
      <c r="Z7" s="12"/>
      <c r="AA7" s="39" t="s">
        <v>113</v>
      </c>
      <c r="AB7" s="39"/>
      <c r="AC7" s="39"/>
    </row>
    <row r="8" spans="1:31" x14ac:dyDescent="0.25">
      <c r="A8" s="7" t="s">
        <v>0</v>
      </c>
      <c r="B8" s="81">
        <v>21276.42</v>
      </c>
      <c r="C8" s="1" t="s">
        <v>151</v>
      </c>
      <c r="H8" s="9"/>
      <c r="I8" s="22" t="s">
        <v>190</v>
      </c>
      <c r="J8" s="8">
        <v>4653358954.8387127</v>
      </c>
      <c r="K8" s="1" t="s">
        <v>152</v>
      </c>
      <c r="L8" s="9"/>
      <c r="N8" s="31">
        <v>0</v>
      </c>
      <c r="O8" s="33">
        <f>F31</f>
        <v>81063.45538993059</v>
      </c>
      <c r="P8" s="31"/>
      <c r="Q8" s="31"/>
      <c r="R8" s="31"/>
      <c r="S8" s="31"/>
      <c r="T8" s="31"/>
      <c r="U8" s="31"/>
      <c r="V8" s="37">
        <f>F16/B8</f>
        <v>4.9350407634367066</v>
      </c>
      <c r="W8" s="31"/>
      <c r="X8" s="31"/>
      <c r="Y8" s="34">
        <f t="shared" ref="Y8:Y48" si="0">SUM(O8:X8)</f>
        <v>81068.390430694024</v>
      </c>
      <c r="Z8" s="19"/>
      <c r="AA8" s="39" t="s">
        <v>32</v>
      </c>
      <c r="AB8" s="72">
        <f>F36</f>
        <v>4.6248382011635419E-2</v>
      </c>
      <c r="AC8" s="39" t="s">
        <v>9</v>
      </c>
    </row>
    <row r="9" spans="1:31" x14ac:dyDescent="0.25">
      <c r="A9" s="7"/>
      <c r="F9" s="20"/>
      <c r="H9" s="9"/>
      <c r="I9" s="22" t="s">
        <v>10</v>
      </c>
      <c r="J9" s="13">
        <v>105</v>
      </c>
      <c r="K9" s="1" t="s">
        <v>9</v>
      </c>
      <c r="L9" s="9"/>
      <c r="N9" s="31">
        <v>1</v>
      </c>
      <c r="O9" s="31"/>
      <c r="P9" s="35">
        <f t="shared" ref="P9:P48" si="1">IF(N9&gt;0,IF(N9&lt;=$J$20,(($F$32+$F$33)/$J$20)/((1+($F$11/100))^N9),0),0)</f>
        <v>49871.253315952832</v>
      </c>
      <c r="Q9" s="36">
        <f>IF(N9&gt;0,($F$41*((1+($F$14/100))^(N9-1)))/((1+($F$11/100))^N9),0)</f>
        <v>1799.8291714786978</v>
      </c>
      <c r="R9" s="37">
        <f t="shared" ref="R9:R48" si="2">IF(N9&gt;0,$F$40/((1+($F$11/100))^N9),0)</f>
        <v>0</v>
      </c>
      <c r="S9" s="37">
        <f t="shared" ref="S9:S48" si="3">IF(N9&gt;0,$J$37/((1+($F$11/100))^N9),0)</f>
        <v>13778.844717893999</v>
      </c>
      <c r="T9" s="37">
        <f>IF(N9&gt;0,$J$44/((1+($F$11/100))^N9),0)</f>
        <v>0</v>
      </c>
      <c r="U9" s="37">
        <f t="shared" ref="U9:U48" si="4">IF(AND(MOD(N9,$J$31)=0,N9&gt;0),$B$44/((1+($F$11/100))^N9),0)</f>
        <v>0</v>
      </c>
      <c r="V9" s="37">
        <v>0</v>
      </c>
      <c r="W9" s="37">
        <f t="shared" ref="W9:W48" si="5">IF(N9&gt;0,$J$32/((1+($F$11/100))^N9),0)</f>
        <v>0</v>
      </c>
      <c r="X9" s="35">
        <f t="shared" ref="X9:X48" si="6">IF(N9=$B$5,((((1-$J$15/100)^N9)*$B$45+((1-$J$16/100)^N9)*$B$46)/((1+($F$11/100))^N9))*-1,0)</f>
        <v>0</v>
      </c>
      <c r="Y9" s="34">
        <f t="shared" si="0"/>
        <v>65449.927205325526</v>
      </c>
      <c r="Z9" s="19"/>
      <c r="AA9" s="39" t="s">
        <v>38</v>
      </c>
      <c r="AB9" s="40">
        <f>B46</f>
        <v>33810</v>
      </c>
      <c r="AC9" s="39" t="s">
        <v>3</v>
      </c>
      <c r="AE9" s="2"/>
    </row>
    <row r="10" spans="1:31" x14ac:dyDescent="0.25">
      <c r="A10" s="11" t="s">
        <v>42</v>
      </c>
      <c r="E10" s="12" t="s">
        <v>45</v>
      </c>
      <c r="H10" s="9"/>
      <c r="I10" s="22" t="s">
        <v>28</v>
      </c>
      <c r="J10" s="8">
        <v>322</v>
      </c>
      <c r="K10" s="1" t="s">
        <v>29</v>
      </c>
      <c r="L10" s="9"/>
      <c r="N10" s="31">
        <f>IF((N9+1)&gt;$B$5,,IF(N9=0,,N9+1))</f>
        <v>2</v>
      </c>
      <c r="O10" s="31"/>
      <c r="P10" s="35">
        <f t="shared" si="1"/>
        <v>47815.199727663312</v>
      </c>
      <c r="Q10" s="36">
        <f t="shared" ref="Q10:Q48" si="7">IF(N10&gt;0,($F$41*((1+($F$14/100))^(N10-1)))/((1+($F$11/100))^N10),0)</f>
        <v>1742.8834738192568</v>
      </c>
      <c r="R10" s="37">
        <f t="shared" si="2"/>
        <v>0</v>
      </c>
      <c r="S10" s="37">
        <f t="shared" si="3"/>
        <v>13210.781129332694</v>
      </c>
      <c r="T10" s="37">
        <f t="shared" ref="T10:T48" si="8">IF(N10&gt;0,$J$44/((1+($F$11/100))^N10),0)</f>
        <v>0</v>
      </c>
      <c r="U10" s="37">
        <f t="shared" si="4"/>
        <v>0</v>
      </c>
      <c r="V10" s="37">
        <v>0</v>
      </c>
      <c r="W10" s="37">
        <f t="shared" si="5"/>
        <v>0</v>
      </c>
      <c r="X10" s="35">
        <f t="shared" si="6"/>
        <v>0</v>
      </c>
      <c r="Y10" s="34">
        <f t="shared" si="0"/>
        <v>62768.864330815268</v>
      </c>
      <c r="Z10" s="19"/>
      <c r="AA10" s="39" t="s">
        <v>189</v>
      </c>
      <c r="AB10" s="73">
        <f>B51</f>
        <v>270211.51796643529</v>
      </c>
      <c r="AC10" s="39" t="s">
        <v>3</v>
      </c>
      <c r="AE10" s="2"/>
    </row>
    <row r="11" spans="1:31" x14ac:dyDescent="0.25">
      <c r="A11" s="21" t="s">
        <v>187</v>
      </c>
      <c r="B11" s="1">
        <v>0</v>
      </c>
      <c r="C11" s="1" t="s">
        <v>4</v>
      </c>
      <c r="E11" s="22" t="s">
        <v>46</v>
      </c>
      <c r="F11" s="1">
        <v>4.3</v>
      </c>
      <c r="G11" s="1" t="s">
        <v>4</v>
      </c>
      <c r="H11" s="9"/>
      <c r="I11" s="22" t="s">
        <v>25</v>
      </c>
      <c r="J11" s="8">
        <v>4000</v>
      </c>
      <c r="K11" s="1" t="s">
        <v>26</v>
      </c>
      <c r="L11" s="9"/>
      <c r="N11" s="31">
        <f t="shared" ref="N11:N48" si="9">IF((N10+1)&gt;$B$5,,IF(N10=0,,N10+1))</f>
        <v>3</v>
      </c>
      <c r="O11" s="31"/>
      <c r="P11" s="35">
        <f t="shared" si="1"/>
        <v>45843.91153179609</v>
      </c>
      <c r="Q11" s="36">
        <f t="shared" si="7"/>
        <v>1687.7395096428088</v>
      </c>
      <c r="R11" s="37">
        <f t="shared" si="2"/>
        <v>0</v>
      </c>
      <c r="S11" s="37">
        <f t="shared" si="3"/>
        <v>12666.137228506899</v>
      </c>
      <c r="T11" s="37">
        <f t="shared" si="8"/>
        <v>0</v>
      </c>
      <c r="U11" s="37">
        <f t="shared" si="4"/>
        <v>0</v>
      </c>
      <c r="V11" s="37">
        <v>0</v>
      </c>
      <c r="W11" s="37">
        <f t="shared" si="5"/>
        <v>0</v>
      </c>
      <c r="X11" s="35">
        <f t="shared" si="6"/>
        <v>0</v>
      </c>
      <c r="Y11" s="34">
        <f t="shared" si="0"/>
        <v>60197.788269945799</v>
      </c>
      <c r="Z11" s="19"/>
      <c r="AA11" s="39" t="s">
        <v>111</v>
      </c>
      <c r="AB11" s="74">
        <f>F12</f>
        <v>41000</v>
      </c>
      <c r="AC11" s="39" t="s">
        <v>35</v>
      </c>
      <c r="AE11" s="2"/>
    </row>
    <row r="12" spans="1:31" x14ac:dyDescent="0.25">
      <c r="A12" s="21" t="s">
        <v>5</v>
      </c>
      <c r="B12" s="1">
        <v>0</v>
      </c>
      <c r="C12" s="1" t="s">
        <v>4</v>
      </c>
      <c r="E12" s="22" t="s">
        <v>89</v>
      </c>
      <c r="F12" s="77">
        <v>41000</v>
      </c>
      <c r="G12" s="1" t="s">
        <v>35</v>
      </c>
      <c r="H12" s="9"/>
      <c r="I12" s="38" t="s">
        <v>30</v>
      </c>
      <c r="J12" s="42">
        <v>235</v>
      </c>
      <c r="K12" s="39" t="s">
        <v>31</v>
      </c>
      <c r="L12" s="9"/>
      <c r="N12" s="31">
        <f t="shared" si="9"/>
        <v>4</v>
      </c>
      <c r="O12" s="31"/>
      <c r="P12" s="35">
        <f t="shared" si="1"/>
        <v>43953.894086094049</v>
      </c>
      <c r="Q12" s="36">
        <f t="shared" si="7"/>
        <v>1634.3402730002272</v>
      </c>
      <c r="R12" s="37">
        <f t="shared" si="2"/>
        <v>0</v>
      </c>
      <c r="S12" s="37">
        <f t="shared" si="3"/>
        <v>12143.947486583795</v>
      </c>
      <c r="T12" s="37">
        <f t="shared" si="8"/>
        <v>0</v>
      </c>
      <c r="U12" s="37">
        <f t="shared" si="4"/>
        <v>0</v>
      </c>
      <c r="V12" s="37">
        <v>0</v>
      </c>
      <c r="W12" s="37">
        <f t="shared" si="5"/>
        <v>0</v>
      </c>
      <c r="X12" s="35">
        <f t="shared" si="6"/>
        <v>0</v>
      </c>
      <c r="Y12" s="34">
        <f t="shared" si="0"/>
        <v>57732.181845678075</v>
      </c>
      <c r="Z12" s="19"/>
      <c r="AA12" s="79" t="s">
        <v>66</v>
      </c>
      <c r="AB12" s="73">
        <f>J41</f>
        <v>14366.400000000001</v>
      </c>
      <c r="AC12" s="39" t="s">
        <v>44</v>
      </c>
      <c r="AE12" s="2"/>
    </row>
    <row r="13" spans="1:31" x14ac:dyDescent="0.25">
      <c r="A13" s="1" t="s">
        <v>167</v>
      </c>
      <c r="B13" s="1">
        <v>0</v>
      </c>
      <c r="C13" s="1" t="s">
        <v>4</v>
      </c>
      <c r="E13" s="22" t="s">
        <v>32</v>
      </c>
      <c r="F13" s="77">
        <v>984</v>
      </c>
      <c r="G13" s="1" t="s">
        <v>158</v>
      </c>
      <c r="H13" s="9"/>
      <c r="I13" s="38" t="s">
        <v>71</v>
      </c>
      <c r="J13" s="39">
        <v>30</v>
      </c>
      <c r="K13" s="39" t="s">
        <v>22</v>
      </c>
      <c r="L13" s="9"/>
      <c r="N13" s="31">
        <f t="shared" si="9"/>
        <v>5</v>
      </c>
      <c r="O13" s="31"/>
      <c r="P13" s="35">
        <f t="shared" si="1"/>
        <v>42141.79682271721</v>
      </c>
      <c r="Q13" s="36">
        <f t="shared" si="7"/>
        <v>1582.6305615821952</v>
      </c>
      <c r="R13" s="37">
        <f t="shared" si="2"/>
        <v>0</v>
      </c>
      <c r="S13" s="37">
        <f t="shared" si="3"/>
        <v>11643.286180809009</v>
      </c>
      <c r="T13" s="37">
        <f t="shared" si="8"/>
        <v>0</v>
      </c>
      <c r="U13" s="37">
        <f t="shared" si="4"/>
        <v>0</v>
      </c>
      <c r="V13" s="37">
        <f>IF(N13&gt;0,($F$16/$B$8)/((1+($F$11/100))^N13),0)</f>
        <v>3.9982431527530049</v>
      </c>
      <c r="W13" s="37">
        <f t="shared" si="5"/>
        <v>0</v>
      </c>
      <c r="X13" s="35">
        <f t="shared" si="6"/>
        <v>0</v>
      </c>
      <c r="Y13" s="34">
        <f t="shared" si="0"/>
        <v>55371.711808261171</v>
      </c>
      <c r="Z13" s="19"/>
      <c r="AA13" s="105" t="s">
        <v>186</v>
      </c>
      <c r="AB13" s="107">
        <f>J26</f>
        <v>117.5</v>
      </c>
      <c r="AC13" s="105" t="s">
        <v>177</v>
      </c>
      <c r="AE13" s="2"/>
    </row>
    <row r="14" spans="1:31" x14ac:dyDescent="0.25">
      <c r="A14" s="21" t="s">
        <v>6</v>
      </c>
      <c r="B14" s="1">
        <v>7</v>
      </c>
      <c r="C14" s="1" t="s">
        <v>4</v>
      </c>
      <c r="E14" s="22" t="s">
        <v>68</v>
      </c>
      <c r="F14" s="77">
        <v>1</v>
      </c>
      <c r="G14" s="1" t="s">
        <v>69</v>
      </c>
      <c r="H14" s="9"/>
      <c r="I14" s="38" t="s">
        <v>153</v>
      </c>
      <c r="J14" s="40">
        <v>20</v>
      </c>
      <c r="K14" s="39" t="s">
        <v>4</v>
      </c>
      <c r="L14" s="9"/>
      <c r="N14" s="31">
        <f t="shared" si="9"/>
        <v>6</v>
      </c>
      <c r="O14" s="31"/>
      <c r="P14" s="35">
        <f t="shared" si="1"/>
        <v>0</v>
      </c>
      <c r="Q14" s="36">
        <f t="shared" si="7"/>
        <v>1532.5569196529407</v>
      </c>
      <c r="R14" s="37">
        <f t="shared" si="2"/>
        <v>0</v>
      </c>
      <c r="S14" s="37">
        <f t="shared" si="3"/>
        <v>11163.265753412281</v>
      </c>
      <c r="T14" s="37">
        <f t="shared" si="8"/>
        <v>0</v>
      </c>
      <c r="U14" s="37">
        <f t="shared" si="4"/>
        <v>0</v>
      </c>
      <c r="V14" s="37">
        <v>0</v>
      </c>
      <c r="W14" s="37">
        <f t="shared" si="5"/>
        <v>0</v>
      </c>
      <c r="X14" s="35">
        <f t="shared" si="6"/>
        <v>0</v>
      </c>
      <c r="Y14" s="34">
        <f t="shared" si="0"/>
        <v>12695.822673065222</v>
      </c>
      <c r="Z14" s="19"/>
      <c r="AA14" s="105" t="s">
        <v>213</v>
      </c>
      <c r="AB14" s="100">
        <f>J17</f>
        <v>0.99</v>
      </c>
      <c r="AC14" s="105" t="s">
        <v>33</v>
      </c>
      <c r="AE14" s="2"/>
    </row>
    <row r="15" spans="1:31" x14ac:dyDescent="0.25">
      <c r="A15" s="21" t="s">
        <v>157</v>
      </c>
      <c r="B15" s="1">
        <v>3</v>
      </c>
      <c r="C15" s="1" t="s">
        <v>4</v>
      </c>
      <c r="E15" s="22" t="s">
        <v>27</v>
      </c>
      <c r="F15" s="77">
        <v>0</v>
      </c>
      <c r="G15" s="1" t="s">
        <v>160</v>
      </c>
      <c r="H15" s="9"/>
      <c r="I15" s="38" t="s">
        <v>91</v>
      </c>
      <c r="J15" s="39">
        <v>7.08</v>
      </c>
      <c r="K15" s="39" t="s">
        <v>23</v>
      </c>
      <c r="L15" s="9"/>
      <c r="N15" s="31">
        <f t="shared" si="9"/>
        <v>7</v>
      </c>
      <c r="O15" s="31"/>
      <c r="P15" s="35">
        <f t="shared" si="1"/>
        <v>0</v>
      </c>
      <c r="Q15" s="36">
        <f t="shared" si="7"/>
        <v>1484.0675827895213</v>
      </c>
      <c r="R15" s="37">
        <f t="shared" si="2"/>
        <v>0</v>
      </c>
      <c r="S15" s="37">
        <f t="shared" si="3"/>
        <v>10703.035238170933</v>
      </c>
      <c r="T15" s="37">
        <f t="shared" si="8"/>
        <v>0</v>
      </c>
      <c r="U15" s="37">
        <f t="shared" si="4"/>
        <v>0</v>
      </c>
      <c r="V15" s="37">
        <v>0</v>
      </c>
      <c r="W15" s="37">
        <f t="shared" si="5"/>
        <v>0</v>
      </c>
      <c r="X15" s="35">
        <f t="shared" si="6"/>
        <v>0</v>
      </c>
      <c r="Y15" s="34">
        <f t="shared" si="0"/>
        <v>12187.102820960454</v>
      </c>
      <c r="Z15" s="19"/>
      <c r="AE15" s="2"/>
    </row>
    <row r="16" spans="1:31" x14ac:dyDescent="0.25">
      <c r="A16" s="21" t="s">
        <v>197</v>
      </c>
      <c r="B16" s="77">
        <v>329000</v>
      </c>
      <c r="C16" s="1" t="s">
        <v>150</v>
      </c>
      <c r="E16" s="22" t="s">
        <v>165</v>
      </c>
      <c r="F16" s="2">
        <v>105000</v>
      </c>
      <c r="G16" s="1" t="s">
        <v>164</v>
      </c>
      <c r="H16" s="9"/>
      <c r="I16" s="38" t="s">
        <v>92</v>
      </c>
      <c r="J16" s="39">
        <v>11</v>
      </c>
      <c r="K16" s="39" t="s">
        <v>23</v>
      </c>
      <c r="L16" s="9"/>
      <c r="N16" s="31">
        <f t="shared" si="9"/>
        <v>8</v>
      </c>
      <c r="O16" s="31"/>
      <c r="P16" s="35">
        <f t="shared" si="1"/>
        <v>0</v>
      </c>
      <c r="Q16" s="36">
        <f t="shared" si="7"/>
        <v>1437.1124243695265</v>
      </c>
      <c r="R16" s="37">
        <f t="shared" si="2"/>
        <v>0</v>
      </c>
      <c r="S16" s="37">
        <f t="shared" si="3"/>
        <v>10261.778751841739</v>
      </c>
      <c r="T16" s="37">
        <f t="shared" si="8"/>
        <v>0</v>
      </c>
      <c r="U16" s="37">
        <f t="shared" si="4"/>
        <v>0</v>
      </c>
      <c r="V16" s="37">
        <v>0</v>
      </c>
      <c r="W16" s="37">
        <f t="shared" si="5"/>
        <v>0</v>
      </c>
      <c r="X16" s="35">
        <f t="shared" si="6"/>
        <v>0</v>
      </c>
      <c r="Y16" s="34">
        <f t="shared" si="0"/>
        <v>11698.891176211266</v>
      </c>
      <c r="Z16" s="19"/>
      <c r="AE16" s="2"/>
    </row>
    <row r="17" spans="1:50" x14ac:dyDescent="0.25">
      <c r="A17" s="21" t="s">
        <v>162</v>
      </c>
      <c r="B17" s="1">
        <v>0</v>
      </c>
      <c r="C17" s="1" t="s">
        <v>4</v>
      </c>
      <c r="E17" s="22" t="s">
        <v>163</v>
      </c>
      <c r="F17" s="77">
        <v>0</v>
      </c>
      <c r="G17" s="1" t="s">
        <v>164</v>
      </c>
      <c r="H17" s="9"/>
      <c r="I17" s="22" t="s">
        <v>34</v>
      </c>
      <c r="J17" s="13">
        <v>0.99</v>
      </c>
      <c r="K17" s="1" t="s">
        <v>33</v>
      </c>
      <c r="L17" s="9"/>
      <c r="N17" s="31">
        <f t="shared" si="9"/>
        <v>9</v>
      </c>
      <c r="O17" s="31"/>
      <c r="P17" s="35">
        <f t="shared" si="1"/>
        <v>0</v>
      </c>
      <c r="Q17" s="36">
        <f t="shared" si="7"/>
        <v>1391.642903751891</v>
      </c>
      <c r="R17" s="37">
        <f t="shared" si="2"/>
        <v>0</v>
      </c>
      <c r="S17" s="37">
        <f t="shared" si="3"/>
        <v>9838.7140477869034</v>
      </c>
      <c r="T17" s="37">
        <f t="shared" si="8"/>
        <v>0</v>
      </c>
      <c r="U17" s="37">
        <f t="shared" si="4"/>
        <v>0</v>
      </c>
      <c r="V17" s="37">
        <v>0</v>
      </c>
      <c r="W17" s="37">
        <f t="shared" si="5"/>
        <v>0</v>
      </c>
      <c r="X17" s="35">
        <f t="shared" si="6"/>
        <v>0</v>
      </c>
      <c r="Y17" s="34">
        <f t="shared" si="0"/>
        <v>11230.356951538794</v>
      </c>
      <c r="Z17" s="19"/>
      <c r="AE17" s="2"/>
    </row>
    <row r="18" spans="1:50" x14ac:dyDescent="0.25">
      <c r="E18" s="22" t="s">
        <v>159</v>
      </c>
      <c r="F18" s="77">
        <v>400000</v>
      </c>
      <c r="G18" s="1" t="s">
        <v>155</v>
      </c>
      <c r="H18" s="9"/>
      <c r="J18" s="77"/>
      <c r="L18" s="9"/>
      <c r="N18" s="31">
        <f t="shared" si="9"/>
        <v>10</v>
      </c>
      <c r="O18" s="31"/>
      <c r="P18" s="35">
        <f t="shared" si="1"/>
        <v>0</v>
      </c>
      <c r="Q18" s="36">
        <f t="shared" si="7"/>
        <v>1347.6120160972289</v>
      </c>
      <c r="R18" s="37">
        <f t="shared" si="2"/>
        <v>0</v>
      </c>
      <c r="S18" s="37">
        <f t="shared" si="3"/>
        <v>9433.0911292300116</v>
      </c>
      <c r="T18" s="37">
        <f t="shared" si="8"/>
        <v>0</v>
      </c>
      <c r="U18" s="37">
        <f t="shared" si="4"/>
        <v>0</v>
      </c>
      <c r="V18" s="37">
        <f>IF(N18&gt;0,($F$16/$B$8)/((1+($F$11/100))^N18),0)</f>
        <v>3.2392738124829297</v>
      </c>
      <c r="W18" s="37">
        <f t="shared" si="5"/>
        <v>0</v>
      </c>
      <c r="X18" s="35">
        <f t="shared" si="6"/>
        <v>-75803.710221687041</v>
      </c>
      <c r="Y18" s="34">
        <f t="shared" si="0"/>
        <v>-65019.767802547314</v>
      </c>
      <c r="Z18" s="19"/>
      <c r="AE18" s="2"/>
    </row>
    <row r="19" spans="1:50" x14ac:dyDescent="0.25">
      <c r="A19" s="21"/>
      <c r="E19" s="22" t="s">
        <v>86</v>
      </c>
      <c r="F19" s="77">
        <v>0</v>
      </c>
      <c r="G19" s="1" t="s">
        <v>155</v>
      </c>
      <c r="H19" s="9"/>
      <c r="I19" s="12" t="s">
        <v>18</v>
      </c>
      <c r="L19" s="9"/>
      <c r="N19" s="31">
        <f t="shared" si="9"/>
        <v>0</v>
      </c>
      <c r="O19" s="31"/>
      <c r="P19" s="35">
        <f t="shared" si="1"/>
        <v>0</v>
      </c>
      <c r="Q19" s="36">
        <f t="shared" si="7"/>
        <v>0</v>
      </c>
      <c r="R19" s="37">
        <f t="shared" si="2"/>
        <v>0</v>
      </c>
      <c r="S19" s="37">
        <f t="shared" si="3"/>
        <v>0</v>
      </c>
      <c r="T19" s="37">
        <f t="shared" si="8"/>
        <v>0</v>
      </c>
      <c r="U19" s="37">
        <f t="shared" si="4"/>
        <v>0</v>
      </c>
      <c r="V19" s="37"/>
      <c r="W19" s="37">
        <f t="shared" si="5"/>
        <v>0</v>
      </c>
      <c r="X19" s="35">
        <f t="shared" si="6"/>
        <v>0</v>
      </c>
      <c r="Y19" s="34">
        <f t="shared" si="0"/>
        <v>0</v>
      </c>
      <c r="Z19" s="19"/>
      <c r="AE19" s="2"/>
    </row>
    <row r="20" spans="1:50" x14ac:dyDescent="0.25">
      <c r="A20" s="21"/>
      <c r="E20" s="22" t="s">
        <v>88</v>
      </c>
      <c r="F20" s="77">
        <v>0</v>
      </c>
      <c r="G20" s="1" t="s">
        <v>161</v>
      </c>
      <c r="H20" s="9"/>
      <c r="I20" s="22" t="s">
        <v>19</v>
      </c>
      <c r="J20" s="1">
        <v>5</v>
      </c>
      <c r="K20" s="1" t="s">
        <v>22</v>
      </c>
      <c r="L20" s="9"/>
      <c r="N20" s="31">
        <f>IF((N19+1)&gt;$B$5,,IF(N19=0,,N19+1))</f>
        <v>0</v>
      </c>
      <c r="O20" s="31"/>
      <c r="P20" s="35">
        <f t="shared" si="1"/>
        <v>0</v>
      </c>
      <c r="Q20" s="36">
        <f t="shared" si="7"/>
        <v>0</v>
      </c>
      <c r="R20" s="37">
        <f t="shared" si="2"/>
        <v>0</v>
      </c>
      <c r="S20" s="37">
        <f t="shared" si="3"/>
        <v>0</v>
      </c>
      <c r="T20" s="37">
        <f t="shared" si="8"/>
        <v>0</v>
      </c>
      <c r="U20" s="37">
        <f t="shared" si="4"/>
        <v>0</v>
      </c>
      <c r="V20" s="37"/>
      <c r="W20" s="37">
        <f t="shared" si="5"/>
        <v>0</v>
      </c>
      <c r="X20" s="35">
        <f t="shared" si="6"/>
        <v>0</v>
      </c>
      <c r="Y20" s="34">
        <f t="shared" si="0"/>
        <v>0</v>
      </c>
      <c r="Z20" s="19"/>
    </row>
    <row r="21" spans="1:50" x14ac:dyDescent="0.25">
      <c r="A21" s="21"/>
      <c r="E21" s="22" t="s">
        <v>66</v>
      </c>
      <c r="F21" s="77">
        <v>7455.2575679999991</v>
      </c>
      <c r="G21" s="1" t="s">
        <v>168</v>
      </c>
      <c r="H21" s="9"/>
      <c r="I21" s="22" t="s">
        <v>20</v>
      </c>
      <c r="J21" s="1">
        <v>30</v>
      </c>
      <c r="K21" s="1" t="s">
        <v>21</v>
      </c>
      <c r="L21" s="9"/>
      <c r="N21" s="31">
        <f t="shared" si="9"/>
        <v>0</v>
      </c>
      <c r="O21" s="31"/>
      <c r="P21" s="35">
        <f t="shared" si="1"/>
        <v>0</v>
      </c>
      <c r="Q21" s="36">
        <f t="shared" si="7"/>
        <v>0</v>
      </c>
      <c r="R21" s="37">
        <f t="shared" si="2"/>
        <v>0</v>
      </c>
      <c r="S21" s="37">
        <f t="shared" si="3"/>
        <v>0</v>
      </c>
      <c r="T21" s="37">
        <f t="shared" si="8"/>
        <v>0</v>
      </c>
      <c r="U21" s="37">
        <f t="shared" si="4"/>
        <v>0</v>
      </c>
      <c r="V21" s="37"/>
      <c r="W21" s="37">
        <f t="shared" si="5"/>
        <v>0</v>
      </c>
      <c r="X21" s="35">
        <f t="shared" si="6"/>
        <v>0</v>
      </c>
      <c r="Y21" s="34">
        <f t="shared" si="0"/>
        <v>0</v>
      </c>
      <c r="Z21" s="19"/>
      <c r="AA21" s="27" t="s">
        <v>32</v>
      </c>
      <c r="AB21" s="24"/>
      <c r="AC21" s="24"/>
      <c r="AD21" s="24"/>
      <c r="AF21" s="27" t="s">
        <v>2</v>
      </c>
      <c r="AG21" s="24"/>
      <c r="AH21" s="24"/>
      <c r="AI21" s="24"/>
      <c r="AK21" s="133" t="s">
        <v>201</v>
      </c>
      <c r="AL21" s="133" t="s">
        <v>203</v>
      </c>
      <c r="AM21" s="133" t="s">
        <v>204</v>
      </c>
      <c r="AN21" s="133" t="s">
        <v>38</v>
      </c>
      <c r="AO21" s="133" t="s">
        <v>205</v>
      </c>
      <c r="AP21" s="133" t="s">
        <v>206</v>
      </c>
      <c r="AQ21" s="141" t="str">
        <f>AA66</f>
        <v>Energy Efficiency</v>
      </c>
    </row>
    <row r="22" spans="1:50" x14ac:dyDescent="0.25">
      <c r="E22" s="22" t="s">
        <v>39</v>
      </c>
      <c r="F22" s="91">
        <v>7.5</v>
      </c>
      <c r="G22" s="1" t="s">
        <v>23</v>
      </c>
      <c r="H22" s="9"/>
      <c r="L22" s="9"/>
      <c r="N22" s="31">
        <f t="shared" si="9"/>
        <v>0</v>
      </c>
      <c r="O22" s="31"/>
      <c r="P22" s="35">
        <f t="shared" si="1"/>
        <v>0</v>
      </c>
      <c r="Q22" s="36">
        <f t="shared" si="7"/>
        <v>0</v>
      </c>
      <c r="R22" s="37">
        <f t="shared" si="2"/>
        <v>0</v>
      </c>
      <c r="S22" s="37">
        <f t="shared" si="3"/>
        <v>0</v>
      </c>
      <c r="T22" s="37">
        <f t="shared" si="8"/>
        <v>0</v>
      </c>
      <c r="U22" s="37">
        <f t="shared" si="4"/>
        <v>0</v>
      </c>
      <c r="V22" s="37"/>
      <c r="W22" s="37">
        <f t="shared" si="5"/>
        <v>0</v>
      </c>
      <c r="X22" s="35">
        <f t="shared" si="6"/>
        <v>0</v>
      </c>
      <c r="Y22" s="34">
        <f t="shared" si="0"/>
        <v>0</v>
      </c>
      <c r="Z22" s="19"/>
      <c r="AA22" s="24" t="s">
        <v>76</v>
      </c>
      <c r="AB22" s="24" t="s">
        <v>81</v>
      </c>
      <c r="AC22" s="24" t="s">
        <v>72</v>
      </c>
      <c r="AD22" s="24" t="s">
        <v>80</v>
      </c>
      <c r="AF22" s="24" t="s">
        <v>76</v>
      </c>
      <c r="AG22" s="24" t="s">
        <v>77</v>
      </c>
      <c r="AH22" s="24" t="s">
        <v>72</v>
      </c>
      <c r="AI22" s="24" t="s">
        <v>80</v>
      </c>
      <c r="AK22" s="134">
        <v>-50</v>
      </c>
      <c r="AL22" s="135">
        <f>AI24</f>
        <v>-42.515796050628111</v>
      </c>
      <c r="AM22" s="135">
        <f>AD24</f>
        <v>-2.1402868910877673</v>
      </c>
      <c r="AN22" s="136">
        <f t="shared" ref="AN22:AN32" si="10">AD39</f>
        <v>-4.7451903681266669</v>
      </c>
      <c r="AO22" s="136">
        <f t="shared" ref="AO22:AO32" si="11">AI39</f>
        <v>-17.850375877584423</v>
      </c>
      <c r="AP22" s="136">
        <f>AD54</f>
        <v>-15.710088986496643</v>
      </c>
      <c r="AQ22" s="142">
        <f>AD69</f>
        <v>2.1402868910877832</v>
      </c>
    </row>
    <row r="23" spans="1:50" x14ac:dyDescent="0.25">
      <c r="H23" s="9"/>
      <c r="I23" s="12" t="s">
        <v>172</v>
      </c>
      <c r="L23" s="106"/>
      <c r="N23" s="31">
        <f t="shared" si="9"/>
        <v>0</v>
      </c>
      <c r="O23" s="31"/>
      <c r="P23" s="35">
        <f t="shared" si="1"/>
        <v>0</v>
      </c>
      <c r="Q23" s="36">
        <f t="shared" si="7"/>
        <v>0</v>
      </c>
      <c r="R23" s="37">
        <f t="shared" si="2"/>
        <v>0</v>
      </c>
      <c r="S23" s="37">
        <f t="shared" si="3"/>
        <v>0</v>
      </c>
      <c r="T23" s="37">
        <f t="shared" si="8"/>
        <v>0</v>
      </c>
      <c r="U23" s="37">
        <f t="shared" si="4"/>
        <v>0</v>
      </c>
      <c r="V23" s="37"/>
      <c r="W23" s="37">
        <f t="shared" si="5"/>
        <v>0</v>
      </c>
      <c r="X23" s="35">
        <f t="shared" si="6"/>
        <v>0</v>
      </c>
      <c r="Y23" s="34">
        <f t="shared" si="0"/>
        <v>0</v>
      </c>
      <c r="Z23" s="19"/>
      <c r="AA23" s="24" t="s">
        <v>110</v>
      </c>
      <c r="AB23" s="28">
        <v>4.6248382011635419E-2</v>
      </c>
      <c r="AC23" s="26">
        <f>Y49</f>
        <v>365381.26970994822</v>
      </c>
      <c r="AD23" s="24"/>
      <c r="AF23" s="24" t="s">
        <v>110</v>
      </c>
      <c r="AG23" s="29">
        <v>270211.51796643529</v>
      </c>
      <c r="AH23" s="30">
        <f>Y49</f>
        <v>365381.26970994822</v>
      </c>
      <c r="AI23" s="24"/>
      <c r="AK23" s="134">
        <v>-40</v>
      </c>
      <c r="AL23" s="135">
        <f>AI25</f>
        <v>-34.012636840502509</v>
      </c>
      <c r="AM23" s="135">
        <f t="shared" ref="AM23:AM32" si="12">AD25</f>
        <v>-1.7122295128702236</v>
      </c>
      <c r="AN23" s="136">
        <f t="shared" si="10"/>
        <v>-3.7961522945013213</v>
      </c>
      <c r="AO23" s="136">
        <f t="shared" si="11"/>
        <v>-14.280300702067558</v>
      </c>
      <c r="AP23" s="136">
        <f t="shared" ref="AP23:AP32" si="13">AD55</f>
        <v>-12.568071189197289</v>
      </c>
      <c r="AQ23" s="142">
        <f t="shared" ref="AQ23:AQ32" si="14">AD70</f>
        <v>1.7122295128702552</v>
      </c>
      <c r="AR23" s="68"/>
      <c r="AS23" s="68"/>
      <c r="AT23" s="68"/>
      <c r="AU23" s="68"/>
      <c r="AV23" s="68"/>
      <c r="AW23" s="68"/>
      <c r="AX23" s="68"/>
    </row>
    <row r="24" spans="1:50" x14ac:dyDescent="0.25">
      <c r="A24" s="7"/>
      <c r="H24" s="9"/>
      <c r="I24" s="1" t="s">
        <v>173</v>
      </c>
      <c r="J24" s="60" t="s">
        <v>132</v>
      </c>
      <c r="L24" s="106"/>
      <c r="N24" s="31">
        <f t="shared" si="9"/>
        <v>0</v>
      </c>
      <c r="O24" s="31"/>
      <c r="P24" s="35">
        <f t="shared" si="1"/>
        <v>0</v>
      </c>
      <c r="Q24" s="36">
        <f t="shared" si="7"/>
        <v>0</v>
      </c>
      <c r="R24" s="37">
        <f t="shared" si="2"/>
        <v>0</v>
      </c>
      <c r="S24" s="37">
        <f t="shared" si="3"/>
        <v>0</v>
      </c>
      <c r="T24" s="37">
        <f t="shared" si="8"/>
        <v>0</v>
      </c>
      <c r="U24" s="37">
        <f t="shared" si="4"/>
        <v>0</v>
      </c>
      <c r="V24" s="37"/>
      <c r="W24" s="37">
        <f t="shared" si="5"/>
        <v>0</v>
      </c>
      <c r="X24" s="35">
        <f t="shared" si="6"/>
        <v>0</v>
      </c>
      <c r="Y24" s="34">
        <f t="shared" si="0"/>
        <v>0</v>
      </c>
      <c r="Z24" s="19"/>
      <c r="AA24" s="24">
        <f t="shared" ref="AA24:AA27" si="15">AA25-10</f>
        <v>-50</v>
      </c>
      <c r="AB24" s="28">
        <f t="shared" ref="AB24:AB28" si="16">$AB$23*(1+(AA24/100))</f>
        <v>2.312419100581771E-2</v>
      </c>
      <c r="AC24" s="30">
        <f t="dataTable" ref="AC24:AC34" dt2D="0" dtr="0" r1="F36" ca="1"/>
        <v>357561.06229185616</v>
      </c>
      <c r="AD24" s="58">
        <f>100*((AC24-$AC$29)/$AC$29)</f>
        <v>-2.1402868910877673</v>
      </c>
      <c r="AF24" s="24">
        <f t="shared" ref="AF24:AF27" si="17">AF25-10</f>
        <v>-50</v>
      </c>
      <c r="AG24" s="29">
        <f t="shared" ref="AG24:AG34" si="18">$AG$23*(1+(AF24/100))</f>
        <v>135105.75898321765</v>
      </c>
      <c r="AH24" s="30">
        <f t="dataTable" ref="AH24:AH34" dt2D="0" dtr="0" r1="B51" ca="1"/>
        <v>210036.51427287119</v>
      </c>
      <c r="AI24" s="58">
        <f t="shared" ref="AI24:AI34" si="19">100*((AH24-$AH$29)/$AH$29)</f>
        <v>-42.515796050628111</v>
      </c>
      <c r="AK24" s="134">
        <v>-30</v>
      </c>
      <c r="AL24" s="135">
        <f t="shared" ref="AL24:AL32" si="20">AI26</f>
        <v>-25.509477630376875</v>
      </c>
      <c r="AM24" s="135">
        <f t="shared" si="12"/>
        <v>-1.2841721346526636</v>
      </c>
      <c r="AN24" s="136">
        <f t="shared" si="10"/>
        <v>-2.8471142208759592</v>
      </c>
      <c r="AO24" s="136">
        <f t="shared" si="11"/>
        <v>-10.710225526550678</v>
      </c>
      <c r="AP24" s="136">
        <f t="shared" si="13"/>
        <v>-9.4260533918979821</v>
      </c>
      <c r="AQ24" s="142">
        <f t="shared" si="14"/>
        <v>1.2841721346526795</v>
      </c>
      <c r="AR24" s="68"/>
      <c r="AS24" s="68"/>
      <c r="AT24" s="68"/>
      <c r="AU24" s="68"/>
      <c r="AV24" s="68"/>
      <c r="AW24" s="68"/>
      <c r="AX24" s="68"/>
    </row>
    <row r="25" spans="1:50" x14ac:dyDescent="0.25">
      <c r="A25" s="7"/>
      <c r="H25" s="9"/>
      <c r="I25" s="105" t="s">
        <v>174</v>
      </c>
      <c r="J25" s="105">
        <v>1.3</v>
      </c>
      <c r="K25" s="105" t="s">
        <v>175</v>
      </c>
      <c r="L25" s="106"/>
      <c r="N25" s="31">
        <f t="shared" si="9"/>
        <v>0</v>
      </c>
      <c r="O25" s="31"/>
      <c r="P25" s="35">
        <f t="shared" si="1"/>
        <v>0</v>
      </c>
      <c r="Q25" s="36">
        <f t="shared" si="7"/>
        <v>0</v>
      </c>
      <c r="R25" s="37">
        <f t="shared" si="2"/>
        <v>0</v>
      </c>
      <c r="S25" s="37">
        <f t="shared" si="3"/>
        <v>0</v>
      </c>
      <c r="T25" s="37">
        <f t="shared" si="8"/>
        <v>0</v>
      </c>
      <c r="U25" s="37">
        <f t="shared" si="4"/>
        <v>0</v>
      </c>
      <c r="V25" s="37"/>
      <c r="W25" s="37">
        <f t="shared" si="5"/>
        <v>0</v>
      </c>
      <c r="X25" s="35">
        <f t="shared" si="6"/>
        <v>0</v>
      </c>
      <c r="Y25" s="34">
        <f t="shared" si="0"/>
        <v>0</v>
      </c>
      <c r="Z25" s="19"/>
      <c r="AA25" s="24">
        <f t="shared" si="15"/>
        <v>-40</v>
      </c>
      <c r="AB25" s="28">
        <f t="shared" si="16"/>
        <v>2.774902920698125E-2</v>
      </c>
      <c r="AC25" s="30">
        <v>359125.10377547453</v>
      </c>
      <c r="AD25" s="58">
        <f t="shared" ref="AD25:AD34" si="21">100*((AC25-$AC$29)/$AC$29)</f>
        <v>-1.7122295128702236</v>
      </c>
      <c r="AF25" s="24">
        <f t="shared" si="17"/>
        <v>-40</v>
      </c>
      <c r="AG25" s="29">
        <f t="shared" si="18"/>
        <v>162126.91077986118</v>
      </c>
      <c r="AH25" s="30">
        <v>241105.46536028653</v>
      </c>
      <c r="AI25" s="58">
        <f t="shared" si="19"/>
        <v>-34.012636840502509</v>
      </c>
      <c r="AK25" s="134">
        <v>-20</v>
      </c>
      <c r="AL25" s="135">
        <f t="shared" si="20"/>
        <v>-17.00631842025124</v>
      </c>
      <c r="AM25" s="135">
        <f t="shared" si="12"/>
        <v>-0.85611475643508783</v>
      </c>
      <c r="AN25" s="136">
        <f t="shared" si="10"/>
        <v>-1.8980761472506764</v>
      </c>
      <c r="AO25" s="136">
        <f t="shared" si="11"/>
        <v>-7.1401503510337792</v>
      </c>
      <c r="AP25" s="136">
        <f t="shared" si="13"/>
        <v>-6.2840355945986444</v>
      </c>
      <c r="AQ25" s="142">
        <f t="shared" si="14"/>
        <v>0.85611475643510382</v>
      </c>
      <c r="AR25" s="68"/>
      <c r="AS25" s="68"/>
      <c r="AT25" s="68"/>
      <c r="AU25" s="68"/>
      <c r="AV25" s="68"/>
      <c r="AW25" s="68"/>
      <c r="AX25" s="68"/>
    </row>
    <row r="26" spans="1:50" ht="15.75" thickBot="1" x14ac:dyDescent="0.3">
      <c r="A26" s="14"/>
      <c r="B26" s="15"/>
      <c r="C26" s="15"/>
      <c r="D26" s="15"/>
      <c r="E26" s="15"/>
      <c r="F26" s="15"/>
      <c r="G26" s="15"/>
      <c r="H26" s="16"/>
      <c r="I26" s="102" t="s">
        <v>176</v>
      </c>
      <c r="J26" s="103">
        <f>J12/2</f>
        <v>117.5</v>
      </c>
      <c r="K26" s="102" t="s">
        <v>177</v>
      </c>
      <c r="L26" s="104"/>
      <c r="N26" s="31">
        <f t="shared" si="9"/>
        <v>0</v>
      </c>
      <c r="O26" s="31"/>
      <c r="P26" s="35">
        <f t="shared" si="1"/>
        <v>0</v>
      </c>
      <c r="Q26" s="36">
        <f t="shared" si="7"/>
        <v>0</v>
      </c>
      <c r="R26" s="37">
        <f t="shared" si="2"/>
        <v>0</v>
      </c>
      <c r="S26" s="37">
        <f t="shared" si="3"/>
        <v>0</v>
      </c>
      <c r="T26" s="37">
        <f t="shared" si="8"/>
        <v>0</v>
      </c>
      <c r="U26" s="37">
        <f t="shared" si="4"/>
        <v>0</v>
      </c>
      <c r="V26" s="37"/>
      <c r="W26" s="37">
        <f t="shared" si="5"/>
        <v>0</v>
      </c>
      <c r="X26" s="35">
        <f t="shared" si="6"/>
        <v>0</v>
      </c>
      <c r="Y26" s="34">
        <f t="shared" si="0"/>
        <v>0</v>
      </c>
      <c r="Z26" s="19"/>
      <c r="AA26" s="24">
        <f t="shared" si="15"/>
        <v>-30</v>
      </c>
      <c r="AB26" s="28">
        <f t="shared" si="16"/>
        <v>3.2373867408144789E-2</v>
      </c>
      <c r="AC26" s="30">
        <v>360689.14525909297</v>
      </c>
      <c r="AD26" s="58">
        <f t="shared" si="21"/>
        <v>-1.2841721346526636</v>
      </c>
      <c r="AF26" s="24">
        <f t="shared" si="17"/>
        <v>-30</v>
      </c>
      <c r="AG26" s="29">
        <f t="shared" si="18"/>
        <v>189148.06257650469</v>
      </c>
      <c r="AH26" s="30">
        <v>272174.41644770198</v>
      </c>
      <c r="AI26" s="58">
        <f t="shared" si="19"/>
        <v>-25.509477630376875</v>
      </c>
      <c r="AK26" s="134">
        <v>-10</v>
      </c>
      <c r="AL26" s="135">
        <f t="shared" si="20"/>
        <v>-8.5031592101256361</v>
      </c>
      <c r="AM26" s="135">
        <f t="shared" si="12"/>
        <v>-0.42805737821754392</v>
      </c>
      <c r="AN26" s="136">
        <f t="shared" si="10"/>
        <v>-0.9490380736253462</v>
      </c>
      <c r="AO26" s="136">
        <f t="shared" si="11"/>
        <v>-3.570075175516882</v>
      </c>
      <c r="AP26" s="136">
        <f t="shared" si="13"/>
        <v>-3.1420177972993062</v>
      </c>
      <c r="AQ26" s="142">
        <f t="shared" si="14"/>
        <v>0.42805737821757572</v>
      </c>
      <c r="AR26" s="68"/>
      <c r="AS26" s="68"/>
      <c r="AT26" s="68"/>
      <c r="AU26" s="68"/>
      <c r="AV26" s="68"/>
      <c r="AW26" s="68"/>
      <c r="AX26" s="68"/>
    </row>
    <row r="27" spans="1:50" x14ac:dyDescent="0.25">
      <c r="J27" s="2"/>
      <c r="N27" s="31">
        <f t="shared" si="9"/>
        <v>0</v>
      </c>
      <c r="O27" s="31"/>
      <c r="P27" s="35">
        <f t="shared" si="1"/>
        <v>0</v>
      </c>
      <c r="Q27" s="36">
        <f t="shared" si="7"/>
        <v>0</v>
      </c>
      <c r="R27" s="37">
        <f t="shared" si="2"/>
        <v>0</v>
      </c>
      <c r="S27" s="37">
        <f t="shared" si="3"/>
        <v>0</v>
      </c>
      <c r="T27" s="37">
        <f t="shared" si="8"/>
        <v>0</v>
      </c>
      <c r="U27" s="37">
        <f t="shared" si="4"/>
        <v>0</v>
      </c>
      <c r="V27" s="37"/>
      <c r="W27" s="37">
        <f t="shared" si="5"/>
        <v>0</v>
      </c>
      <c r="X27" s="35">
        <f t="shared" si="6"/>
        <v>0</v>
      </c>
      <c r="Y27" s="34">
        <f t="shared" si="0"/>
        <v>0</v>
      </c>
      <c r="Z27" s="19"/>
      <c r="AA27" s="24">
        <f t="shared" si="15"/>
        <v>-20</v>
      </c>
      <c r="AB27" s="28">
        <f t="shared" si="16"/>
        <v>3.699870560930834E-2</v>
      </c>
      <c r="AC27" s="30">
        <v>362253.18674271146</v>
      </c>
      <c r="AD27" s="58">
        <f t="shared" si="21"/>
        <v>-0.85611475643508783</v>
      </c>
      <c r="AF27" s="24">
        <f t="shared" si="17"/>
        <v>-20</v>
      </c>
      <c r="AG27" s="29">
        <f t="shared" si="18"/>
        <v>216169.21437314825</v>
      </c>
      <c r="AH27" s="30">
        <v>303243.36753511743</v>
      </c>
      <c r="AI27" s="58">
        <f t="shared" si="19"/>
        <v>-17.00631842025124</v>
      </c>
      <c r="AK27" s="134">
        <v>0</v>
      </c>
      <c r="AL27" s="135">
        <f t="shared" si="20"/>
        <v>0</v>
      </c>
      <c r="AM27" s="135">
        <f t="shared" si="12"/>
        <v>0</v>
      </c>
      <c r="AN27" s="136">
        <f t="shared" si="10"/>
        <v>0</v>
      </c>
      <c r="AO27" s="136">
        <f t="shared" si="11"/>
        <v>0</v>
      </c>
      <c r="AP27" s="136">
        <f t="shared" si="13"/>
        <v>0</v>
      </c>
      <c r="AQ27" s="142">
        <f t="shared" si="14"/>
        <v>0</v>
      </c>
      <c r="AR27" s="68"/>
      <c r="AS27" s="68"/>
      <c r="AT27" s="68"/>
      <c r="AU27" s="68"/>
      <c r="AV27" s="68"/>
      <c r="AW27" s="68"/>
      <c r="AX27" s="68"/>
    </row>
    <row r="28" spans="1:50" x14ac:dyDescent="0.25">
      <c r="A28" s="12" t="s">
        <v>60</v>
      </c>
      <c r="J28" s="2"/>
      <c r="N28" s="31">
        <f t="shared" si="9"/>
        <v>0</v>
      </c>
      <c r="O28" s="31"/>
      <c r="P28" s="35">
        <f t="shared" si="1"/>
        <v>0</v>
      </c>
      <c r="Q28" s="36">
        <f t="shared" si="7"/>
        <v>0</v>
      </c>
      <c r="R28" s="37">
        <f t="shared" si="2"/>
        <v>0</v>
      </c>
      <c r="S28" s="37">
        <f t="shared" si="3"/>
        <v>0</v>
      </c>
      <c r="T28" s="37">
        <f t="shared" si="8"/>
        <v>0</v>
      </c>
      <c r="U28" s="37">
        <f t="shared" si="4"/>
        <v>0</v>
      </c>
      <c r="V28" s="37"/>
      <c r="W28" s="37">
        <f t="shared" si="5"/>
        <v>0</v>
      </c>
      <c r="X28" s="35">
        <f t="shared" si="6"/>
        <v>0</v>
      </c>
      <c r="Y28" s="34">
        <f t="shared" si="0"/>
        <v>0</v>
      </c>
      <c r="Z28" s="19"/>
      <c r="AA28" s="24">
        <f>AA29-10</f>
        <v>-10</v>
      </c>
      <c r="AB28" s="28">
        <f t="shared" si="16"/>
        <v>4.1623543810471876E-2</v>
      </c>
      <c r="AC28" s="30">
        <v>363817.22822632984</v>
      </c>
      <c r="AD28" s="58">
        <f t="shared" si="21"/>
        <v>-0.42805737821754392</v>
      </c>
      <c r="AF28" s="24">
        <f>AF29-10</f>
        <v>-10</v>
      </c>
      <c r="AG28" s="29">
        <f t="shared" si="18"/>
        <v>243190.36616979176</v>
      </c>
      <c r="AH28" s="30">
        <v>334312.31862253277</v>
      </c>
      <c r="AI28" s="58">
        <f t="shared" si="19"/>
        <v>-8.5031592101256361</v>
      </c>
      <c r="AK28" s="134">
        <v>10</v>
      </c>
      <c r="AL28" s="135">
        <f t="shared" si="20"/>
        <v>8.5031592101256361</v>
      </c>
      <c r="AM28" s="135">
        <f t="shared" si="12"/>
        <v>0.42805737821757572</v>
      </c>
      <c r="AN28" s="136">
        <f t="shared" si="10"/>
        <v>0.9490380736253462</v>
      </c>
      <c r="AO28" s="136">
        <f t="shared" si="11"/>
        <v>3.570075175516914</v>
      </c>
      <c r="AP28" s="136">
        <f t="shared" si="13"/>
        <v>3.1420177972993382</v>
      </c>
      <c r="AQ28" s="142">
        <f t="shared" si="14"/>
        <v>-0.42805737821754392</v>
      </c>
      <c r="AR28" s="68"/>
      <c r="AS28" s="68"/>
      <c r="AT28" s="68"/>
      <c r="AU28" s="68"/>
      <c r="AV28" s="68"/>
      <c r="AW28" s="68"/>
      <c r="AX28" s="68"/>
    </row>
    <row r="29" spans="1:50" ht="15.75" thickBot="1" x14ac:dyDescent="0.3">
      <c r="J29" s="2"/>
      <c r="N29" s="31">
        <f t="shared" si="9"/>
        <v>0</v>
      </c>
      <c r="O29" s="31"/>
      <c r="P29" s="35">
        <f t="shared" si="1"/>
        <v>0</v>
      </c>
      <c r="Q29" s="36">
        <f t="shared" si="7"/>
        <v>0</v>
      </c>
      <c r="R29" s="37">
        <f t="shared" si="2"/>
        <v>0</v>
      </c>
      <c r="S29" s="37">
        <f t="shared" si="3"/>
        <v>0</v>
      </c>
      <c r="T29" s="37">
        <f t="shared" si="8"/>
        <v>0</v>
      </c>
      <c r="U29" s="37">
        <f t="shared" si="4"/>
        <v>0</v>
      </c>
      <c r="V29" s="37"/>
      <c r="W29" s="37">
        <f t="shared" si="5"/>
        <v>0</v>
      </c>
      <c r="X29" s="35">
        <f t="shared" si="6"/>
        <v>0</v>
      </c>
      <c r="Y29" s="34">
        <f t="shared" si="0"/>
        <v>0</v>
      </c>
      <c r="Z29" s="19"/>
      <c r="AA29" s="60">
        <v>0</v>
      </c>
      <c r="AB29" s="64">
        <f>$AB$23*(1+(AA29/100))</f>
        <v>4.6248382011635419E-2</v>
      </c>
      <c r="AC29" s="62">
        <v>365381.26970994822</v>
      </c>
      <c r="AD29" s="63">
        <f t="shared" si="21"/>
        <v>0</v>
      </c>
      <c r="AF29" s="60">
        <v>0</v>
      </c>
      <c r="AG29" s="61">
        <f t="shared" si="18"/>
        <v>270211.51796643529</v>
      </c>
      <c r="AH29" s="62">
        <v>365381.26970994822</v>
      </c>
      <c r="AI29" s="63">
        <f t="shared" si="19"/>
        <v>0</v>
      </c>
      <c r="AK29" s="134">
        <v>20</v>
      </c>
      <c r="AL29" s="135">
        <f t="shared" si="20"/>
        <v>17.00631842025124</v>
      </c>
      <c r="AM29" s="135">
        <f t="shared" si="12"/>
        <v>0.85611475643510382</v>
      </c>
      <c r="AN29" s="136">
        <f t="shared" si="10"/>
        <v>1.8980761472506447</v>
      </c>
      <c r="AO29" s="136">
        <f t="shared" si="11"/>
        <v>7.140150351033796</v>
      </c>
      <c r="AP29" s="136">
        <f t="shared" si="13"/>
        <v>6.2840355945986763</v>
      </c>
      <c r="AQ29" s="142">
        <f t="shared" si="14"/>
        <v>-0.85611475643508783</v>
      </c>
      <c r="AR29" s="68"/>
      <c r="AS29" s="68"/>
      <c r="AT29" s="68"/>
      <c r="AU29" s="68"/>
      <c r="AV29" s="68"/>
      <c r="AW29" s="68"/>
      <c r="AX29" s="68"/>
    </row>
    <row r="30" spans="1:50" x14ac:dyDescent="0.25">
      <c r="A30" s="3" t="s">
        <v>11</v>
      </c>
      <c r="B30" s="4"/>
      <c r="C30" s="4"/>
      <c r="D30" s="4"/>
      <c r="E30" s="5" t="s">
        <v>96</v>
      </c>
      <c r="F30" s="4"/>
      <c r="G30" s="4"/>
      <c r="H30" s="4"/>
      <c r="I30" s="5" t="s">
        <v>126</v>
      </c>
      <c r="J30" s="17"/>
      <c r="K30" s="4"/>
      <c r="L30" s="6"/>
      <c r="N30" s="31">
        <f t="shared" si="9"/>
        <v>0</v>
      </c>
      <c r="O30" s="31"/>
      <c r="P30" s="35">
        <f t="shared" si="1"/>
        <v>0</v>
      </c>
      <c r="Q30" s="36">
        <f t="shared" si="7"/>
        <v>0</v>
      </c>
      <c r="R30" s="37">
        <f t="shared" si="2"/>
        <v>0</v>
      </c>
      <c r="S30" s="37">
        <f t="shared" si="3"/>
        <v>0</v>
      </c>
      <c r="T30" s="37">
        <f t="shared" si="8"/>
        <v>0</v>
      </c>
      <c r="U30" s="37">
        <f t="shared" si="4"/>
        <v>0</v>
      </c>
      <c r="V30" s="37"/>
      <c r="W30" s="37">
        <f t="shared" si="5"/>
        <v>0</v>
      </c>
      <c r="X30" s="35">
        <f t="shared" si="6"/>
        <v>0</v>
      </c>
      <c r="Y30" s="34">
        <f t="shared" si="0"/>
        <v>0</v>
      </c>
      <c r="Z30" s="19"/>
      <c r="AA30" s="24">
        <f>AA29+10</f>
        <v>10</v>
      </c>
      <c r="AB30" s="28">
        <f t="shared" ref="AB30:AB34" si="22">$AB$23*(1+(AA30/100))</f>
        <v>5.0873220212798963E-2</v>
      </c>
      <c r="AC30" s="30">
        <v>366945.31119356671</v>
      </c>
      <c r="AD30" s="58">
        <f t="shared" si="21"/>
        <v>0.42805737821757572</v>
      </c>
      <c r="AF30" s="24">
        <f>AF29+10</f>
        <v>10</v>
      </c>
      <c r="AG30" s="29">
        <f t="shared" si="18"/>
        <v>297232.66976307885</v>
      </c>
      <c r="AH30" s="30">
        <v>396450.22079736367</v>
      </c>
      <c r="AI30" s="58">
        <f t="shared" si="19"/>
        <v>8.5031592101256361</v>
      </c>
      <c r="AK30" s="134">
        <v>30</v>
      </c>
      <c r="AL30" s="135">
        <f t="shared" si="20"/>
        <v>25.509477630376875</v>
      </c>
      <c r="AM30" s="135">
        <f t="shared" si="12"/>
        <v>1.2841721346526795</v>
      </c>
      <c r="AN30" s="136">
        <f t="shared" si="10"/>
        <v>2.8471142208760067</v>
      </c>
      <c r="AO30" s="136">
        <f t="shared" si="11"/>
        <v>10.710225526550692</v>
      </c>
      <c r="AP30" s="136">
        <f t="shared" si="13"/>
        <v>9.4260533918980141</v>
      </c>
      <c r="AQ30" s="142">
        <f t="shared" si="14"/>
        <v>-1.2841721346526636</v>
      </c>
      <c r="AR30" s="68"/>
      <c r="AS30" s="68"/>
      <c r="AT30" s="68"/>
      <c r="AU30" s="68"/>
      <c r="AV30" s="68"/>
      <c r="AW30" s="68"/>
      <c r="AX30" s="68"/>
    </row>
    <row r="31" spans="1:50" x14ac:dyDescent="0.25">
      <c r="A31" s="21" t="s">
        <v>187</v>
      </c>
      <c r="B31" s="18">
        <f>IF(B11=0,0,-(B11/100)*$B$49)</f>
        <v>0</v>
      </c>
      <c r="C31" s="1" t="s">
        <v>3</v>
      </c>
      <c r="E31" s="22" t="s">
        <v>62</v>
      </c>
      <c r="F31" s="10">
        <f>(J21/100)*B51</f>
        <v>81063.45538993059</v>
      </c>
      <c r="G31" s="1" t="s">
        <v>3</v>
      </c>
      <c r="I31" s="38" t="s">
        <v>98</v>
      </c>
      <c r="J31" s="45">
        <f>ROUNDDOWN(J11/(F12/J12),0)</f>
        <v>22</v>
      </c>
      <c r="K31" s="39" t="s">
        <v>22</v>
      </c>
      <c r="L31" s="9"/>
      <c r="N31" s="31">
        <f t="shared" si="9"/>
        <v>0</v>
      </c>
      <c r="O31" s="31"/>
      <c r="P31" s="35">
        <f t="shared" si="1"/>
        <v>0</v>
      </c>
      <c r="Q31" s="36">
        <f t="shared" si="7"/>
        <v>0</v>
      </c>
      <c r="R31" s="37">
        <f t="shared" si="2"/>
        <v>0</v>
      </c>
      <c r="S31" s="37">
        <f t="shared" si="3"/>
        <v>0</v>
      </c>
      <c r="T31" s="37">
        <f t="shared" si="8"/>
        <v>0</v>
      </c>
      <c r="U31" s="37">
        <f t="shared" si="4"/>
        <v>0</v>
      </c>
      <c r="V31" s="37"/>
      <c r="W31" s="37">
        <f t="shared" si="5"/>
        <v>0</v>
      </c>
      <c r="X31" s="35">
        <f t="shared" si="6"/>
        <v>0</v>
      </c>
      <c r="Y31" s="34">
        <f t="shared" si="0"/>
        <v>0</v>
      </c>
      <c r="Z31" s="19"/>
      <c r="AA31" s="24">
        <f t="shared" ref="AA31:AA34" si="23">AA30+10</f>
        <v>20</v>
      </c>
      <c r="AB31" s="28">
        <f t="shared" si="22"/>
        <v>5.5498058413962499E-2</v>
      </c>
      <c r="AC31" s="30">
        <v>368509.35267718503</v>
      </c>
      <c r="AD31" s="58">
        <f t="shared" si="21"/>
        <v>0.85611475643510382</v>
      </c>
      <c r="AF31" s="24">
        <f t="shared" ref="AF31:AF34" si="24">AF30+10</f>
        <v>20</v>
      </c>
      <c r="AG31" s="29">
        <f t="shared" si="18"/>
        <v>324253.82155972236</v>
      </c>
      <c r="AH31" s="30">
        <v>427519.171884779</v>
      </c>
      <c r="AI31" s="58">
        <f t="shared" si="19"/>
        <v>17.00631842025124</v>
      </c>
      <c r="AK31" s="134">
        <v>40</v>
      </c>
      <c r="AL31" s="135">
        <f t="shared" si="20"/>
        <v>34.012636840502481</v>
      </c>
      <c r="AM31" s="135">
        <f t="shared" si="12"/>
        <v>1.7122295128702552</v>
      </c>
      <c r="AN31" s="136">
        <f t="shared" si="10"/>
        <v>3.7961522945012893</v>
      </c>
      <c r="AO31" s="136">
        <f t="shared" si="11"/>
        <v>14.280300702067558</v>
      </c>
      <c r="AP31" s="136">
        <f t="shared" si="13"/>
        <v>12.568071189197319</v>
      </c>
      <c r="AQ31" s="142">
        <f t="shared" si="14"/>
        <v>-1.7122295128702236</v>
      </c>
      <c r="AR31" s="68"/>
      <c r="AS31" s="68"/>
      <c r="AT31" s="68"/>
      <c r="AU31" s="68"/>
      <c r="AV31" s="68"/>
      <c r="AW31" s="68"/>
      <c r="AX31" s="68"/>
    </row>
    <row r="32" spans="1:50" x14ac:dyDescent="0.25">
      <c r="A32" s="21" t="s">
        <v>5</v>
      </c>
      <c r="B32" s="18">
        <f>IF(B12=0,0,-(B12/100)*$B$49)</f>
        <v>0</v>
      </c>
      <c r="C32" s="1" t="s">
        <v>3</v>
      </c>
      <c r="E32" s="22" t="s">
        <v>63</v>
      </c>
      <c r="F32" s="18">
        <f>B51-F31</f>
        <v>189148.06257650472</v>
      </c>
      <c r="G32" s="1" t="s">
        <v>3</v>
      </c>
      <c r="I32" s="38" t="s">
        <v>27</v>
      </c>
      <c r="J32" s="100">
        <f>IF(J24="Yes",SUM(F50:F51),0)</f>
        <v>0</v>
      </c>
      <c r="K32" s="39" t="s">
        <v>44</v>
      </c>
      <c r="L32" s="9"/>
      <c r="N32" s="31">
        <f t="shared" si="9"/>
        <v>0</v>
      </c>
      <c r="O32" s="31"/>
      <c r="P32" s="35">
        <f t="shared" si="1"/>
        <v>0</v>
      </c>
      <c r="Q32" s="36">
        <f t="shared" si="7"/>
        <v>0</v>
      </c>
      <c r="R32" s="37">
        <f t="shared" si="2"/>
        <v>0</v>
      </c>
      <c r="S32" s="37">
        <f t="shared" si="3"/>
        <v>0</v>
      </c>
      <c r="T32" s="37">
        <f t="shared" si="8"/>
        <v>0</v>
      </c>
      <c r="U32" s="37">
        <f t="shared" si="4"/>
        <v>0</v>
      </c>
      <c r="V32" s="37"/>
      <c r="W32" s="37">
        <f t="shared" si="5"/>
        <v>0</v>
      </c>
      <c r="X32" s="35">
        <f t="shared" si="6"/>
        <v>0</v>
      </c>
      <c r="Y32" s="34">
        <f t="shared" si="0"/>
        <v>0</v>
      </c>
      <c r="Z32" s="19"/>
      <c r="AA32" s="24">
        <f t="shared" si="23"/>
        <v>30</v>
      </c>
      <c r="AB32" s="28">
        <f t="shared" si="22"/>
        <v>6.0122896615126049E-2</v>
      </c>
      <c r="AC32" s="30">
        <v>370073.39416080352</v>
      </c>
      <c r="AD32" s="58">
        <f t="shared" si="21"/>
        <v>1.2841721346526795</v>
      </c>
      <c r="AF32" s="24">
        <f t="shared" si="24"/>
        <v>30</v>
      </c>
      <c r="AG32" s="29">
        <f t="shared" si="18"/>
        <v>351274.97335636587</v>
      </c>
      <c r="AH32" s="30">
        <v>458588.12297219445</v>
      </c>
      <c r="AI32" s="58">
        <f t="shared" si="19"/>
        <v>25.509477630376875</v>
      </c>
      <c r="AK32" s="134">
        <v>50</v>
      </c>
      <c r="AL32" s="135">
        <f t="shared" si="20"/>
        <v>42.515796050628147</v>
      </c>
      <c r="AM32" s="135">
        <f t="shared" si="12"/>
        <v>2.1402868910877832</v>
      </c>
      <c r="AN32" s="136">
        <f t="shared" si="10"/>
        <v>4.745190368126635</v>
      </c>
      <c r="AO32" s="136">
        <f t="shared" si="11"/>
        <v>17.850375877584472</v>
      </c>
      <c r="AP32" s="136">
        <f t="shared" si="13"/>
        <v>15.710088986496656</v>
      </c>
      <c r="AQ32" s="142">
        <f t="shared" si="14"/>
        <v>-2.1402868910877673</v>
      </c>
      <c r="AR32" s="68"/>
      <c r="AS32" s="68"/>
      <c r="AT32" s="68"/>
      <c r="AU32" s="68"/>
      <c r="AV32" s="68"/>
      <c r="AW32" s="68"/>
      <c r="AX32" s="68"/>
    </row>
    <row r="33" spans="1:50" x14ac:dyDescent="0.25">
      <c r="A33" s="21" t="s">
        <v>6</v>
      </c>
      <c r="B33" s="18">
        <f>IF(B14=0,0,(B14/100)*$B$47)</f>
        <v>17676.377419354852</v>
      </c>
      <c r="C33" s="1" t="s">
        <v>3</v>
      </c>
      <c r="E33" s="22" t="s">
        <v>64</v>
      </c>
      <c r="F33" s="10">
        <f>F32*(F22/100)*J20</f>
        <v>70930.523466189275</v>
      </c>
      <c r="G33" s="1" t="s">
        <v>3</v>
      </c>
      <c r="L33" s="9"/>
      <c r="N33" s="31">
        <f t="shared" si="9"/>
        <v>0</v>
      </c>
      <c r="O33" s="31"/>
      <c r="P33" s="35">
        <f t="shared" si="1"/>
        <v>0</v>
      </c>
      <c r="Q33" s="36">
        <f t="shared" si="7"/>
        <v>0</v>
      </c>
      <c r="R33" s="37">
        <f t="shared" si="2"/>
        <v>0</v>
      </c>
      <c r="S33" s="37">
        <f t="shared" si="3"/>
        <v>0</v>
      </c>
      <c r="T33" s="37">
        <f t="shared" si="8"/>
        <v>0</v>
      </c>
      <c r="U33" s="37">
        <f t="shared" si="4"/>
        <v>0</v>
      </c>
      <c r="V33" s="37"/>
      <c r="W33" s="37">
        <f t="shared" si="5"/>
        <v>0</v>
      </c>
      <c r="X33" s="35">
        <f t="shared" si="6"/>
        <v>0</v>
      </c>
      <c r="Y33" s="34">
        <f t="shared" si="0"/>
        <v>0</v>
      </c>
      <c r="Z33" s="19"/>
      <c r="AA33" s="24">
        <f t="shared" si="23"/>
        <v>40</v>
      </c>
      <c r="AB33" s="28">
        <f t="shared" si="22"/>
        <v>6.4747734816289579E-2</v>
      </c>
      <c r="AC33" s="30">
        <v>371637.43564442202</v>
      </c>
      <c r="AD33" s="58">
        <f t="shared" si="21"/>
        <v>1.7122295128702552</v>
      </c>
      <c r="AF33" s="24">
        <f t="shared" si="24"/>
        <v>40</v>
      </c>
      <c r="AG33" s="29">
        <f t="shared" si="18"/>
        <v>378296.12515300937</v>
      </c>
      <c r="AH33" s="30">
        <v>489657.07405960979</v>
      </c>
      <c r="AI33" s="58">
        <f t="shared" si="19"/>
        <v>34.012636840502481</v>
      </c>
      <c r="AK33" s="66"/>
      <c r="AL33" s="75"/>
      <c r="AM33" s="67"/>
      <c r="AN33" s="76"/>
      <c r="AP33" s="68"/>
      <c r="AQ33" s="68"/>
      <c r="AR33" s="68"/>
      <c r="AS33" s="68"/>
      <c r="AT33" s="68"/>
      <c r="AU33" s="68"/>
      <c r="AV33" s="68"/>
      <c r="AW33" s="68"/>
      <c r="AX33" s="68"/>
    </row>
    <row r="34" spans="1:50" x14ac:dyDescent="0.25">
      <c r="A34" s="21" t="s">
        <v>197</v>
      </c>
      <c r="B34" s="18">
        <f>IF(B16=0,0,(B16/B8))</f>
        <v>15.463127725435013</v>
      </c>
      <c r="C34" s="1" t="s">
        <v>3</v>
      </c>
      <c r="F34" s="46"/>
      <c r="I34" s="38" t="s">
        <v>85</v>
      </c>
      <c r="J34" s="42">
        <f>F12*B5</f>
        <v>410000</v>
      </c>
      <c r="K34" s="39" t="s">
        <v>40</v>
      </c>
      <c r="L34" s="9"/>
      <c r="N34" s="31">
        <f t="shared" si="9"/>
        <v>0</v>
      </c>
      <c r="O34" s="31"/>
      <c r="P34" s="35">
        <f t="shared" si="1"/>
        <v>0</v>
      </c>
      <c r="Q34" s="36">
        <f t="shared" si="7"/>
        <v>0</v>
      </c>
      <c r="R34" s="37">
        <f t="shared" si="2"/>
        <v>0</v>
      </c>
      <c r="S34" s="37">
        <f t="shared" si="3"/>
        <v>0</v>
      </c>
      <c r="T34" s="37">
        <f t="shared" si="8"/>
        <v>0</v>
      </c>
      <c r="U34" s="37">
        <f t="shared" si="4"/>
        <v>0</v>
      </c>
      <c r="V34" s="37"/>
      <c r="W34" s="37">
        <f t="shared" si="5"/>
        <v>0</v>
      </c>
      <c r="X34" s="35">
        <f t="shared" si="6"/>
        <v>0</v>
      </c>
      <c r="Y34" s="34">
        <f t="shared" si="0"/>
        <v>0</v>
      </c>
      <c r="Z34" s="19"/>
      <c r="AA34" s="24">
        <f t="shared" si="23"/>
        <v>50</v>
      </c>
      <c r="AB34" s="28">
        <f t="shared" si="22"/>
        <v>6.9372573017453129E-2</v>
      </c>
      <c r="AC34" s="30">
        <v>373201.47712804034</v>
      </c>
      <c r="AD34" s="58">
        <f t="shared" si="21"/>
        <v>2.1402868910877832</v>
      </c>
      <c r="AF34" s="24">
        <f t="shared" si="24"/>
        <v>50</v>
      </c>
      <c r="AG34" s="29">
        <f t="shared" si="18"/>
        <v>405317.27694965294</v>
      </c>
      <c r="AH34" s="30">
        <v>520726.02514702536</v>
      </c>
      <c r="AI34" s="58">
        <f t="shared" si="19"/>
        <v>42.515796050628147</v>
      </c>
      <c r="AK34" s="66"/>
      <c r="AL34" s="75"/>
      <c r="AM34" s="67"/>
      <c r="AN34" s="76"/>
      <c r="AP34" s="68"/>
      <c r="AQ34" s="68"/>
      <c r="AR34" s="68"/>
      <c r="AS34" s="68"/>
      <c r="AT34" s="68"/>
      <c r="AU34" s="68"/>
      <c r="AV34" s="68"/>
      <c r="AW34" s="68"/>
      <c r="AX34" s="68"/>
    </row>
    <row r="35" spans="1:50" x14ac:dyDescent="0.25">
      <c r="A35" s="21" t="s">
        <v>162</v>
      </c>
      <c r="B35" s="18">
        <f>IF(B17=0,0,(B17/100)*$B$47)</f>
        <v>0</v>
      </c>
      <c r="C35" s="1" t="s">
        <v>3</v>
      </c>
      <c r="E35" s="12" t="s">
        <v>97</v>
      </c>
      <c r="L35" s="9"/>
      <c r="N35" s="31">
        <f t="shared" si="9"/>
        <v>0</v>
      </c>
      <c r="O35" s="31"/>
      <c r="P35" s="35">
        <f t="shared" si="1"/>
        <v>0</v>
      </c>
      <c r="Q35" s="36">
        <f t="shared" si="7"/>
        <v>0</v>
      </c>
      <c r="R35" s="37">
        <f t="shared" si="2"/>
        <v>0</v>
      </c>
      <c r="S35" s="37">
        <f t="shared" si="3"/>
        <v>0</v>
      </c>
      <c r="T35" s="37">
        <f t="shared" si="8"/>
        <v>0</v>
      </c>
      <c r="U35" s="37">
        <f t="shared" si="4"/>
        <v>0</v>
      </c>
      <c r="V35" s="37"/>
      <c r="W35" s="37">
        <f t="shared" si="5"/>
        <v>0</v>
      </c>
      <c r="X35" s="35">
        <f t="shared" si="6"/>
        <v>0</v>
      </c>
      <c r="Y35" s="34">
        <f t="shared" si="0"/>
        <v>0</v>
      </c>
      <c r="Z35" s="19"/>
    </row>
    <row r="36" spans="1:50" x14ac:dyDescent="0.25">
      <c r="B36" s="18"/>
      <c r="E36" s="22" t="s">
        <v>32</v>
      </c>
      <c r="F36" s="23">
        <f>F13/$B$8</f>
        <v>4.6248382011635419E-2</v>
      </c>
      <c r="G36" s="1" t="s">
        <v>9</v>
      </c>
      <c r="L36" s="9"/>
      <c r="N36" s="31">
        <f t="shared" si="9"/>
        <v>0</v>
      </c>
      <c r="O36" s="31"/>
      <c r="P36" s="35">
        <f t="shared" si="1"/>
        <v>0</v>
      </c>
      <c r="Q36" s="36">
        <f t="shared" si="7"/>
        <v>0</v>
      </c>
      <c r="R36" s="37">
        <f t="shared" si="2"/>
        <v>0</v>
      </c>
      <c r="S36" s="37">
        <f t="shared" si="3"/>
        <v>0</v>
      </c>
      <c r="T36" s="37">
        <f t="shared" si="8"/>
        <v>0</v>
      </c>
      <c r="U36" s="37">
        <f t="shared" si="4"/>
        <v>0</v>
      </c>
      <c r="V36" s="37"/>
      <c r="W36" s="37">
        <f t="shared" si="5"/>
        <v>0</v>
      </c>
      <c r="X36" s="35">
        <f t="shared" si="6"/>
        <v>0</v>
      </c>
      <c r="Y36" s="34">
        <f t="shared" si="0"/>
        <v>0</v>
      </c>
      <c r="Z36" s="19"/>
      <c r="AA36" s="27" t="s">
        <v>38</v>
      </c>
      <c r="AB36" s="24"/>
      <c r="AC36" s="24"/>
      <c r="AD36" s="24"/>
      <c r="AF36" s="27" t="s">
        <v>84</v>
      </c>
      <c r="AG36" s="24"/>
      <c r="AH36" s="24"/>
      <c r="AI36" s="24"/>
    </row>
    <row r="37" spans="1:50" x14ac:dyDescent="0.25">
      <c r="E37" s="38" t="s">
        <v>41</v>
      </c>
      <c r="F37" s="41">
        <f>(F20/((1-J14%)*J10))/B8</f>
        <v>0</v>
      </c>
      <c r="G37" s="39" t="s">
        <v>9</v>
      </c>
      <c r="I37" s="12" t="s">
        <v>90</v>
      </c>
      <c r="J37" s="47">
        <f>SUM(J38:J41)</f>
        <v>14371.335040763439</v>
      </c>
      <c r="K37" s="12" t="s">
        <v>44</v>
      </c>
      <c r="L37" s="9"/>
      <c r="N37" s="31">
        <f t="shared" si="9"/>
        <v>0</v>
      </c>
      <c r="O37" s="31"/>
      <c r="P37" s="35">
        <f t="shared" si="1"/>
        <v>0</v>
      </c>
      <c r="Q37" s="36">
        <f t="shared" si="7"/>
        <v>0</v>
      </c>
      <c r="R37" s="37">
        <f t="shared" si="2"/>
        <v>0</v>
      </c>
      <c r="S37" s="37">
        <f t="shared" si="3"/>
        <v>0</v>
      </c>
      <c r="T37" s="37">
        <f t="shared" si="8"/>
        <v>0</v>
      </c>
      <c r="U37" s="37">
        <f t="shared" si="4"/>
        <v>0</v>
      </c>
      <c r="V37" s="37"/>
      <c r="W37" s="37">
        <f t="shared" si="5"/>
        <v>0</v>
      </c>
      <c r="X37" s="35">
        <f t="shared" si="6"/>
        <v>0</v>
      </c>
      <c r="Y37" s="34">
        <f t="shared" si="0"/>
        <v>0</v>
      </c>
      <c r="Z37" s="19"/>
      <c r="AA37" s="24" t="s">
        <v>76</v>
      </c>
      <c r="AB37" s="24" t="s">
        <v>82</v>
      </c>
      <c r="AC37" s="24" t="s">
        <v>72</v>
      </c>
      <c r="AD37" s="24" t="s">
        <v>80</v>
      </c>
      <c r="AF37" s="24" t="s">
        <v>76</v>
      </c>
      <c r="AG37" s="24" t="s">
        <v>83</v>
      </c>
      <c r="AH37" s="24" t="s">
        <v>72</v>
      </c>
      <c r="AI37" s="24" t="s">
        <v>80</v>
      </c>
    </row>
    <row r="38" spans="1:50" x14ac:dyDescent="0.25">
      <c r="A38" s="21"/>
      <c r="B38" s="18"/>
      <c r="E38" s="22" t="s">
        <v>58</v>
      </c>
      <c r="F38" s="48">
        <f>F36*J17</f>
        <v>4.5785898191519063E-2</v>
      </c>
      <c r="G38" s="1" t="s">
        <v>57</v>
      </c>
      <c r="I38" s="22" t="str">
        <f>E17</f>
        <v>Inspection Fee</v>
      </c>
      <c r="J38" s="13">
        <f>F17/$B$8</f>
        <v>0</v>
      </c>
      <c r="K38" s="1" t="s">
        <v>44</v>
      </c>
      <c r="L38" s="9"/>
      <c r="N38" s="31">
        <f t="shared" si="9"/>
        <v>0</v>
      </c>
      <c r="O38" s="31"/>
      <c r="P38" s="35">
        <f t="shared" si="1"/>
        <v>0</v>
      </c>
      <c r="Q38" s="36">
        <f t="shared" si="7"/>
        <v>0</v>
      </c>
      <c r="R38" s="37">
        <f t="shared" si="2"/>
        <v>0</v>
      </c>
      <c r="S38" s="37">
        <f t="shared" si="3"/>
        <v>0</v>
      </c>
      <c r="T38" s="37">
        <f t="shared" si="8"/>
        <v>0</v>
      </c>
      <c r="U38" s="37">
        <f t="shared" si="4"/>
        <v>0</v>
      </c>
      <c r="V38" s="37"/>
      <c r="W38" s="37">
        <f t="shared" si="5"/>
        <v>0</v>
      </c>
      <c r="X38" s="35">
        <f t="shared" si="6"/>
        <v>0</v>
      </c>
      <c r="Y38" s="34">
        <f t="shared" si="0"/>
        <v>0</v>
      </c>
      <c r="Z38" s="19"/>
      <c r="AA38" s="24" t="s">
        <v>110</v>
      </c>
      <c r="AB38" s="25">
        <v>33810</v>
      </c>
      <c r="AC38" s="26">
        <f>Y49</f>
        <v>365381.26970994822</v>
      </c>
      <c r="AD38" s="24"/>
      <c r="AF38" s="24" t="s">
        <v>110</v>
      </c>
      <c r="AG38" s="29">
        <v>41000</v>
      </c>
      <c r="AH38" s="30">
        <f>Y49</f>
        <v>365381.26970994822</v>
      </c>
      <c r="AI38" s="24"/>
    </row>
    <row r="39" spans="1:50" x14ac:dyDescent="0.25">
      <c r="A39" s="21"/>
      <c r="B39" s="18"/>
      <c r="I39" s="22" t="s">
        <v>86</v>
      </c>
      <c r="J39" s="13">
        <f>F19/$B$8</f>
        <v>0</v>
      </c>
      <c r="K39" s="1" t="s">
        <v>44</v>
      </c>
      <c r="L39" s="9"/>
      <c r="N39" s="31">
        <f t="shared" si="9"/>
        <v>0</v>
      </c>
      <c r="O39" s="31"/>
      <c r="P39" s="35">
        <f t="shared" si="1"/>
        <v>0</v>
      </c>
      <c r="Q39" s="36">
        <f t="shared" si="7"/>
        <v>0</v>
      </c>
      <c r="R39" s="37">
        <f t="shared" si="2"/>
        <v>0</v>
      </c>
      <c r="S39" s="37">
        <f t="shared" si="3"/>
        <v>0</v>
      </c>
      <c r="T39" s="37">
        <f t="shared" si="8"/>
        <v>0</v>
      </c>
      <c r="U39" s="37">
        <f t="shared" si="4"/>
        <v>0</v>
      </c>
      <c r="V39" s="37"/>
      <c r="W39" s="37">
        <f t="shared" si="5"/>
        <v>0</v>
      </c>
      <c r="X39" s="35">
        <f t="shared" si="6"/>
        <v>0</v>
      </c>
      <c r="Y39" s="34">
        <f t="shared" si="0"/>
        <v>0</v>
      </c>
      <c r="Z39" s="19"/>
      <c r="AA39" s="24">
        <f t="shared" ref="AA39:AA42" si="25">AA40-10</f>
        <v>-50</v>
      </c>
      <c r="AB39" s="25">
        <f t="shared" ref="AB39:AB49" si="26">$AB$38*(1+(AA39/100))</f>
        <v>16905</v>
      </c>
      <c r="AC39" s="30">
        <f t="dataTable" ref="AC39:AC49" dt2D="0" dtr="0" r1="B46" ca="1"/>
        <v>348043.23289273283</v>
      </c>
      <c r="AD39" s="58">
        <f>100*((AC39-$AC$44)/$AC$44)</f>
        <v>-4.7451903681266669</v>
      </c>
      <c r="AF39" s="24">
        <f t="shared" ref="AF39:AF42" si="27">AF40-10</f>
        <v>-50</v>
      </c>
      <c r="AG39" s="29">
        <f t="shared" ref="AG39:AG49" si="28">$AG$38*(1+(AF39/100))</f>
        <v>20500</v>
      </c>
      <c r="AH39" s="30">
        <f t="dataTable" ref="AH39:AH49" dt2D="0" dtr="0" r1="F12" ca="1"/>
        <v>300159.33968043193</v>
      </c>
      <c r="AI39" s="58">
        <f>100*((AH39-$AH$44)/$AH$44)</f>
        <v>-17.850375877584423</v>
      </c>
    </row>
    <row r="40" spans="1:50" x14ac:dyDescent="0.25">
      <c r="B40" s="18"/>
      <c r="E40" s="22" t="s">
        <v>93</v>
      </c>
      <c r="F40" s="13">
        <f>F37*F12*J17</f>
        <v>0</v>
      </c>
      <c r="G40" s="1" t="s">
        <v>44</v>
      </c>
      <c r="I40" s="38" t="str">
        <f>E16</f>
        <v>Licensing Fee</v>
      </c>
      <c r="J40" s="49">
        <f>F16/$B$8</f>
        <v>4.9350407634367066</v>
      </c>
      <c r="K40" s="39" t="s">
        <v>44</v>
      </c>
      <c r="L40" s="9"/>
      <c r="N40" s="31">
        <f t="shared" si="9"/>
        <v>0</v>
      </c>
      <c r="O40" s="31"/>
      <c r="P40" s="35">
        <f t="shared" si="1"/>
        <v>0</v>
      </c>
      <c r="Q40" s="36">
        <f t="shared" si="7"/>
        <v>0</v>
      </c>
      <c r="R40" s="37">
        <f t="shared" si="2"/>
        <v>0</v>
      </c>
      <c r="S40" s="37">
        <f t="shared" si="3"/>
        <v>0</v>
      </c>
      <c r="T40" s="37">
        <f t="shared" si="8"/>
        <v>0</v>
      </c>
      <c r="U40" s="37">
        <f t="shared" si="4"/>
        <v>0</v>
      </c>
      <c r="V40" s="37"/>
      <c r="W40" s="37">
        <f t="shared" si="5"/>
        <v>0</v>
      </c>
      <c r="X40" s="35">
        <f t="shared" si="6"/>
        <v>0</v>
      </c>
      <c r="Y40" s="34">
        <f t="shared" si="0"/>
        <v>0</v>
      </c>
      <c r="Z40" s="19"/>
      <c r="AA40" s="24">
        <f t="shared" si="25"/>
        <v>-40</v>
      </c>
      <c r="AB40" s="25">
        <f t="shared" si="26"/>
        <v>20286</v>
      </c>
      <c r="AC40" s="30">
        <v>351510.84025617596</v>
      </c>
      <c r="AD40" s="58">
        <f t="shared" ref="AD40:AD49" si="29">100*((AC40-$AC$29)/$AC$29)</f>
        <v>-3.7961522945013213</v>
      </c>
      <c r="AF40" s="24">
        <f t="shared" si="27"/>
        <v>-40</v>
      </c>
      <c r="AG40" s="29">
        <f t="shared" si="28"/>
        <v>24600</v>
      </c>
      <c r="AH40" s="30">
        <v>313203.72568633512</v>
      </c>
      <c r="AI40" s="58">
        <f t="shared" ref="AI40:AI43" si="30">100*((AH40-$AH$44)/$AH$44)</f>
        <v>-14.280300702067558</v>
      </c>
    </row>
    <row r="41" spans="1:50" x14ac:dyDescent="0.25">
      <c r="E41" s="22" t="s">
        <v>94</v>
      </c>
      <c r="F41" s="46">
        <f>F38*F12</f>
        <v>1877.2218258522817</v>
      </c>
      <c r="G41" t="s">
        <v>44</v>
      </c>
      <c r="I41" s="22" t="s">
        <v>66</v>
      </c>
      <c r="J41" s="20">
        <f>F21*F12/B8</f>
        <v>14366.400000000001</v>
      </c>
      <c r="K41" s="1" t="s">
        <v>44</v>
      </c>
      <c r="L41" s="9"/>
      <c r="N41" s="31">
        <f t="shared" si="9"/>
        <v>0</v>
      </c>
      <c r="O41" s="31"/>
      <c r="P41" s="35">
        <f t="shared" si="1"/>
        <v>0</v>
      </c>
      <c r="Q41" s="36">
        <f t="shared" si="7"/>
        <v>0</v>
      </c>
      <c r="R41" s="37">
        <f t="shared" si="2"/>
        <v>0</v>
      </c>
      <c r="S41" s="37">
        <f t="shared" si="3"/>
        <v>0</v>
      </c>
      <c r="T41" s="37">
        <f t="shared" si="8"/>
        <v>0</v>
      </c>
      <c r="U41" s="37">
        <f t="shared" si="4"/>
        <v>0</v>
      </c>
      <c r="V41" s="37"/>
      <c r="W41" s="37">
        <f t="shared" si="5"/>
        <v>0</v>
      </c>
      <c r="X41" s="35">
        <f t="shared" si="6"/>
        <v>0</v>
      </c>
      <c r="Y41" s="34">
        <f t="shared" si="0"/>
        <v>0</v>
      </c>
      <c r="Z41" s="19"/>
      <c r="AA41" s="24">
        <f t="shared" si="25"/>
        <v>-30</v>
      </c>
      <c r="AB41" s="25">
        <f t="shared" si="26"/>
        <v>23667</v>
      </c>
      <c r="AC41" s="30">
        <v>354978.44761961914</v>
      </c>
      <c r="AD41" s="58">
        <f t="shared" si="29"/>
        <v>-2.8471142208759592</v>
      </c>
      <c r="AF41" s="24">
        <f t="shared" si="27"/>
        <v>-30</v>
      </c>
      <c r="AG41" s="29">
        <f t="shared" si="28"/>
        <v>28699.999999999996</v>
      </c>
      <c r="AH41" s="30">
        <v>326248.11169223837</v>
      </c>
      <c r="AI41" s="58">
        <f t="shared" si="30"/>
        <v>-10.710225526550678</v>
      </c>
    </row>
    <row r="42" spans="1:50" x14ac:dyDescent="0.25">
      <c r="A42" s="11" t="s">
        <v>12</v>
      </c>
      <c r="B42" s="19"/>
      <c r="C42" s="12"/>
      <c r="L42" s="9"/>
      <c r="N42" s="31">
        <f t="shared" si="9"/>
        <v>0</v>
      </c>
      <c r="O42" s="31"/>
      <c r="P42" s="35">
        <f t="shared" si="1"/>
        <v>0</v>
      </c>
      <c r="Q42" s="36">
        <f t="shared" si="7"/>
        <v>0</v>
      </c>
      <c r="R42" s="37">
        <f t="shared" si="2"/>
        <v>0</v>
      </c>
      <c r="S42" s="37">
        <f t="shared" si="3"/>
        <v>0</v>
      </c>
      <c r="T42" s="37">
        <f t="shared" si="8"/>
        <v>0</v>
      </c>
      <c r="U42" s="37">
        <f t="shared" si="4"/>
        <v>0</v>
      </c>
      <c r="V42" s="37"/>
      <c r="W42" s="37">
        <f t="shared" si="5"/>
        <v>0</v>
      </c>
      <c r="X42" s="35">
        <f t="shared" si="6"/>
        <v>0</v>
      </c>
      <c r="Y42" s="34">
        <f t="shared" si="0"/>
        <v>0</v>
      </c>
      <c r="Z42" s="19"/>
      <c r="AA42" s="24">
        <f t="shared" si="25"/>
        <v>-20</v>
      </c>
      <c r="AB42" s="25">
        <f t="shared" si="26"/>
        <v>27048</v>
      </c>
      <c r="AC42" s="30">
        <v>358446.05498306203</v>
      </c>
      <c r="AD42" s="58">
        <f t="shared" si="29"/>
        <v>-1.8980761472506764</v>
      </c>
      <c r="AF42" s="24">
        <f t="shared" si="27"/>
        <v>-20</v>
      </c>
      <c r="AG42" s="29">
        <f t="shared" si="28"/>
        <v>32800</v>
      </c>
      <c r="AH42" s="30">
        <v>339292.49769814167</v>
      </c>
      <c r="AI42" s="58">
        <f t="shared" si="30"/>
        <v>-7.1401503510337792</v>
      </c>
    </row>
    <row r="43" spans="1:50" x14ac:dyDescent="0.25">
      <c r="A43" s="22" t="s">
        <v>2</v>
      </c>
      <c r="B43" s="8">
        <f>J8/B8</f>
        <v>218709.67741935499</v>
      </c>
      <c r="C43" s="1" t="s">
        <v>3</v>
      </c>
      <c r="I43" s="12"/>
      <c r="L43" s="9"/>
      <c r="N43" s="31">
        <f t="shared" si="9"/>
        <v>0</v>
      </c>
      <c r="O43" s="31"/>
      <c r="P43" s="35">
        <f t="shared" si="1"/>
        <v>0</v>
      </c>
      <c r="Q43" s="36">
        <f t="shared" si="7"/>
        <v>0</v>
      </c>
      <c r="R43" s="37">
        <f t="shared" si="2"/>
        <v>0</v>
      </c>
      <c r="S43" s="37">
        <f t="shared" si="3"/>
        <v>0</v>
      </c>
      <c r="T43" s="37">
        <f t="shared" si="8"/>
        <v>0</v>
      </c>
      <c r="U43" s="37">
        <f t="shared" si="4"/>
        <v>0</v>
      </c>
      <c r="V43" s="37"/>
      <c r="W43" s="37">
        <f t="shared" si="5"/>
        <v>0</v>
      </c>
      <c r="X43" s="35">
        <f t="shared" si="6"/>
        <v>0</v>
      </c>
      <c r="Y43" s="34">
        <f t="shared" si="0"/>
        <v>0</v>
      </c>
      <c r="Z43" s="19"/>
      <c r="AA43" s="24">
        <f>AA44-10</f>
        <v>-10</v>
      </c>
      <c r="AB43" s="25">
        <f t="shared" si="26"/>
        <v>30429</v>
      </c>
      <c r="AC43" s="30">
        <v>361913.66234650509</v>
      </c>
      <c r="AD43" s="58">
        <f t="shared" si="29"/>
        <v>-0.9490380736253462</v>
      </c>
      <c r="AF43" s="24">
        <f>AF44-10</f>
        <v>-10</v>
      </c>
      <c r="AG43" s="29">
        <f t="shared" si="28"/>
        <v>36900</v>
      </c>
      <c r="AH43" s="30">
        <v>352336.88370404497</v>
      </c>
      <c r="AI43" s="58">
        <f t="shared" si="30"/>
        <v>-3.570075175516882</v>
      </c>
    </row>
    <row r="44" spans="1:50" x14ac:dyDescent="0.25">
      <c r="A44" s="38" t="s">
        <v>116</v>
      </c>
      <c r="B44" s="107">
        <f>IF(J24="No",J9*J10,0)</f>
        <v>33810</v>
      </c>
      <c r="C44" s="39" t="s">
        <v>3</v>
      </c>
      <c r="E44" s="108" t="s">
        <v>178</v>
      </c>
      <c r="F44" s="105"/>
      <c r="G44" s="105"/>
      <c r="I44" s="22"/>
      <c r="J44" s="20"/>
      <c r="L44" s="9"/>
      <c r="N44" s="31">
        <f t="shared" si="9"/>
        <v>0</v>
      </c>
      <c r="O44" s="31"/>
      <c r="P44" s="35">
        <f t="shared" si="1"/>
        <v>0</v>
      </c>
      <c r="Q44" s="36">
        <f t="shared" si="7"/>
        <v>0</v>
      </c>
      <c r="R44" s="37">
        <f t="shared" si="2"/>
        <v>0</v>
      </c>
      <c r="S44" s="37">
        <f t="shared" si="3"/>
        <v>0</v>
      </c>
      <c r="T44" s="37">
        <f t="shared" si="8"/>
        <v>0</v>
      </c>
      <c r="U44" s="37">
        <f t="shared" si="4"/>
        <v>0</v>
      </c>
      <c r="V44" s="37"/>
      <c r="W44" s="37">
        <f t="shared" si="5"/>
        <v>0</v>
      </c>
      <c r="X44" s="35">
        <f t="shared" si="6"/>
        <v>0</v>
      </c>
      <c r="Y44" s="34">
        <f t="shared" si="0"/>
        <v>0</v>
      </c>
      <c r="Z44" s="19"/>
      <c r="AA44" s="60">
        <v>0</v>
      </c>
      <c r="AB44" s="65">
        <f>$AB$38*(1+(AA44/100))</f>
        <v>33810</v>
      </c>
      <c r="AC44" s="62">
        <v>365381.26970994822</v>
      </c>
      <c r="AD44" s="63">
        <f t="shared" si="29"/>
        <v>0</v>
      </c>
      <c r="AF44" s="60">
        <v>0</v>
      </c>
      <c r="AG44" s="61">
        <f t="shared" si="28"/>
        <v>41000</v>
      </c>
      <c r="AH44" s="62">
        <v>365381.26970994822</v>
      </c>
      <c r="AI44" s="63">
        <f>100*((AH44-$AH$44)/$AH$44)</f>
        <v>0</v>
      </c>
    </row>
    <row r="45" spans="1:50" x14ac:dyDescent="0.25">
      <c r="A45" s="21" t="s">
        <v>118</v>
      </c>
      <c r="B45" s="10">
        <f>(1+(B13/100))*B43</f>
        <v>218709.67741935499</v>
      </c>
      <c r="C45" s="1" t="s">
        <v>3</v>
      </c>
      <c r="E45" s="113" t="s">
        <v>183</v>
      </c>
      <c r="F45" s="109">
        <f>((1+(B13/100))*J9*J10)*(1+(B14%+B15%))</f>
        <v>37191</v>
      </c>
      <c r="G45" s="105" t="s">
        <v>3</v>
      </c>
      <c r="L45" s="9"/>
      <c r="N45" s="31">
        <f t="shared" si="9"/>
        <v>0</v>
      </c>
      <c r="O45" s="31"/>
      <c r="P45" s="35">
        <f t="shared" si="1"/>
        <v>0</v>
      </c>
      <c r="Q45" s="36">
        <f t="shared" si="7"/>
        <v>0</v>
      </c>
      <c r="R45" s="37">
        <f t="shared" si="2"/>
        <v>0</v>
      </c>
      <c r="S45" s="37">
        <f t="shared" si="3"/>
        <v>0</v>
      </c>
      <c r="T45" s="37">
        <f t="shared" si="8"/>
        <v>0</v>
      </c>
      <c r="U45" s="37">
        <f t="shared" si="4"/>
        <v>0</v>
      </c>
      <c r="V45" s="37"/>
      <c r="W45" s="37">
        <f t="shared" si="5"/>
        <v>0</v>
      </c>
      <c r="X45" s="35">
        <f t="shared" si="6"/>
        <v>0</v>
      </c>
      <c r="Y45" s="34">
        <f t="shared" si="0"/>
        <v>0</v>
      </c>
      <c r="Z45" s="19"/>
      <c r="AA45" s="24">
        <f>AA44+10</f>
        <v>10</v>
      </c>
      <c r="AB45" s="25">
        <f t="shared" si="26"/>
        <v>37191</v>
      </c>
      <c r="AC45" s="30">
        <v>368848.87707339134</v>
      </c>
      <c r="AD45" s="58">
        <f t="shared" si="29"/>
        <v>0.9490380736253462</v>
      </c>
      <c r="AF45" s="24">
        <f>AF44+10</f>
        <v>10</v>
      </c>
      <c r="AG45" s="29">
        <f t="shared" si="28"/>
        <v>45100.000000000007</v>
      </c>
      <c r="AH45" s="30">
        <v>378425.65571585158</v>
      </c>
      <c r="AI45" s="58">
        <f t="shared" ref="AI45:AI49" si="31">100*((AH45-$AH$44)/$AH$44)</f>
        <v>3.570075175516914</v>
      </c>
    </row>
    <row r="46" spans="1:50" x14ac:dyDescent="0.25">
      <c r="A46" s="21" t="s">
        <v>119</v>
      </c>
      <c r="B46" s="59">
        <f>(1+(B13/100))*B44</f>
        <v>33810</v>
      </c>
      <c r="C46" s="1" t="s">
        <v>3</v>
      </c>
      <c r="E46" s="105" t="s">
        <v>184</v>
      </c>
      <c r="F46" s="109">
        <f>((J21%)*F45)+(((1-J21%)*F45)*(1+(F22%*J20)))</f>
        <v>46953.637499999997</v>
      </c>
      <c r="G46" s="105" t="s">
        <v>3</v>
      </c>
      <c r="L46" s="9"/>
      <c r="N46" s="31">
        <f t="shared" si="9"/>
        <v>0</v>
      </c>
      <c r="O46" s="31"/>
      <c r="P46" s="35">
        <f t="shared" si="1"/>
        <v>0</v>
      </c>
      <c r="Q46" s="36">
        <f t="shared" si="7"/>
        <v>0</v>
      </c>
      <c r="R46" s="37">
        <f t="shared" si="2"/>
        <v>0</v>
      </c>
      <c r="S46" s="37">
        <f t="shared" si="3"/>
        <v>0</v>
      </c>
      <c r="T46" s="37">
        <f t="shared" si="8"/>
        <v>0</v>
      </c>
      <c r="U46" s="37">
        <f t="shared" si="4"/>
        <v>0</v>
      </c>
      <c r="V46" s="37"/>
      <c r="W46" s="37">
        <f t="shared" si="5"/>
        <v>0</v>
      </c>
      <c r="X46" s="35">
        <f t="shared" si="6"/>
        <v>0</v>
      </c>
      <c r="Y46" s="34">
        <f t="shared" si="0"/>
        <v>0</v>
      </c>
      <c r="Z46" s="19"/>
      <c r="AA46" s="24">
        <f t="shared" ref="AA46:AA49" si="32">AA45+10</f>
        <v>20</v>
      </c>
      <c r="AB46" s="25">
        <f t="shared" si="26"/>
        <v>40572</v>
      </c>
      <c r="AC46" s="30">
        <v>372316.48443683429</v>
      </c>
      <c r="AD46" s="58">
        <f t="shared" si="29"/>
        <v>1.8980761472506447</v>
      </c>
      <c r="AF46" s="24">
        <f t="shared" ref="AF46:AF49" si="33">AF45+10</f>
        <v>20</v>
      </c>
      <c r="AG46" s="29">
        <f t="shared" si="28"/>
        <v>49200</v>
      </c>
      <c r="AH46" s="30">
        <v>391470.04172175482</v>
      </c>
      <c r="AI46" s="58">
        <f t="shared" si="31"/>
        <v>7.140150351033796</v>
      </c>
    </row>
    <row r="47" spans="1:50" x14ac:dyDescent="0.25">
      <c r="A47" s="1" t="s">
        <v>114</v>
      </c>
      <c r="B47" s="10">
        <f>B45+B46</f>
        <v>252519.67741935499</v>
      </c>
      <c r="C47" s="1" t="s">
        <v>3</v>
      </c>
      <c r="E47" s="105" t="s">
        <v>98</v>
      </c>
      <c r="F47" s="109">
        <f>J12*J11</f>
        <v>940000</v>
      </c>
      <c r="G47" s="105" t="s">
        <v>40</v>
      </c>
      <c r="L47" s="9"/>
      <c r="N47" s="31">
        <f t="shared" si="9"/>
        <v>0</v>
      </c>
      <c r="O47" s="31"/>
      <c r="P47" s="35">
        <f t="shared" si="1"/>
        <v>0</v>
      </c>
      <c r="Q47" s="36">
        <f t="shared" si="7"/>
        <v>0</v>
      </c>
      <c r="R47" s="37">
        <f t="shared" si="2"/>
        <v>0</v>
      </c>
      <c r="S47" s="37">
        <f t="shared" si="3"/>
        <v>0</v>
      </c>
      <c r="T47" s="37">
        <f t="shared" si="8"/>
        <v>0</v>
      </c>
      <c r="U47" s="37">
        <f t="shared" si="4"/>
        <v>0</v>
      </c>
      <c r="V47" s="37"/>
      <c r="W47" s="37">
        <f t="shared" si="5"/>
        <v>0</v>
      </c>
      <c r="X47" s="35">
        <f t="shared" si="6"/>
        <v>0</v>
      </c>
      <c r="Y47" s="34">
        <f t="shared" si="0"/>
        <v>0</v>
      </c>
      <c r="Z47" s="19"/>
      <c r="AA47" s="24">
        <f t="shared" si="32"/>
        <v>30</v>
      </c>
      <c r="AB47" s="25">
        <f t="shared" si="26"/>
        <v>43953</v>
      </c>
      <c r="AC47" s="30">
        <v>375784.09180027747</v>
      </c>
      <c r="AD47" s="58">
        <f t="shared" si="29"/>
        <v>2.8471142208760067</v>
      </c>
      <c r="AF47" s="24">
        <f t="shared" si="33"/>
        <v>30</v>
      </c>
      <c r="AG47" s="29">
        <f t="shared" si="28"/>
        <v>53300</v>
      </c>
      <c r="AH47" s="30">
        <v>404514.42772765813</v>
      </c>
      <c r="AI47" s="58">
        <f t="shared" si="31"/>
        <v>10.710225526550692</v>
      </c>
    </row>
    <row r="48" spans="1:50" x14ac:dyDescent="0.25">
      <c r="A48" s="1" t="s">
        <v>169</v>
      </c>
      <c r="B48" s="78">
        <f>(1+B15/100)*B47</f>
        <v>260095.26774193565</v>
      </c>
      <c r="C48" s="1" t="s">
        <v>3</v>
      </c>
      <c r="E48" s="105" t="s">
        <v>179</v>
      </c>
      <c r="F48" s="110">
        <f>(F46/F47)*J25</f>
        <v>6.493588164893617E-2</v>
      </c>
      <c r="G48" s="105" t="s">
        <v>57</v>
      </c>
      <c r="L48" s="9"/>
      <c r="N48" s="31">
        <f t="shared" si="9"/>
        <v>0</v>
      </c>
      <c r="O48" s="31"/>
      <c r="P48" s="35">
        <f t="shared" si="1"/>
        <v>0</v>
      </c>
      <c r="Q48" s="36">
        <f t="shared" si="7"/>
        <v>0</v>
      </c>
      <c r="R48" s="37">
        <f t="shared" si="2"/>
        <v>0</v>
      </c>
      <c r="S48" s="37">
        <f t="shared" si="3"/>
        <v>0</v>
      </c>
      <c r="T48" s="37">
        <f t="shared" si="8"/>
        <v>0</v>
      </c>
      <c r="U48" s="37">
        <f t="shared" si="4"/>
        <v>0</v>
      </c>
      <c r="V48" s="37"/>
      <c r="W48" s="37">
        <f t="shared" si="5"/>
        <v>0</v>
      </c>
      <c r="X48" s="35">
        <f t="shared" si="6"/>
        <v>0</v>
      </c>
      <c r="Y48" s="34">
        <f t="shared" si="0"/>
        <v>0</v>
      </c>
      <c r="Z48" s="19"/>
      <c r="AA48" s="24">
        <f t="shared" si="32"/>
        <v>40</v>
      </c>
      <c r="AB48" s="25">
        <f t="shared" si="26"/>
        <v>47334</v>
      </c>
      <c r="AC48" s="30">
        <v>379251.69916372036</v>
      </c>
      <c r="AD48" s="58">
        <f t="shared" si="29"/>
        <v>3.7961522945012893</v>
      </c>
      <c r="AF48" s="24">
        <f t="shared" si="33"/>
        <v>40</v>
      </c>
      <c r="AG48" s="29">
        <f t="shared" si="28"/>
        <v>57399.999999999993</v>
      </c>
      <c r="AH48" s="30">
        <v>417558.81373356131</v>
      </c>
      <c r="AI48" s="58">
        <f t="shared" si="31"/>
        <v>14.280300702067558</v>
      </c>
    </row>
    <row r="49" spans="1:35" x14ac:dyDescent="0.25">
      <c r="A49" s="21" t="s">
        <v>117</v>
      </c>
      <c r="B49" s="18">
        <f>SUM(B33:B35)+SUM(B47)</f>
        <v>270211.51796643529</v>
      </c>
      <c r="C49" s="1" t="s">
        <v>3</v>
      </c>
      <c r="E49" s="105" t="s">
        <v>180</v>
      </c>
      <c r="F49" s="107">
        <f>J26*365</f>
        <v>42887.5</v>
      </c>
      <c r="G49" s="105" t="s">
        <v>35</v>
      </c>
      <c r="L49" s="9"/>
      <c r="N49" s="32" t="s">
        <v>73</v>
      </c>
      <c r="O49" s="34">
        <f>SUM(O8:O48)</f>
        <v>81063.45538993059</v>
      </c>
      <c r="P49" s="34">
        <f t="shared" ref="P49" si="34">SUM(P8:P48)</f>
        <v>229626.0554842235</v>
      </c>
      <c r="Q49" s="34">
        <f t="shared" ref="Q49:W49" si="35">SUM(Q8:Q48)</f>
        <v>15640.414836184294</v>
      </c>
      <c r="R49" s="34">
        <f t="shared" si="35"/>
        <v>0</v>
      </c>
      <c r="S49" s="34">
        <f t="shared" si="35"/>
        <v>114842.88166356826</v>
      </c>
      <c r="T49" s="34">
        <f t="shared" si="35"/>
        <v>0</v>
      </c>
      <c r="U49" s="34">
        <f t="shared" si="35"/>
        <v>0</v>
      </c>
      <c r="V49" s="34">
        <f t="shared" si="35"/>
        <v>12.172557728672642</v>
      </c>
      <c r="W49" s="34">
        <f t="shared" si="35"/>
        <v>0</v>
      </c>
      <c r="X49" s="34">
        <f>SUM(X8:X48)</f>
        <v>-75803.710221687041</v>
      </c>
      <c r="Y49" s="34">
        <f>SUM(Y8:Y48)</f>
        <v>365381.26970994822</v>
      </c>
      <c r="Z49" s="19"/>
      <c r="AA49" s="24">
        <f t="shared" si="32"/>
        <v>50</v>
      </c>
      <c r="AB49" s="25">
        <f t="shared" si="26"/>
        <v>50715</v>
      </c>
      <c r="AC49" s="30">
        <v>382719.30652716348</v>
      </c>
      <c r="AD49" s="58">
        <f t="shared" si="29"/>
        <v>4.745190368126635</v>
      </c>
      <c r="AF49" s="24">
        <f t="shared" si="33"/>
        <v>50</v>
      </c>
      <c r="AG49" s="29">
        <f t="shared" si="28"/>
        <v>61500</v>
      </c>
      <c r="AH49" s="30">
        <v>430603.19973946468</v>
      </c>
      <c r="AI49" s="58">
        <f t="shared" si="31"/>
        <v>17.850375877584472</v>
      </c>
    </row>
    <row r="50" spans="1:35" x14ac:dyDescent="0.25">
      <c r="A50" s="21" t="s">
        <v>188</v>
      </c>
      <c r="B50" s="18">
        <f>SUM(B31:B32)</f>
        <v>0</v>
      </c>
      <c r="C50" s="1" t="s">
        <v>3</v>
      </c>
      <c r="E50" s="105" t="s">
        <v>181</v>
      </c>
      <c r="F50" s="111">
        <f>F48*F49</f>
        <v>2784.93762421875</v>
      </c>
      <c r="G50" s="112" t="s">
        <v>44</v>
      </c>
      <c r="L50" s="9"/>
      <c r="P50" s="18"/>
      <c r="S50" s="10">
        <f>SUM(S49)+V49</f>
        <v>114855.05422129693</v>
      </c>
      <c r="Y50" s="10"/>
      <c r="Z50" s="10"/>
    </row>
    <row r="51" spans="1:35" x14ac:dyDescent="0.25">
      <c r="A51" s="21" t="s">
        <v>189</v>
      </c>
      <c r="B51" s="18">
        <f>SUM(B49:B50)</f>
        <v>270211.51796643529</v>
      </c>
      <c r="C51" s="1" t="s">
        <v>3</v>
      </c>
      <c r="E51" s="105" t="s">
        <v>182</v>
      </c>
      <c r="F51" s="107">
        <f>IF(F12&gt;F49,(F12-F49)*F48,0)</f>
        <v>0</v>
      </c>
      <c r="G51" s="112" t="s">
        <v>44</v>
      </c>
      <c r="L51" s="9"/>
      <c r="AA51" s="27" t="s">
        <v>66</v>
      </c>
      <c r="AB51" s="24"/>
      <c r="AC51" s="24"/>
      <c r="AD51" s="24"/>
      <c r="AF51" s="114" t="s">
        <v>176</v>
      </c>
      <c r="AG51" s="115"/>
      <c r="AH51" s="115"/>
      <c r="AI51" s="115"/>
    </row>
    <row r="52" spans="1:35" x14ac:dyDescent="0.25">
      <c r="L52" s="9"/>
      <c r="AA52" s="24" t="s">
        <v>76</v>
      </c>
      <c r="AB52" s="24" t="s">
        <v>66</v>
      </c>
      <c r="AC52" s="24" t="s">
        <v>72</v>
      </c>
      <c r="AD52" s="24" t="s">
        <v>80</v>
      </c>
      <c r="AF52" s="115" t="s">
        <v>76</v>
      </c>
      <c r="AG52" s="115" t="s">
        <v>185</v>
      </c>
      <c r="AH52" s="115" t="s">
        <v>72</v>
      </c>
      <c r="AI52" s="115" t="s">
        <v>80</v>
      </c>
    </row>
    <row r="53" spans="1:35" ht="15.75" thickBot="1" x14ac:dyDescent="0.3">
      <c r="A53" s="14"/>
      <c r="B53" s="15"/>
      <c r="C53" s="15"/>
      <c r="D53" s="15"/>
      <c r="E53" s="15"/>
      <c r="F53" s="15"/>
      <c r="G53" s="15"/>
      <c r="H53" s="15"/>
      <c r="I53" s="15"/>
      <c r="J53" s="15"/>
      <c r="K53" s="15"/>
      <c r="L53" s="16"/>
      <c r="O53" s="12" t="s">
        <v>102</v>
      </c>
      <c r="P53" s="12"/>
      <c r="AA53" s="24" t="s">
        <v>110</v>
      </c>
      <c r="AB53" s="29">
        <v>14366.400000000001</v>
      </c>
      <c r="AC53" s="30">
        <f>Y49</f>
        <v>365381.26970994822</v>
      </c>
      <c r="AD53" s="24"/>
      <c r="AF53" s="115" t="s">
        <v>110</v>
      </c>
      <c r="AG53" s="116">
        <v>117.5</v>
      </c>
      <c r="AH53" s="117">
        <f>Y49</f>
        <v>365381.26970994822</v>
      </c>
      <c r="AI53" s="115"/>
    </row>
    <row r="54" spans="1:35" x14ac:dyDescent="0.25">
      <c r="N54" s="50"/>
      <c r="O54" s="53" t="s">
        <v>103</v>
      </c>
      <c r="P54" s="54" t="s">
        <v>51</v>
      </c>
      <c r="Q54" s="50"/>
      <c r="R54" s="50"/>
      <c r="S54" s="50"/>
      <c r="T54" s="50"/>
      <c r="U54" s="50"/>
      <c r="V54" s="50"/>
      <c r="W54" s="70"/>
      <c r="Y54" s="68"/>
      <c r="Z54" s="68"/>
      <c r="AA54" s="24">
        <f t="shared" ref="AA54:AA57" si="36">AA55-10</f>
        <v>-50</v>
      </c>
      <c r="AB54" s="29">
        <f>$AB$53*(1+(AA54/100))</f>
        <v>7183.2000000000007</v>
      </c>
      <c r="AC54" s="30">
        <f t="dataTable" ref="AC54:AC64" dt2D="0" dtr="0" r1="J41" ca="1"/>
        <v>307979.54709852405</v>
      </c>
      <c r="AD54" s="58">
        <f>100*((AC54-$AC$59)/$AC$59)</f>
        <v>-15.710088986496643</v>
      </c>
      <c r="AF54" s="115">
        <f t="shared" ref="AF54:AF56" si="37">AF55-20</f>
        <v>-100</v>
      </c>
      <c r="AG54" s="116">
        <f>$AG$53*(1+(AF54/100))</f>
        <v>0</v>
      </c>
      <c r="AH54" s="117">
        <f t="dataTable" ref="AH54:AH64" dt2D="0" dtr="0" r1="J26" ca="1"/>
        <v>365381.26970994822</v>
      </c>
      <c r="AI54" s="58">
        <f>100*((AH54-$AH$59)/$AH$59)</f>
        <v>0</v>
      </c>
    </row>
    <row r="55" spans="1:35" x14ac:dyDescent="0.25">
      <c r="O55" s="1" t="s">
        <v>104</v>
      </c>
      <c r="P55" s="10">
        <f>SUM(O49:P49)</f>
        <v>310689.5108741541</v>
      </c>
      <c r="Q55" s="1" t="s">
        <v>3</v>
      </c>
      <c r="R55" s="56">
        <f>P55/$J$34</f>
        <v>0.75777929481501005</v>
      </c>
      <c r="S55" s="1" t="s">
        <v>57</v>
      </c>
      <c r="W55" s="70"/>
      <c r="Y55" s="68"/>
      <c r="Z55" s="68"/>
      <c r="AA55" s="24">
        <f t="shared" si="36"/>
        <v>-40</v>
      </c>
      <c r="AB55" s="29">
        <f t="shared" ref="AB55:AB64" si="38">$AB$53*(1+(AA55/100))</f>
        <v>8619.84</v>
      </c>
      <c r="AC55" s="30">
        <v>319459.89162080898</v>
      </c>
      <c r="AD55" s="58">
        <f t="shared" ref="AD55:AD64" si="39">100*((AC55-$AC$59)/$AC$59)</f>
        <v>-12.568071189197289</v>
      </c>
      <c r="AF55" s="115">
        <f t="shared" si="37"/>
        <v>-80</v>
      </c>
      <c r="AG55" s="116">
        <f t="shared" ref="AG55:AG64" si="40">$AG$53*(1+(AF55/100))</f>
        <v>23.499999999999996</v>
      </c>
      <c r="AH55" s="117">
        <v>365381.26970994822</v>
      </c>
      <c r="AI55" s="58">
        <f t="shared" ref="AI55:AI64" si="41">100*((AH55-$AH$59)/$AH$59)</f>
        <v>0</v>
      </c>
    </row>
    <row r="56" spans="1:35" x14ac:dyDescent="0.25">
      <c r="O56" s="1" t="s">
        <v>97</v>
      </c>
      <c r="P56" s="52">
        <f>SUM(Q49:R49)</f>
        <v>15640.414836184294</v>
      </c>
      <c r="Q56" s="1" t="s">
        <v>3</v>
      </c>
      <c r="R56" s="56">
        <f>P56/$J$34</f>
        <v>3.8147353258986084E-2</v>
      </c>
      <c r="S56" s="1" t="s">
        <v>57</v>
      </c>
      <c r="U56" s="51"/>
      <c r="V56" s="51"/>
      <c r="W56" s="70"/>
      <c r="Y56" s="68"/>
      <c r="Z56" s="68"/>
      <c r="AA56" s="24">
        <f t="shared" si="36"/>
        <v>-30</v>
      </c>
      <c r="AB56" s="29">
        <f t="shared" si="38"/>
        <v>10056.48</v>
      </c>
      <c r="AC56" s="30">
        <v>330940.23614309373</v>
      </c>
      <c r="AD56" s="58">
        <f t="shared" si="39"/>
        <v>-9.4260533918979821</v>
      </c>
      <c r="AF56" s="115">
        <f t="shared" si="37"/>
        <v>-60</v>
      </c>
      <c r="AG56" s="116">
        <f t="shared" si="40"/>
        <v>47</v>
      </c>
      <c r="AH56" s="117">
        <v>365381.26970994822</v>
      </c>
      <c r="AI56" s="58">
        <f t="shared" si="41"/>
        <v>0</v>
      </c>
    </row>
    <row r="57" spans="1:35" x14ac:dyDescent="0.25">
      <c r="O57" s="1" t="s">
        <v>115</v>
      </c>
      <c r="P57" s="52">
        <f>SUM(S49:T49)</f>
        <v>114842.88166356826</v>
      </c>
      <c r="Q57" s="1" t="s">
        <v>3</v>
      </c>
      <c r="R57" s="56">
        <f>P57/$J$34</f>
        <v>0.28010458942333721</v>
      </c>
      <c r="S57" s="1" t="s">
        <v>57</v>
      </c>
      <c r="U57" s="51"/>
      <c r="V57" s="51"/>
      <c r="W57" s="70"/>
      <c r="Y57" s="68"/>
      <c r="Z57" s="68"/>
      <c r="AA57" s="24">
        <f t="shared" si="36"/>
        <v>-20</v>
      </c>
      <c r="AB57" s="29">
        <f t="shared" si="38"/>
        <v>11493.120000000003</v>
      </c>
      <c r="AC57" s="30">
        <v>342420.5806653786</v>
      </c>
      <c r="AD57" s="58">
        <f t="shared" si="39"/>
        <v>-6.2840355945986444</v>
      </c>
      <c r="AF57" s="115">
        <f>AF58-20</f>
        <v>-40</v>
      </c>
      <c r="AG57" s="116">
        <f t="shared" si="40"/>
        <v>70.5</v>
      </c>
      <c r="AH57" s="117">
        <v>365381.26970994822</v>
      </c>
      <c r="AI57" s="58">
        <f t="shared" si="41"/>
        <v>0</v>
      </c>
    </row>
    <row r="58" spans="1:35" x14ac:dyDescent="0.25">
      <c r="O58" s="1" t="s">
        <v>105</v>
      </c>
      <c r="P58" s="52">
        <f>SUM(U49:W49)</f>
        <v>12.172557728672642</v>
      </c>
      <c r="Q58" s="1" t="s">
        <v>3</v>
      </c>
      <c r="R58" s="56">
        <f>P58/$J$34</f>
        <v>2.968916519188449E-5</v>
      </c>
      <c r="S58" s="1" t="s">
        <v>57</v>
      </c>
      <c r="U58" s="51"/>
      <c r="V58" s="51"/>
      <c r="W58" s="70"/>
      <c r="Y58" s="68"/>
      <c r="Z58" s="68"/>
      <c r="AA58" s="24">
        <f>AA59-10</f>
        <v>-10</v>
      </c>
      <c r="AB58" s="29">
        <f t="shared" si="38"/>
        <v>12929.760000000002</v>
      </c>
      <c r="AC58" s="30">
        <v>353900.92518766347</v>
      </c>
      <c r="AD58" s="58">
        <f t="shared" si="39"/>
        <v>-3.1420177972993062</v>
      </c>
      <c r="AF58" s="115">
        <f>AF59-20</f>
        <v>-20</v>
      </c>
      <c r="AG58" s="116">
        <f t="shared" si="40"/>
        <v>94</v>
      </c>
      <c r="AH58" s="117">
        <v>365381.26970994822</v>
      </c>
      <c r="AI58" s="58">
        <f t="shared" si="41"/>
        <v>0</v>
      </c>
    </row>
    <row r="59" spans="1:35" x14ac:dyDescent="0.25">
      <c r="O59" s="1" t="s">
        <v>106</v>
      </c>
      <c r="P59" s="52">
        <f>X49</f>
        <v>-75803.710221687041</v>
      </c>
      <c r="Q59" s="1" t="s">
        <v>3</v>
      </c>
      <c r="R59" s="56">
        <f>P59/$J$34</f>
        <v>-0.1848870981016757</v>
      </c>
      <c r="S59" s="1" t="s">
        <v>57</v>
      </c>
      <c r="U59" s="51"/>
      <c r="V59" s="51"/>
      <c r="W59" s="70"/>
      <c r="Y59" s="68"/>
      <c r="Z59" s="68"/>
      <c r="AA59" s="60">
        <v>0</v>
      </c>
      <c r="AB59" s="61">
        <f t="shared" si="38"/>
        <v>14366.400000000001</v>
      </c>
      <c r="AC59" s="62">
        <v>365381.26970994822</v>
      </c>
      <c r="AD59" s="63">
        <f t="shared" si="39"/>
        <v>0</v>
      </c>
      <c r="AF59" s="118">
        <v>0</v>
      </c>
      <c r="AG59" s="119">
        <f t="shared" si="40"/>
        <v>117.5</v>
      </c>
      <c r="AH59" s="120">
        <v>365381.26970994822</v>
      </c>
      <c r="AI59" s="63">
        <f t="shared" si="41"/>
        <v>0</v>
      </c>
    </row>
    <row r="60" spans="1:35" x14ac:dyDescent="0.25">
      <c r="O60" s="12" t="s">
        <v>74</v>
      </c>
      <c r="P60" s="55">
        <f>SUM(P55:P59)</f>
        <v>365381.26970994828</v>
      </c>
      <c r="Q60" s="12" t="s">
        <v>3</v>
      </c>
      <c r="R60" s="57">
        <f>SUM(R55:R59)</f>
        <v>0.89117382856084948</v>
      </c>
      <c r="S60" s="12" t="s">
        <v>57</v>
      </c>
      <c r="T60" s="12"/>
      <c r="U60" s="51"/>
      <c r="V60" s="51"/>
      <c r="W60" s="70"/>
      <c r="Y60" s="68"/>
      <c r="Z60" s="68"/>
      <c r="AA60" s="24">
        <f>AA59+10</f>
        <v>10</v>
      </c>
      <c r="AB60" s="29">
        <f t="shared" si="38"/>
        <v>15803.040000000003</v>
      </c>
      <c r="AC60" s="30">
        <v>376861.61423223309</v>
      </c>
      <c r="AD60" s="58">
        <f t="shared" si="39"/>
        <v>3.1420177972993382</v>
      </c>
      <c r="AF60" s="115">
        <f>AF59+20</f>
        <v>20</v>
      </c>
      <c r="AG60" s="116">
        <f t="shared" si="40"/>
        <v>141</v>
      </c>
      <c r="AH60" s="117">
        <v>365381.26970994822</v>
      </c>
      <c r="AI60" s="58">
        <f t="shared" si="41"/>
        <v>0</v>
      </c>
    </row>
    <row r="61" spans="1:35" x14ac:dyDescent="0.25">
      <c r="T61" s="51"/>
      <c r="U61" s="51"/>
      <c r="V61" s="51"/>
      <c r="W61" s="70"/>
      <c r="Y61" s="68"/>
      <c r="Z61" s="68"/>
      <c r="AA61" s="24">
        <f t="shared" ref="AA61:AA64" si="42">AA60+10</f>
        <v>20</v>
      </c>
      <c r="AB61" s="29">
        <f t="shared" si="38"/>
        <v>17239.68</v>
      </c>
      <c r="AC61" s="30">
        <v>388341.95875451795</v>
      </c>
      <c r="AD61" s="58">
        <f t="shared" si="39"/>
        <v>6.2840355945986763</v>
      </c>
      <c r="AF61" s="115">
        <f t="shared" ref="AF61:AF64" si="43">AF60+20</f>
        <v>40</v>
      </c>
      <c r="AG61" s="116">
        <f t="shared" si="40"/>
        <v>164.5</v>
      </c>
      <c r="AH61" s="117">
        <v>365381.26970994822</v>
      </c>
      <c r="AI61" s="58">
        <f t="shared" si="41"/>
        <v>0</v>
      </c>
    </row>
    <row r="62" spans="1:35" x14ac:dyDescent="0.25">
      <c r="P62" s="51"/>
      <c r="Q62" s="51"/>
      <c r="R62" s="51"/>
      <c r="S62" s="51"/>
      <c r="T62" s="51"/>
      <c r="U62" s="51"/>
      <c r="V62" s="51"/>
      <c r="W62" s="70"/>
      <c r="Y62" s="68"/>
      <c r="Z62" s="68"/>
      <c r="AA62" s="24">
        <f t="shared" si="42"/>
        <v>30</v>
      </c>
      <c r="AB62" s="29">
        <f t="shared" si="38"/>
        <v>18676.320000000003</v>
      </c>
      <c r="AC62" s="30">
        <v>399822.30327680282</v>
      </c>
      <c r="AD62" s="58">
        <f t="shared" si="39"/>
        <v>9.4260533918980141</v>
      </c>
      <c r="AF62" s="115">
        <f t="shared" si="43"/>
        <v>60</v>
      </c>
      <c r="AG62" s="116">
        <f t="shared" si="40"/>
        <v>188</v>
      </c>
      <c r="AH62" s="117">
        <v>365381.26970994822</v>
      </c>
      <c r="AI62" s="58">
        <f t="shared" si="41"/>
        <v>0</v>
      </c>
    </row>
    <row r="63" spans="1:35" x14ac:dyDescent="0.25">
      <c r="P63" s="51"/>
      <c r="Q63" s="51"/>
      <c r="R63" s="51"/>
      <c r="S63" s="51"/>
      <c r="T63" s="51"/>
      <c r="U63" s="51"/>
      <c r="V63" s="51"/>
      <c r="W63" s="70"/>
      <c r="Y63" s="68"/>
      <c r="Z63" s="68"/>
      <c r="AA63" s="24">
        <f t="shared" si="42"/>
        <v>40</v>
      </c>
      <c r="AB63" s="29">
        <f t="shared" si="38"/>
        <v>20112.96</v>
      </c>
      <c r="AC63" s="30">
        <v>411302.64779908757</v>
      </c>
      <c r="AD63" s="58">
        <f t="shared" si="39"/>
        <v>12.568071189197319</v>
      </c>
      <c r="AF63" s="115">
        <f t="shared" si="43"/>
        <v>80</v>
      </c>
      <c r="AG63" s="116">
        <f t="shared" si="40"/>
        <v>211.5</v>
      </c>
      <c r="AH63" s="117">
        <v>365381.26970994822</v>
      </c>
      <c r="AI63" s="58">
        <f t="shared" si="41"/>
        <v>0</v>
      </c>
    </row>
    <row r="64" spans="1:35" x14ac:dyDescent="0.25">
      <c r="P64" s="51"/>
      <c r="Q64" s="51"/>
      <c r="R64" s="51"/>
      <c r="S64" s="51"/>
      <c r="T64" s="51"/>
      <c r="U64" s="51"/>
      <c r="V64" s="51"/>
      <c r="W64" s="70"/>
      <c r="Y64" s="68"/>
      <c r="Z64" s="68"/>
      <c r="AA64" s="24">
        <f t="shared" si="42"/>
        <v>50</v>
      </c>
      <c r="AB64" s="29">
        <f t="shared" si="38"/>
        <v>21549.600000000002</v>
      </c>
      <c r="AC64" s="30">
        <v>422782.99232137244</v>
      </c>
      <c r="AD64" s="58">
        <f t="shared" si="39"/>
        <v>15.710088986496656</v>
      </c>
      <c r="AF64" s="115">
        <f t="shared" si="43"/>
        <v>100</v>
      </c>
      <c r="AG64" s="116">
        <f t="shared" si="40"/>
        <v>235</v>
      </c>
      <c r="AH64" s="117">
        <v>365381.26970994822</v>
      </c>
      <c r="AI64" s="58">
        <f t="shared" si="41"/>
        <v>0</v>
      </c>
    </row>
    <row r="65" spans="16:35" x14ac:dyDescent="0.25">
      <c r="P65" s="51"/>
      <c r="Q65" s="51"/>
      <c r="R65" s="51"/>
      <c r="S65" s="51"/>
      <c r="T65" s="51"/>
      <c r="U65" s="51"/>
      <c r="V65" s="51"/>
      <c r="W65" s="70"/>
      <c r="Y65" s="68"/>
      <c r="Z65" s="68"/>
      <c r="AG65" s="20"/>
      <c r="AH65" s="43"/>
      <c r="AI65" s="71"/>
    </row>
    <row r="66" spans="16:35" x14ac:dyDescent="0.25">
      <c r="P66" s="51"/>
      <c r="Q66" s="51"/>
      <c r="R66" s="51"/>
      <c r="S66" s="51"/>
      <c r="T66" s="51"/>
      <c r="U66" s="51"/>
      <c r="V66" s="51"/>
      <c r="W66" s="70"/>
      <c r="Y66" s="68"/>
      <c r="Z66" s="68"/>
      <c r="AA66" s="114" t="s">
        <v>213</v>
      </c>
      <c r="AB66" s="115"/>
      <c r="AC66" s="115"/>
      <c r="AD66" s="115"/>
      <c r="AG66" s="20"/>
      <c r="AH66" s="43"/>
      <c r="AI66" s="71"/>
    </row>
    <row r="67" spans="16:35" x14ac:dyDescent="0.25">
      <c r="P67" s="51"/>
      <c r="Q67" s="51"/>
      <c r="R67" s="51"/>
      <c r="S67" s="51"/>
      <c r="T67" s="51"/>
      <c r="U67" s="51"/>
      <c r="V67" s="51"/>
      <c r="W67" s="70"/>
      <c r="Y67" s="68"/>
      <c r="Z67" s="68"/>
      <c r="AA67" s="115" t="s">
        <v>76</v>
      </c>
      <c r="AB67" s="115" t="s">
        <v>213</v>
      </c>
      <c r="AC67" s="115" t="s">
        <v>72</v>
      </c>
      <c r="AD67" s="115" t="s">
        <v>80</v>
      </c>
    </row>
    <row r="68" spans="16:35" x14ac:dyDescent="0.25">
      <c r="P68" s="51"/>
      <c r="Q68" s="51"/>
      <c r="R68" s="51"/>
      <c r="S68" s="51"/>
      <c r="T68" s="51"/>
      <c r="U68" s="51"/>
      <c r="V68" s="51"/>
      <c r="W68" s="70"/>
      <c r="Y68" s="68"/>
      <c r="Z68" s="68"/>
      <c r="AA68" s="115" t="s">
        <v>110</v>
      </c>
      <c r="AB68" s="137">
        <v>0.99</v>
      </c>
      <c r="AC68" s="117">
        <f>Y49</f>
        <v>365381.26970994822</v>
      </c>
      <c r="AD68" s="115"/>
    </row>
    <row r="69" spans="16:35" x14ac:dyDescent="0.25">
      <c r="P69" s="51"/>
      <c r="Q69" s="51"/>
      <c r="R69" s="51"/>
      <c r="S69" s="51"/>
      <c r="T69" s="51"/>
      <c r="U69" s="51"/>
      <c r="V69" s="51"/>
      <c r="W69" s="51"/>
      <c r="Y69" s="69"/>
      <c r="Z69" s="69"/>
      <c r="AA69" s="115">
        <f t="shared" ref="AA69:AA73" si="44">AA70-10</f>
        <v>-50</v>
      </c>
      <c r="AB69" s="137">
        <f>$AB$68*(1-(AA69/100))</f>
        <v>1.4849999999999999</v>
      </c>
      <c r="AC69" s="117">
        <f t="dataTable" ref="AC69:AC79" dt2D="0" dtr="0" r1="J17"/>
        <v>373201.47712804034</v>
      </c>
      <c r="AD69" s="138">
        <f>100*((AC69-$AC$74)/$AC$74)</f>
        <v>2.1402868910877832</v>
      </c>
    </row>
    <row r="70" spans="16:35" x14ac:dyDescent="0.25">
      <c r="P70" s="51"/>
      <c r="Q70" s="51"/>
      <c r="R70" s="51"/>
      <c r="S70" s="51"/>
      <c r="T70" s="51"/>
      <c r="U70" s="51"/>
      <c r="V70" s="51"/>
      <c r="W70" s="51"/>
      <c r="AA70" s="115">
        <f t="shared" si="44"/>
        <v>-40</v>
      </c>
      <c r="AB70" s="137">
        <f t="shared" ref="AB70:AB73" si="45">$AB$68*(1-(AA70/100))</f>
        <v>1.3859999999999999</v>
      </c>
      <c r="AC70" s="117">
        <v>371637.43564442202</v>
      </c>
      <c r="AD70" s="138">
        <f t="shared" ref="AD70:AD79" si="46">100*((AC70-$AC$74)/$AC$74)</f>
        <v>1.7122295128702552</v>
      </c>
    </row>
    <row r="71" spans="16:35" x14ac:dyDescent="0.25">
      <c r="P71" s="51"/>
      <c r="Q71" s="51"/>
      <c r="R71" s="51"/>
      <c r="S71" s="51"/>
      <c r="T71" s="51"/>
      <c r="U71" s="51"/>
      <c r="V71" s="51"/>
      <c r="W71" s="51"/>
      <c r="AA71" s="115">
        <f t="shared" si="44"/>
        <v>-30</v>
      </c>
      <c r="AB71" s="137">
        <f t="shared" si="45"/>
        <v>1.2869999999999999</v>
      </c>
      <c r="AC71" s="117">
        <v>370073.39416080352</v>
      </c>
      <c r="AD71" s="138">
        <f t="shared" si="46"/>
        <v>1.2841721346526795</v>
      </c>
    </row>
    <row r="72" spans="16:35" x14ac:dyDescent="0.25">
      <c r="P72" s="51"/>
      <c r="Q72" s="51"/>
      <c r="R72" s="51"/>
      <c r="S72" s="51"/>
      <c r="T72" s="51"/>
      <c r="U72" s="51"/>
      <c r="V72" s="51"/>
      <c r="W72" s="51"/>
      <c r="AA72" s="115">
        <f t="shared" si="44"/>
        <v>-20</v>
      </c>
      <c r="AB72" s="137">
        <f t="shared" si="45"/>
        <v>1.1879999999999999</v>
      </c>
      <c r="AC72" s="117">
        <v>368509.35267718503</v>
      </c>
      <c r="AD72" s="138">
        <f t="shared" si="46"/>
        <v>0.85611475643510382</v>
      </c>
    </row>
    <row r="73" spans="16:35" x14ac:dyDescent="0.25">
      <c r="P73" s="51"/>
      <c r="Q73" s="51"/>
      <c r="R73" s="51"/>
      <c r="S73" s="51"/>
      <c r="T73" s="51"/>
      <c r="U73" s="51"/>
      <c r="V73" s="51"/>
      <c r="W73" s="51"/>
      <c r="AA73" s="115">
        <f t="shared" si="44"/>
        <v>-10</v>
      </c>
      <c r="AB73" s="137">
        <f t="shared" si="45"/>
        <v>1.089</v>
      </c>
      <c r="AC73" s="117">
        <v>366945.31119356671</v>
      </c>
      <c r="AD73" s="138">
        <f t="shared" si="46"/>
        <v>0.42805737821757572</v>
      </c>
    </row>
    <row r="74" spans="16:35" x14ac:dyDescent="0.25">
      <c r="P74" s="51"/>
      <c r="Q74" s="51"/>
      <c r="R74" s="51"/>
      <c r="S74" s="51"/>
      <c r="T74" s="51"/>
      <c r="U74" s="51"/>
      <c r="V74" s="51"/>
      <c r="W74" s="51"/>
      <c r="AA74" s="118">
        <v>0</v>
      </c>
      <c r="AB74" s="139">
        <f t="shared" ref="AB74" si="47">$AB$68*(1+(AA74/100))</f>
        <v>0.99</v>
      </c>
      <c r="AC74" s="120">
        <v>365381.26970994822</v>
      </c>
      <c r="AD74" s="140">
        <f t="shared" si="46"/>
        <v>0</v>
      </c>
    </row>
    <row r="75" spans="16:35" x14ac:dyDescent="0.25">
      <c r="P75" s="51"/>
      <c r="Q75" s="51"/>
      <c r="R75" s="51"/>
      <c r="S75" s="51"/>
      <c r="T75" s="51"/>
      <c r="U75" s="51"/>
      <c r="V75" s="51"/>
      <c r="W75" s="51"/>
      <c r="AA75" s="115">
        <f t="shared" ref="AA75:AA79" si="48">AA74+10</f>
        <v>10</v>
      </c>
      <c r="AB75" s="137">
        <f t="shared" ref="AB75:AB79" si="49">$AB$68*(1-(AA75/100))</f>
        <v>0.89100000000000001</v>
      </c>
      <c r="AC75" s="117">
        <v>363817.22822632984</v>
      </c>
      <c r="AD75" s="138">
        <f t="shared" si="46"/>
        <v>-0.42805737821754392</v>
      </c>
    </row>
    <row r="76" spans="16:35" x14ac:dyDescent="0.25">
      <c r="P76" s="51"/>
      <c r="Q76" s="51"/>
      <c r="R76" s="51"/>
      <c r="S76" s="51"/>
      <c r="T76" s="51"/>
      <c r="U76" s="51"/>
      <c r="V76" s="51"/>
      <c r="W76" s="51"/>
      <c r="AA76" s="115">
        <f t="shared" si="48"/>
        <v>20</v>
      </c>
      <c r="AB76" s="137">
        <f t="shared" si="49"/>
        <v>0.79200000000000004</v>
      </c>
      <c r="AC76" s="117">
        <v>362253.18674271146</v>
      </c>
      <c r="AD76" s="138">
        <f t="shared" si="46"/>
        <v>-0.85611475643508783</v>
      </c>
    </row>
    <row r="77" spans="16:35" x14ac:dyDescent="0.25">
      <c r="P77" s="51"/>
      <c r="Q77" s="51"/>
      <c r="R77" s="51"/>
      <c r="S77" s="51"/>
      <c r="T77" s="51"/>
      <c r="U77" s="51"/>
      <c r="V77" s="51"/>
      <c r="W77" s="51"/>
      <c r="AA77" s="115">
        <f t="shared" si="48"/>
        <v>30</v>
      </c>
      <c r="AB77" s="137">
        <f t="shared" si="49"/>
        <v>0.69299999999999995</v>
      </c>
      <c r="AC77" s="117">
        <v>360689.14525909297</v>
      </c>
      <c r="AD77" s="138">
        <f t="shared" si="46"/>
        <v>-1.2841721346526636</v>
      </c>
    </row>
    <row r="78" spans="16:35" x14ac:dyDescent="0.25">
      <c r="P78" s="51"/>
      <c r="Q78" s="51"/>
      <c r="R78" s="51"/>
      <c r="S78" s="51"/>
      <c r="T78" s="51"/>
      <c r="U78" s="51"/>
      <c r="V78" s="51"/>
      <c r="W78" s="51"/>
      <c r="AA78" s="115">
        <f t="shared" si="48"/>
        <v>40</v>
      </c>
      <c r="AB78" s="137">
        <f t="shared" si="49"/>
        <v>0.59399999999999997</v>
      </c>
      <c r="AC78" s="117">
        <v>359125.10377547453</v>
      </c>
      <c r="AD78" s="138">
        <f t="shared" si="46"/>
        <v>-1.7122295128702236</v>
      </c>
    </row>
    <row r="79" spans="16:35" x14ac:dyDescent="0.25">
      <c r="P79" s="51"/>
      <c r="Q79" s="51"/>
      <c r="R79" s="51"/>
      <c r="S79" s="51"/>
      <c r="T79" s="51"/>
      <c r="U79" s="51"/>
      <c r="V79" s="51"/>
      <c r="W79" s="51"/>
      <c r="AA79" s="115">
        <f t="shared" si="48"/>
        <v>50</v>
      </c>
      <c r="AB79" s="137">
        <f t="shared" si="49"/>
        <v>0.495</v>
      </c>
      <c r="AC79" s="117">
        <v>357561.06229185616</v>
      </c>
      <c r="AD79" s="138">
        <f t="shared" si="46"/>
        <v>-2.1402868910877673</v>
      </c>
    </row>
    <row r="80" spans="16:35" x14ac:dyDescent="0.25">
      <c r="P80" s="51"/>
      <c r="Q80" s="51"/>
      <c r="R80" s="51"/>
      <c r="S80" s="51"/>
      <c r="T80" s="51"/>
      <c r="U80" s="51"/>
      <c r="V80" s="51"/>
      <c r="W80" s="51"/>
    </row>
    <row r="81" spans="16:23" x14ac:dyDescent="0.25">
      <c r="P81" s="51"/>
      <c r="Q81" s="51"/>
      <c r="R81" s="51"/>
      <c r="S81" s="51"/>
      <c r="T81" s="51"/>
      <c r="U81" s="51"/>
      <c r="V81" s="51"/>
      <c r="W81" s="51"/>
    </row>
    <row r="82" spans="16:23" x14ac:dyDescent="0.25">
      <c r="P82" s="51"/>
      <c r="Q82" s="51"/>
      <c r="R82" s="51"/>
      <c r="S82" s="51"/>
      <c r="T82" s="51"/>
      <c r="U82" s="51"/>
      <c r="V82" s="51"/>
      <c r="W82" s="51"/>
    </row>
    <row r="83" spans="16:23" x14ac:dyDescent="0.25">
      <c r="P83" s="51"/>
      <c r="Q83" s="51"/>
      <c r="R83" s="51"/>
      <c r="S83" s="51"/>
      <c r="T83" s="51"/>
      <c r="U83" s="51"/>
      <c r="V83" s="51"/>
      <c r="W83" s="51"/>
    </row>
    <row r="84" spans="16:23" x14ac:dyDescent="0.25">
      <c r="P84" s="51"/>
      <c r="Q84" s="51"/>
      <c r="R84" s="51"/>
      <c r="S84" s="51"/>
      <c r="T84" s="51"/>
      <c r="U84" s="51"/>
      <c r="V84" s="51"/>
      <c r="W84" s="51"/>
    </row>
    <row r="85" spans="16:23" x14ac:dyDescent="0.25">
      <c r="P85" s="51"/>
      <c r="Q85" s="51"/>
      <c r="R85" s="51"/>
      <c r="S85" s="51"/>
      <c r="T85" s="51"/>
      <c r="U85" s="51"/>
      <c r="V85" s="51"/>
      <c r="W85" s="51"/>
    </row>
    <row r="86" spans="16:23" x14ac:dyDescent="0.25">
      <c r="P86" s="51"/>
      <c r="Q86" s="51"/>
      <c r="R86" s="51"/>
      <c r="S86" s="51"/>
      <c r="T86" s="51"/>
      <c r="U86" s="51"/>
      <c r="V86" s="51"/>
      <c r="W86" s="51"/>
    </row>
    <row r="87" spans="16:23" x14ac:dyDescent="0.25">
      <c r="P87" s="51"/>
      <c r="Q87" s="51"/>
      <c r="R87" s="51"/>
      <c r="S87" s="51"/>
      <c r="T87" s="51"/>
      <c r="U87" s="51"/>
      <c r="V87" s="51"/>
      <c r="W87" s="51"/>
    </row>
    <row r="88" spans="16:23" x14ac:dyDescent="0.25">
      <c r="P88" s="51"/>
      <c r="Q88" s="51"/>
      <c r="R88" s="51"/>
      <c r="S88" s="51"/>
      <c r="T88" s="51"/>
      <c r="U88" s="51"/>
      <c r="V88" s="51"/>
      <c r="W88" s="51"/>
    </row>
    <row r="89" spans="16:23" x14ac:dyDescent="0.25">
      <c r="P89" s="51"/>
      <c r="Q89" s="51"/>
      <c r="R89" s="51"/>
      <c r="S89" s="51"/>
      <c r="T89" s="51"/>
      <c r="U89" s="51"/>
      <c r="V89" s="51"/>
      <c r="W89" s="51"/>
    </row>
    <row r="90" spans="16:23" x14ac:dyDescent="0.25">
      <c r="P90" s="51"/>
      <c r="Q90" s="51"/>
      <c r="R90" s="51"/>
      <c r="S90" s="51"/>
      <c r="T90" s="51"/>
      <c r="U90" s="51"/>
      <c r="V90" s="51"/>
      <c r="W90" s="51"/>
    </row>
    <row r="91" spans="16:23" x14ac:dyDescent="0.25">
      <c r="P91" s="51"/>
      <c r="Q91" s="51"/>
      <c r="R91" s="51"/>
      <c r="S91" s="51"/>
      <c r="T91" s="51"/>
      <c r="U91" s="51"/>
      <c r="V91" s="51"/>
      <c r="W91" s="51"/>
    </row>
    <row r="92" spans="16:23" x14ac:dyDescent="0.25">
      <c r="P92" s="51"/>
      <c r="Q92" s="51"/>
      <c r="R92" s="51"/>
      <c r="S92" s="51"/>
      <c r="T92" s="51"/>
      <c r="U92" s="51"/>
      <c r="V92" s="51"/>
      <c r="W92" s="51"/>
    </row>
    <row r="93" spans="16:23" x14ac:dyDescent="0.25">
      <c r="P93" s="51"/>
      <c r="Q93" s="51"/>
      <c r="R93" s="51"/>
      <c r="S93" s="51"/>
      <c r="T93" s="51"/>
      <c r="U93" s="51"/>
      <c r="V93" s="51"/>
      <c r="W93" s="51"/>
    </row>
    <row r="94" spans="16:23" x14ac:dyDescent="0.25">
      <c r="P94" s="51"/>
      <c r="Q94" s="51"/>
      <c r="R94" s="51"/>
      <c r="S94" s="51"/>
      <c r="T94" s="51"/>
      <c r="U94" s="51"/>
      <c r="V94" s="51"/>
      <c r="W94" s="51"/>
    </row>
    <row r="95" spans="16:23" x14ac:dyDescent="0.25">
      <c r="P95" s="51"/>
      <c r="Q95" s="51"/>
      <c r="R95" s="51"/>
      <c r="S95" s="51"/>
      <c r="T95" s="51"/>
      <c r="U95" s="51"/>
      <c r="V95" s="51"/>
      <c r="W95" s="51"/>
    </row>
  </sheetData>
  <scenarios current="0" show="0">
    <scenario name="Vehicle Price" locked="1" count="1" user="Muhammad Indra al Irsyad" comment="Created by Muhammad Indra al Irsyad on 31/12/2023">
      <inputCells r="B45" val="10*(J9)"/>
    </scenario>
  </scenario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0AD7DC6-FD00-4828-AB2A-CC4AB06AA5FC}">
          <x14:formula1>
            <xm:f>Description!$A$18:$A$19</xm:f>
          </x14:formula1>
          <xm:sqref>J24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3EFC-B773-48A3-BA55-EBBBD3DAD7DE}">
  <sheetPr>
    <tabColor theme="4"/>
  </sheetPr>
  <dimension ref="A1:AP95"/>
  <sheetViews>
    <sheetView topLeftCell="T49" zoomScale="89" zoomScaleNormal="156" workbookViewId="0">
      <selection activeCell="AB60" sqref="AB60:AB64"/>
    </sheetView>
  </sheetViews>
  <sheetFormatPr defaultColWidth="8.85546875" defaultRowHeight="15" x14ac:dyDescent="0.25"/>
  <cols>
    <col min="1" max="1" width="52.7109375" style="1" bestFit="1" customWidth="1"/>
    <col min="2" max="2" width="17.5703125" style="1" bestFit="1" customWidth="1"/>
    <col min="3" max="3" width="16.28515625" style="1" customWidth="1"/>
    <col min="4" max="4" width="8.85546875" style="1" customWidth="1"/>
    <col min="5" max="5" width="48" style="1" customWidth="1"/>
    <col min="6" max="6" width="14.28515625" style="1" customWidth="1"/>
    <col min="7" max="7" width="8.85546875" style="1" customWidth="1"/>
    <col min="8" max="8" width="19.28515625" style="1" customWidth="1"/>
    <col min="9" max="9" width="37.85546875" style="1" customWidth="1"/>
    <col min="10" max="10" width="17.42578125" style="1" customWidth="1"/>
    <col min="11" max="14" width="8.85546875" style="1" customWidth="1"/>
    <col min="15" max="15" width="20" style="1" customWidth="1"/>
    <col min="16" max="16" width="16.28515625" style="1" customWidth="1"/>
    <col min="17" max="17" width="25.28515625" style="1" customWidth="1"/>
    <col min="18" max="18" width="16.42578125" style="1" bestFit="1" customWidth="1"/>
    <col min="19" max="20" width="16" style="1" customWidth="1"/>
    <col min="21" max="21" width="22" style="1" customWidth="1"/>
    <col min="22" max="22" width="23.85546875" style="1" customWidth="1"/>
    <col min="23" max="23" width="12.85546875" style="1" customWidth="1"/>
    <col min="24" max="24" width="19.42578125" style="1" customWidth="1"/>
    <col min="25" max="25" width="13.42578125" style="1" bestFit="1" customWidth="1"/>
    <col min="26" max="26" width="8.85546875" style="1"/>
    <col min="27" max="27" width="20.140625" style="1" bestFit="1" customWidth="1"/>
    <col min="28" max="28" width="25" style="1" bestFit="1" customWidth="1"/>
    <col min="29" max="29" width="12.85546875" style="1" customWidth="1"/>
    <col min="30" max="30" width="19" style="1" customWidth="1"/>
    <col min="31" max="31" width="4.7109375" style="1" customWidth="1"/>
    <col min="32" max="32" width="20.140625" style="1" bestFit="1" customWidth="1"/>
    <col min="33" max="33" width="19.28515625" style="1" bestFit="1" customWidth="1"/>
    <col min="34" max="34" width="11.28515625" style="1" bestFit="1" customWidth="1"/>
    <col min="35" max="35" width="17.85546875" style="1" bestFit="1" customWidth="1"/>
    <col min="36" max="16384" width="8.85546875" style="1"/>
  </cols>
  <sheetData>
    <row r="1" spans="1:31" x14ac:dyDescent="0.25">
      <c r="A1" s="12" t="s">
        <v>1</v>
      </c>
      <c r="B1" s="12" t="s">
        <v>149</v>
      </c>
      <c r="C1" s="12"/>
    </row>
    <row r="2" spans="1:31" x14ac:dyDescent="0.25">
      <c r="A2" s="12" t="s">
        <v>74</v>
      </c>
      <c r="B2" s="19">
        <f>V49</f>
        <v>331328.47273689584</v>
      </c>
      <c r="C2" s="12" t="s">
        <v>3</v>
      </c>
    </row>
    <row r="3" spans="1:31" x14ac:dyDescent="0.25">
      <c r="B3" s="44">
        <f>B2/F41</f>
        <v>0.8081182261875508</v>
      </c>
      <c r="C3" s="12" t="s">
        <v>57</v>
      </c>
      <c r="F3" s="77"/>
      <c r="H3" s="46"/>
    </row>
    <row r="4" spans="1:31" x14ac:dyDescent="0.25">
      <c r="A4" s="12" t="s">
        <v>59</v>
      </c>
      <c r="F4" s="93"/>
      <c r="J4" s="77"/>
      <c r="N4" s="12" t="s">
        <v>79</v>
      </c>
      <c r="AA4" s="12" t="s">
        <v>75</v>
      </c>
    </row>
    <row r="5" spans="1:31" x14ac:dyDescent="0.25">
      <c r="A5" s="1" t="s">
        <v>36</v>
      </c>
      <c r="B5" s="2">
        <v>10</v>
      </c>
      <c r="C5" s="1" t="s">
        <v>37</v>
      </c>
      <c r="E5" s="22"/>
      <c r="F5" s="77"/>
      <c r="H5" s="77"/>
      <c r="J5" s="77"/>
    </row>
    <row r="6" spans="1:31" ht="15.75" thickBot="1" x14ac:dyDescent="0.3">
      <c r="B6" s="2"/>
      <c r="E6" s="22"/>
      <c r="F6" s="77"/>
      <c r="H6" s="77"/>
      <c r="N6" s="1" t="s">
        <v>100</v>
      </c>
      <c r="AA6" s="39"/>
      <c r="AB6" s="39"/>
      <c r="AC6" s="39"/>
    </row>
    <row r="7" spans="1:31" x14ac:dyDescent="0.25">
      <c r="A7" s="3" t="s">
        <v>24</v>
      </c>
      <c r="B7" s="4"/>
      <c r="C7" s="4"/>
      <c r="D7" s="4"/>
      <c r="E7" s="4"/>
      <c r="F7" s="4"/>
      <c r="G7" s="4"/>
      <c r="H7" s="6"/>
      <c r="I7" s="5" t="s">
        <v>43</v>
      </c>
      <c r="J7" s="4"/>
      <c r="K7" s="4"/>
      <c r="L7" s="6"/>
      <c r="N7" s="31" t="s">
        <v>61</v>
      </c>
      <c r="O7" s="31" t="s">
        <v>65</v>
      </c>
      <c r="P7" s="31" t="s">
        <v>67</v>
      </c>
      <c r="Q7" s="31" t="s">
        <v>127</v>
      </c>
      <c r="R7" s="31" t="s">
        <v>122</v>
      </c>
      <c r="S7" s="31" t="s">
        <v>163</v>
      </c>
      <c r="T7" s="31" t="s">
        <v>165</v>
      </c>
      <c r="U7" s="31" t="s">
        <v>101</v>
      </c>
      <c r="V7" s="32" t="s">
        <v>72</v>
      </c>
      <c r="W7" s="12"/>
      <c r="X7" s="1" t="s">
        <v>124</v>
      </c>
      <c r="AA7" s="39" t="s">
        <v>113</v>
      </c>
      <c r="AB7" s="39"/>
      <c r="AC7" s="39"/>
    </row>
    <row r="8" spans="1:31" x14ac:dyDescent="0.25">
      <c r="A8" s="7" t="s">
        <v>0</v>
      </c>
      <c r="B8" s="81">
        <v>21276.42</v>
      </c>
      <c r="C8" s="1" t="s">
        <v>151</v>
      </c>
      <c r="H8" s="9"/>
      <c r="I8" s="22" t="s">
        <v>190</v>
      </c>
      <c r="J8" s="8">
        <v>2168822167.7419353</v>
      </c>
      <c r="K8" s="1" t="s">
        <v>150</v>
      </c>
      <c r="L8" s="9"/>
      <c r="N8" s="31">
        <v>0</v>
      </c>
      <c r="O8" s="33">
        <f>F31</f>
        <v>32725.929260898276</v>
      </c>
      <c r="P8" s="31"/>
      <c r="Q8" s="31"/>
      <c r="R8" s="31"/>
      <c r="S8" s="31">
        <v>0</v>
      </c>
      <c r="T8" s="96">
        <f>F16/B8</f>
        <v>4.9350407634367066</v>
      </c>
      <c r="U8" s="31"/>
      <c r="V8" s="34">
        <f>SUM(O8:U8)</f>
        <v>32730.864301661713</v>
      </c>
      <c r="W8" s="19"/>
      <c r="X8" s="2"/>
      <c r="AA8" s="39" t="s">
        <v>196</v>
      </c>
      <c r="AB8" s="72">
        <f>F36</f>
        <v>0.99264819927412606</v>
      </c>
      <c r="AC8" s="39" t="s">
        <v>108</v>
      </c>
    </row>
    <row r="9" spans="1:31" x14ac:dyDescent="0.25">
      <c r="A9" s="7"/>
      <c r="F9" s="20"/>
      <c r="H9" s="9"/>
      <c r="I9" s="22" t="s">
        <v>55</v>
      </c>
      <c r="J9" s="13">
        <v>0.49</v>
      </c>
      <c r="K9" s="1" t="s">
        <v>56</v>
      </c>
      <c r="L9" s="9"/>
      <c r="N9" s="31">
        <v>1</v>
      </c>
      <c r="O9" s="31"/>
      <c r="P9" s="35">
        <f t="shared" ref="P9:P48" si="0">IF(N9&gt;0,IF(N9&lt;=$J$15,(($F$32+$F$33)/$J$15)/((1+($F$11/100))^N9),0),0)</f>
        <v>20133.401670575</v>
      </c>
      <c r="Q9" s="36">
        <f t="shared" ref="Q9:Q48" si="1">IF(N9&gt;0,($F$38*((1+($F$14/100))^(N9-1)))/((1+($F$11/100))^N9),0)</f>
        <v>19120.136455817061</v>
      </c>
      <c r="R9" s="37">
        <f t="shared" ref="R9:R48" si="2">IF(N9&gt;0,$J$30/((1+($F$11/100))^N9),0)</f>
        <v>8194.4392668161854</v>
      </c>
      <c r="S9" s="31">
        <v>0</v>
      </c>
      <c r="T9" s="37"/>
      <c r="U9" s="35">
        <f t="shared" ref="U9:U18" si="3">IF(N9=$B$5,((((1-$J$11/100)^N9)*$B$44)/((1+($F$11/100))^N9))*-1,0)</f>
        <v>0</v>
      </c>
      <c r="V9" s="34">
        <f t="shared" ref="V9:V48" si="4">SUM(O9:U9)</f>
        <v>47447.977393208246</v>
      </c>
      <c r="W9" s="19"/>
      <c r="X9" s="2">
        <f t="shared" ref="X9:X48" si="5">IF(N9&gt;0,((((1-$J$11/100)^N9)*$B$47/((1+($F$11/100))^N9))),0)</f>
        <v>0</v>
      </c>
      <c r="AA9" s="39" t="s">
        <v>189</v>
      </c>
      <c r="AB9" s="73">
        <f>B48</f>
        <v>109086.43086966092</v>
      </c>
      <c r="AC9" s="39" t="s">
        <v>3</v>
      </c>
      <c r="AE9" s="2"/>
    </row>
    <row r="10" spans="1:31" x14ac:dyDescent="0.25">
      <c r="A10" s="11" t="s">
        <v>42</v>
      </c>
      <c r="E10" s="12" t="s">
        <v>45</v>
      </c>
      <c r="H10" s="9"/>
      <c r="I10" s="38" t="s">
        <v>71</v>
      </c>
      <c r="J10" s="39">
        <v>30</v>
      </c>
      <c r="K10" s="39" t="s">
        <v>22</v>
      </c>
      <c r="L10" s="9"/>
      <c r="N10" s="31">
        <f>IF((N9+1)&gt;$B$5,,IF(N9=0,,N9+1))</f>
        <v>2</v>
      </c>
      <c r="O10" s="31"/>
      <c r="P10" s="35">
        <f t="shared" si="0"/>
        <v>19303.357306399812</v>
      </c>
      <c r="Q10" s="36">
        <f t="shared" si="1"/>
        <v>18606.844201969619</v>
      </c>
      <c r="R10" s="37">
        <f t="shared" si="2"/>
        <v>7856.6052414345022</v>
      </c>
      <c r="S10" s="31">
        <v>0</v>
      </c>
      <c r="T10" s="37"/>
      <c r="U10" s="35">
        <f t="shared" si="3"/>
        <v>0</v>
      </c>
      <c r="V10" s="34">
        <f t="shared" si="4"/>
        <v>45766.806749803931</v>
      </c>
      <c r="W10" s="19"/>
      <c r="X10" s="2">
        <f t="shared" si="5"/>
        <v>0</v>
      </c>
      <c r="AA10" s="39" t="s">
        <v>111</v>
      </c>
      <c r="AB10" s="74">
        <f>F12</f>
        <v>41000</v>
      </c>
      <c r="AC10" s="39" t="s">
        <v>35</v>
      </c>
      <c r="AE10" s="2"/>
    </row>
    <row r="11" spans="1:31" x14ac:dyDescent="0.25">
      <c r="A11" s="21" t="s">
        <v>187</v>
      </c>
      <c r="B11" s="1">
        <v>0</v>
      </c>
      <c r="C11" s="1" t="s">
        <v>4</v>
      </c>
      <c r="E11" s="22" t="s">
        <v>46</v>
      </c>
      <c r="F11" s="1">
        <v>4.3</v>
      </c>
      <c r="G11" s="1" t="s">
        <v>4</v>
      </c>
      <c r="H11" s="9"/>
      <c r="I11" s="38" t="s">
        <v>91</v>
      </c>
      <c r="J11" s="39">
        <v>7.08</v>
      </c>
      <c r="K11" s="39" t="s">
        <v>23</v>
      </c>
      <c r="L11" s="9"/>
      <c r="N11" s="31">
        <f t="shared" ref="N11:N48" si="6">IF((N10+1)&gt;$B$5,,IF(N10=0,,N10+1))</f>
        <v>3</v>
      </c>
      <c r="O11" s="31"/>
      <c r="P11" s="35">
        <f t="shared" si="0"/>
        <v>18507.533371428392</v>
      </c>
      <c r="Q11" s="36">
        <f t="shared" si="1"/>
        <v>18107.331605943593</v>
      </c>
      <c r="R11" s="37">
        <f t="shared" si="2"/>
        <v>7532.6991768307798</v>
      </c>
      <c r="S11" s="31">
        <v>0</v>
      </c>
      <c r="T11" s="37"/>
      <c r="U11" s="35">
        <f t="shared" si="3"/>
        <v>0</v>
      </c>
      <c r="V11" s="34">
        <f t="shared" si="4"/>
        <v>44147.564154202759</v>
      </c>
      <c r="W11" s="19"/>
      <c r="X11" s="2">
        <f t="shared" si="5"/>
        <v>0</v>
      </c>
      <c r="AA11" s="79" t="s">
        <v>66</v>
      </c>
      <c r="AB11" s="43">
        <f>J35</f>
        <v>8527.9999999999982</v>
      </c>
      <c r="AC11" s="1" t="s">
        <v>44</v>
      </c>
      <c r="AE11" s="2"/>
    </row>
    <row r="12" spans="1:31" x14ac:dyDescent="0.25">
      <c r="A12" s="21" t="s">
        <v>5</v>
      </c>
      <c r="B12" s="1">
        <v>0</v>
      </c>
      <c r="C12" s="1" t="s">
        <v>4</v>
      </c>
      <c r="E12" s="22" t="s">
        <v>89</v>
      </c>
      <c r="F12" s="8">
        <v>41000</v>
      </c>
      <c r="G12" s="1" t="s">
        <v>35</v>
      </c>
      <c r="H12" s="9"/>
      <c r="L12" s="9"/>
      <c r="N12" s="31">
        <f t="shared" si="6"/>
        <v>4</v>
      </c>
      <c r="O12" s="31"/>
      <c r="P12" s="35">
        <f t="shared" si="0"/>
        <v>17744.51905218446</v>
      </c>
      <c r="Q12" s="36">
        <f t="shared" si="1"/>
        <v>17621.228744039065</v>
      </c>
      <c r="R12" s="37">
        <f t="shared" si="2"/>
        <v>7222.1468617744767</v>
      </c>
      <c r="S12" s="31">
        <v>0</v>
      </c>
      <c r="T12" s="37"/>
      <c r="U12" s="35">
        <f t="shared" si="3"/>
        <v>0</v>
      </c>
      <c r="V12" s="34">
        <f t="shared" si="4"/>
        <v>42587.894657998004</v>
      </c>
      <c r="W12" s="19"/>
      <c r="X12" s="2">
        <f t="shared" si="5"/>
        <v>0</v>
      </c>
      <c r="AA12" s="105" t="s">
        <v>213</v>
      </c>
      <c r="AB12" s="100">
        <f>J9</f>
        <v>0.49</v>
      </c>
      <c r="AC12" s="105" t="str">
        <f>K9</f>
        <v>L/km</v>
      </c>
      <c r="AE12" s="2"/>
    </row>
    <row r="13" spans="1:31" x14ac:dyDescent="0.25">
      <c r="A13" s="1" t="s">
        <v>167</v>
      </c>
      <c r="B13" s="1">
        <v>0</v>
      </c>
      <c r="C13" s="1" t="s">
        <v>4</v>
      </c>
      <c r="E13" s="22" t="s">
        <v>54</v>
      </c>
      <c r="F13" s="8">
        <v>21120</v>
      </c>
      <c r="G13" s="1" t="s">
        <v>154</v>
      </c>
      <c r="H13" s="9"/>
      <c r="I13" s="22"/>
      <c r="J13" s="8"/>
      <c r="L13" s="9"/>
      <c r="N13" s="31">
        <f t="shared" si="6"/>
        <v>5</v>
      </c>
      <c r="O13" s="31"/>
      <c r="P13" s="35">
        <f t="shared" si="0"/>
        <v>17012.961699122206</v>
      </c>
      <c r="Q13" s="36">
        <f t="shared" si="1"/>
        <v>17148.175623393719</v>
      </c>
      <c r="R13" s="37">
        <f t="shared" si="2"/>
        <v>6924.3977581730369</v>
      </c>
      <c r="S13" s="37">
        <f>IF(N13&gt;0,($F$15/$B$8)/((1+($F$11/100))^N13),0)</f>
        <v>7.615701243339057</v>
      </c>
      <c r="T13" s="37">
        <f>IF(N13&gt;0,($F$16/$B$8)/((1+($F$11/100))^N13),0)</f>
        <v>3.9982431527530049</v>
      </c>
      <c r="U13" s="35">
        <f t="shared" si="3"/>
        <v>0</v>
      </c>
      <c r="V13" s="34">
        <f t="shared" si="4"/>
        <v>41097.149025085055</v>
      </c>
      <c r="W13" s="19"/>
      <c r="X13" s="2">
        <f t="shared" si="5"/>
        <v>0</v>
      </c>
      <c r="AE13" s="2"/>
    </row>
    <row r="14" spans="1:31" x14ac:dyDescent="0.25">
      <c r="A14" s="21" t="s">
        <v>6</v>
      </c>
      <c r="B14" s="1">
        <v>7</v>
      </c>
      <c r="C14" s="1" t="s">
        <v>4</v>
      </c>
      <c r="E14" s="22" t="s">
        <v>107</v>
      </c>
      <c r="F14" s="1">
        <v>1.5</v>
      </c>
      <c r="G14" s="1" t="s">
        <v>69</v>
      </c>
      <c r="H14" s="9"/>
      <c r="I14" s="12" t="s">
        <v>18</v>
      </c>
      <c r="L14" s="9"/>
      <c r="N14" s="31">
        <f t="shared" si="6"/>
        <v>6</v>
      </c>
      <c r="O14" s="31"/>
      <c r="P14" s="35">
        <f t="shared" si="0"/>
        <v>0</v>
      </c>
      <c r="Q14" s="36">
        <f t="shared" si="1"/>
        <v>16687.821915383145</v>
      </c>
      <c r="R14" s="37">
        <f t="shared" si="2"/>
        <v>6638.9240250939956</v>
      </c>
      <c r="S14" s="37">
        <v>0</v>
      </c>
      <c r="T14" s="37"/>
      <c r="U14" s="35">
        <f t="shared" si="3"/>
        <v>0</v>
      </c>
      <c r="V14" s="34">
        <f t="shared" si="4"/>
        <v>23326.74594047714</v>
      </c>
      <c r="W14" s="19"/>
      <c r="X14" s="2">
        <f t="shared" si="5"/>
        <v>0</v>
      </c>
      <c r="AE14" s="2"/>
    </row>
    <row r="15" spans="1:31" x14ac:dyDescent="0.25">
      <c r="A15" s="21" t="s">
        <v>157</v>
      </c>
      <c r="B15" s="1">
        <v>8</v>
      </c>
      <c r="C15" s="1" t="s">
        <v>4</v>
      </c>
      <c r="E15" s="22" t="s">
        <v>163</v>
      </c>
      <c r="F15" s="77">
        <v>200000</v>
      </c>
      <c r="G15" s="1" t="s">
        <v>164</v>
      </c>
      <c r="H15" s="9"/>
      <c r="I15" s="22" t="s">
        <v>19</v>
      </c>
      <c r="J15" s="1">
        <v>5</v>
      </c>
      <c r="K15" s="1" t="s">
        <v>22</v>
      </c>
      <c r="L15" s="9"/>
      <c r="N15" s="31">
        <f t="shared" si="6"/>
        <v>7</v>
      </c>
      <c r="O15" s="31"/>
      <c r="P15" s="35">
        <f t="shared" si="0"/>
        <v>0</v>
      </c>
      <c r="Q15" s="36">
        <f t="shared" si="1"/>
        <v>16239.82669617823</v>
      </c>
      <c r="R15" s="37">
        <f t="shared" si="2"/>
        <v>6365.2195830239662</v>
      </c>
      <c r="S15" s="37">
        <v>0</v>
      </c>
      <c r="T15" s="37"/>
      <c r="U15" s="35">
        <f t="shared" si="3"/>
        <v>0</v>
      </c>
      <c r="V15" s="34">
        <f t="shared" si="4"/>
        <v>22605.046279202197</v>
      </c>
      <c r="W15" s="19"/>
      <c r="X15" s="2">
        <f t="shared" si="5"/>
        <v>0</v>
      </c>
      <c r="AE15" s="2"/>
    </row>
    <row r="16" spans="1:31" x14ac:dyDescent="0.25">
      <c r="A16" s="21" t="s">
        <v>197</v>
      </c>
      <c r="B16" s="77">
        <v>329000</v>
      </c>
      <c r="C16" s="1" t="s">
        <v>150</v>
      </c>
      <c r="E16" s="22" t="s">
        <v>165</v>
      </c>
      <c r="F16" s="2">
        <v>105000</v>
      </c>
      <c r="G16" s="1" t="s">
        <v>164</v>
      </c>
      <c r="H16" s="9"/>
      <c r="I16" s="22" t="s">
        <v>20</v>
      </c>
      <c r="J16" s="1">
        <v>30</v>
      </c>
      <c r="K16" s="1" t="s">
        <v>21</v>
      </c>
      <c r="L16" s="9"/>
      <c r="N16" s="31">
        <f t="shared" si="6"/>
        <v>8</v>
      </c>
      <c r="O16" s="31"/>
      <c r="P16" s="35">
        <f t="shared" si="0"/>
        <v>0</v>
      </c>
      <c r="Q16" s="36">
        <f t="shared" si="1"/>
        <v>15803.858194267403</v>
      </c>
      <c r="R16" s="37">
        <f t="shared" si="2"/>
        <v>6102.7992167056245</v>
      </c>
      <c r="S16" s="37">
        <v>0</v>
      </c>
      <c r="T16" s="37"/>
      <c r="U16" s="35">
        <f t="shared" si="3"/>
        <v>0</v>
      </c>
      <c r="V16" s="34">
        <f t="shared" si="4"/>
        <v>21906.657410973028</v>
      </c>
      <c r="W16" s="19"/>
      <c r="X16" s="2">
        <f t="shared" si="5"/>
        <v>0</v>
      </c>
      <c r="AE16" s="2"/>
    </row>
    <row r="17" spans="1:42" x14ac:dyDescent="0.25">
      <c r="A17" s="21" t="s">
        <v>162</v>
      </c>
      <c r="B17" s="1">
        <v>0</v>
      </c>
      <c r="C17" s="1" t="s">
        <v>4</v>
      </c>
      <c r="E17" s="22" t="s">
        <v>166</v>
      </c>
      <c r="F17" s="77">
        <v>400000</v>
      </c>
      <c r="G17" s="1" t="s">
        <v>155</v>
      </c>
      <c r="H17" s="9"/>
      <c r="I17" s="22"/>
      <c r="J17" s="13"/>
      <c r="L17" s="9"/>
      <c r="N17" s="31">
        <f t="shared" si="6"/>
        <v>9</v>
      </c>
      <c r="O17" s="31"/>
      <c r="P17" s="35">
        <f t="shared" si="0"/>
        <v>0</v>
      </c>
      <c r="Q17" s="36">
        <f t="shared" si="1"/>
        <v>15379.59354475687</v>
      </c>
      <c r="R17" s="37">
        <f t="shared" si="2"/>
        <v>5851.197714962248</v>
      </c>
      <c r="S17" s="37">
        <v>0</v>
      </c>
      <c r="T17" s="37"/>
      <c r="U17" s="35">
        <f t="shared" si="3"/>
        <v>0</v>
      </c>
      <c r="V17" s="34">
        <f t="shared" si="4"/>
        <v>21230.791259719117</v>
      </c>
      <c r="W17" s="19"/>
      <c r="X17" s="2">
        <f t="shared" si="5"/>
        <v>0</v>
      </c>
      <c r="AE17" s="2"/>
    </row>
    <row r="18" spans="1:42" x14ac:dyDescent="0.25">
      <c r="E18" s="22" t="s">
        <v>66</v>
      </c>
      <c r="F18" s="77">
        <v>4425.495359999999</v>
      </c>
      <c r="G18" s="1" t="s">
        <v>168</v>
      </c>
      <c r="H18" s="9"/>
      <c r="J18" s="77"/>
      <c r="L18" s="9"/>
      <c r="N18" s="31">
        <f t="shared" si="6"/>
        <v>10</v>
      </c>
      <c r="O18" s="31"/>
      <c r="P18" s="35">
        <f t="shared" si="0"/>
        <v>0</v>
      </c>
      <c r="Q18" s="36">
        <f t="shared" si="1"/>
        <v>14966.718550266749</v>
      </c>
      <c r="R18" s="37">
        <f t="shared" si="2"/>
        <v>5609.969045984898</v>
      </c>
      <c r="S18" s="37">
        <f>IF(N18&gt;0,($F$15/$B$8)/((1+($F$11/100))^N18),0)</f>
        <v>6.1700453571103422</v>
      </c>
      <c r="T18" s="37">
        <f>IF(N18&gt;0,($F$16/$B$8)/((1+($F$11/100))^N18),0)</f>
        <v>3.2392738124829297</v>
      </c>
      <c r="U18" s="35">
        <f t="shared" si="3"/>
        <v>-32105.121350856578</v>
      </c>
      <c r="V18" s="34">
        <f t="shared" si="4"/>
        <v>-11519.024435435338</v>
      </c>
      <c r="W18" s="19"/>
      <c r="X18" s="2">
        <f t="shared" si="5"/>
        <v>0</v>
      </c>
      <c r="AE18" s="2"/>
    </row>
    <row r="19" spans="1:42" x14ac:dyDescent="0.25">
      <c r="E19" s="22" t="s">
        <v>39</v>
      </c>
      <c r="F19" s="1">
        <v>7.5</v>
      </c>
      <c r="G19" s="1" t="s">
        <v>23</v>
      </c>
      <c r="H19" s="9"/>
      <c r="L19" s="9"/>
      <c r="N19" s="31">
        <f t="shared" si="6"/>
        <v>0</v>
      </c>
      <c r="O19" s="31"/>
      <c r="P19" s="35">
        <f t="shared" si="0"/>
        <v>0</v>
      </c>
      <c r="Q19" s="36">
        <f t="shared" si="1"/>
        <v>0</v>
      </c>
      <c r="R19" s="37">
        <f t="shared" si="2"/>
        <v>0</v>
      </c>
      <c r="S19" s="37"/>
      <c r="T19" s="37"/>
      <c r="U19" s="35">
        <f t="shared" ref="U19:U48" si="7">IF(N19=$B$5,((((1-$J$11/100)^N19)*$B$47)/((1+($F$11/100))^N19))*-1,0)</f>
        <v>0</v>
      </c>
      <c r="V19" s="34">
        <f t="shared" si="4"/>
        <v>0</v>
      </c>
      <c r="W19" s="19"/>
      <c r="X19" s="2">
        <f t="shared" si="5"/>
        <v>0</v>
      </c>
      <c r="AE19" s="2"/>
    </row>
    <row r="20" spans="1:42" x14ac:dyDescent="0.25">
      <c r="A20" s="21"/>
      <c r="H20" s="9"/>
      <c r="L20" s="9"/>
      <c r="N20" s="31">
        <f>IF((N19+1)&gt;$B$5,,IF(N19=0,,N19+1))</f>
        <v>0</v>
      </c>
      <c r="O20" s="31"/>
      <c r="P20" s="35">
        <f t="shared" si="0"/>
        <v>0</v>
      </c>
      <c r="Q20" s="36">
        <f t="shared" si="1"/>
        <v>0</v>
      </c>
      <c r="R20" s="37">
        <f t="shared" si="2"/>
        <v>0</v>
      </c>
      <c r="S20" s="37"/>
      <c r="T20" s="37"/>
      <c r="U20" s="35">
        <f t="shared" si="7"/>
        <v>0</v>
      </c>
      <c r="V20" s="34">
        <f t="shared" si="4"/>
        <v>0</v>
      </c>
      <c r="W20" s="19"/>
      <c r="X20" s="2">
        <f t="shared" si="5"/>
        <v>0</v>
      </c>
    </row>
    <row r="21" spans="1:42" x14ac:dyDescent="0.25">
      <c r="A21" s="21"/>
      <c r="H21" s="9"/>
      <c r="L21" s="9"/>
      <c r="N21" s="31">
        <f t="shared" si="6"/>
        <v>0</v>
      </c>
      <c r="O21" s="31"/>
      <c r="P21" s="35">
        <f t="shared" si="0"/>
        <v>0</v>
      </c>
      <c r="Q21" s="36">
        <f t="shared" si="1"/>
        <v>0</v>
      </c>
      <c r="R21" s="37">
        <f t="shared" si="2"/>
        <v>0</v>
      </c>
      <c r="S21" s="37">
        <f>IF(N21&gt;0,((#REF!/100)*($F$17/100)*#REF!*X21)/((1+($F$11/100))^N21),0)</f>
        <v>0</v>
      </c>
      <c r="T21" s="37"/>
      <c r="U21" s="35">
        <f t="shared" si="7"/>
        <v>0</v>
      </c>
      <c r="V21" s="34">
        <f t="shared" si="4"/>
        <v>0</v>
      </c>
      <c r="W21" s="19"/>
      <c r="X21" s="2">
        <f t="shared" si="5"/>
        <v>0</v>
      </c>
      <c r="AA21" s="27" t="s">
        <v>54</v>
      </c>
      <c r="AB21" s="24"/>
      <c r="AC21" s="24"/>
      <c r="AD21" s="24"/>
      <c r="AF21" s="27" t="s">
        <v>2</v>
      </c>
      <c r="AG21" s="24"/>
      <c r="AH21" s="24"/>
      <c r="AI21" s="24"/>
      <c r="AK21" s="133" t="s">
        <v>201</v>
      </c>
      <c r="AL21" s="133" t="s">
        <v>203</v>
      </c>
      <c r="AM21" s="133" t="s">
        <v>211</v>
      </c>
      <c r="AN21" s="133" t="s">
        <v>206</v>
      </c>
      <c r="AO21" s="133" t="s">
        <v>205</v>
      </c>
      <c r="AP21" s="27" t="s">
        <v>213</v>
      </c>
    </row>
    <row r="22" spans="1:42" x14ac:dyDescent="0.25">
      <c r="F22" s="77"/>
      <c r="H22" s="9"/>
      <c r="I22" s="12"/>
      <c r="L22" s="9"/>
      <c r="N22" s="31">
        <f t="shared" si="6"/>
        <v>0</v>
      </c>
      <c r="O22" s="31"/>
      <c r="P22" s="35">
        <f t="shared" si="0"/>
        <v>0</v>
      </c>
      <c r="Q22" s="36">
        <f t="shared" si="1"/>
        <v>0</v>
      </c>
      <c r="R22" s="37">
        <f t="shared" si="2"/>
        <v>0</v>
      </c>
      <c r="S22" s="37">
        <f>IF(N22&gt;0,((#REF!/100)*($F$17/100)*#REF!*X22)/((1+($F$11/100))^N22),0)</f>
        <v>0</v>
      </c>
      <c r="T22" s="37"/>
      <c r="U22" s="35">
        <f t="shared" si="7"/>
        <v>0</v>
      </c>
      <c r="V22" s="34">
        <f t="shared" si="4"/>
        <v>0</v>
      </c>
      <c r="W22" s="19"/>
      <c r="X22" s="2">
        <f t="shared" si="5"/>
        <v>0</v>
      </c>
      <c r="AA22" s="24" t="s">
        <v>76</v>
      </c>
      <c r="AB22" s="24" t="s">
        <v>112</v>
      </c>
      <c r="AC22" s="24" t="s">
        <v>72</v>
      </c>
      <c r="AD22" s="24" t="s">
        <v>80</v>
      </c>
      <c r="AF22" s="24" t="s">
        <v>76</v>
      </c>
      <c r="AG22" s="24" t="s">
        <v>77</v>
      </c>
      <c r="AH22" s="24" t="s">
        <v>72</v>
      </c>
      <c r="AI22" s="24" t="s">
        <v>80</v>
      </c>
      <c r="AK22" s="134">
        <v>-50</v>
      </c>
      <c r="AL22" s="135">
        <f>AI24</f>
        <v>-18.927999354315808</v>
      </c>
      <c r="AM22" s="135">
        <f>AD24</f>
        <v>-25.60624116158554</v>
      </c>
      <c r="AN22" s="136">
        <f t="shared" ref="AN22:AN32" si="8">AD39</f>
        <v>-10.284079008964348</v>
      </c>
      <c r="AO22" s="136">
        <f t="shared" ref="AO22:AO32" si="9">AI39</f>
        <v>-35.890320170549877</v>
      </c>
      <c r="AP22" s="71">
        <f>AD54</f>
        <v>25.60624116158554</v>
      </c>
    </row>
    <row r="23" spans="1:42" x14ac:dyDescent="0.25">
      <c r="E23" s="22"/>
      <c r="H23" s="9"/>
      <c r="I23" s="22"/>
      <c r="L23" s="9"/>
      <c r="N23" s="31">
        <f t="shared" si="6"/>
        <v>0</v>
      </c>
      <c r="O23" s="31"/>
      <c r="P23" s="35">
        <f t="shared" si="0"/>
        <v>0</v>
      </c>
      <c r="Q23" s="36">
        <f t="shared" si="1"/>
        <v>0</v>
      </c>
      <c r="R23" s="37">
        <f t="shared" si="2"/>
        <v>0</v>
      </c>
      <c r="S23" s="37">
        <f>IF(N23&gt;0,((#REF!/100)*($F$17/100)*#REF!*X23)/((1+($F$11/100))^N23),0)</f>
        <v>0</v>
      </c>
      <c r="T23" s="37"/>
      <c r="U23" s="35">
        <f t="shared" si="7"/>
        <v>0</v>
      </c>
      <c r="V23" s="34">
        <f t="shared" si="4"/>
        <v>0</v>
      </c>
      <c r="W23" s="19"/>
      <c r="X23" s="2">
        <f t="shared" si="5"/>
        <v>0</v>
      </c>
      <c r="AA23" s="24" t="s">
        <v>78</v>
      </c>
      <c r="AB23" s="28">
        <v>0.99264819927412606</v>
      </c>
      <c r="AC23" s="26">
        <f>V49</f>
        <v>331328.47273689584</v>
      </c>
      <c r="AD23" s="24"/>
      <c r="AF23" s="24" t="s">
        <v>78</v>
      </c>
      <c r="AG23" s="29">
        <v>109086.43086966092</v>
      </c>
      <c r="AH23" s="30">
        <f>V49</f>
        <v>331328.47273689584</v>
      </c>
      <c r="AI23" s="24"/>
      <c r="AK23" s="134">
        <v>-40</v>
      </c>
      <c r="AL23" s="135">
        <f>AI25</f>
        <v>-15.142399483452657</v>
      </c>
      <c r="AM23" s="135">
        <f t="shared" ref="AM23:AM32" si="10">AD25</f>
        <v>-20.48499292926844</v>
      </c>
      <c r="AN23" s="136">
        <f t="shared" si="8"/>
        <v>-8.2272632071714806</v>
      </c>
      <c r="AO23" s="136">
        <f t="shared" si="9"/>
        <v>-28.712256136439883</v>
      </c>
      <c r="AP23" s="71">
        <f t="shared" ref="AP23:AP32" si="11">AD55</f>
        <v>20.48499292926844</v>
      </c>
    </row>
    <row r="24" spans="1:42" x14ac:dyDescent="0.25">
      <c r="A24" s="7"/>
      <c r="F24" s="77"/>
      <c r="H24" s="9"/>
      <c r="I24" s="22"/>
      <c r="L24" s="9"/>
      <c r="N24" s="31">
        <f t="shared" si="6"/>
        <v>0</v>
      </c>
      <c r="O24" s="31"/>
      <c r="P24" s="35">
        <f t="shared" si="0"/>
        <v>0</v>
      </c>
      <c r="Q24" s="36">
        <f t="shared" si="1"/>
        <v>0</v>
      </c>
      <c r="R24" s="37">
        <f t="shared" si="2"/>
        <v>0</v>
      </c>
      <c r="S24" s="37">
        <f>IF(N24&gt;0,((#REF!/100)*($F$17/100)*#REF!*X24)/((1+($F$11/100))^N24),0)</f>
        <v>0</v>
      </c>
      <c r="T24" s="37"/>
      <c r="U24" s="35">
        <f t="shared" si="7"/>
        <v>0</v>
      </c>
      <c r="V24" s="34">
        <f t="shared" si="4"/>
        <v>0</v>
      </c>
      <c r="W24" s="19"/>
      <c r="X24" s="2">
        <f t="shared" si="5"/>
        <v>0</v>
      </c>
      <c r="AA24" s="24">
        <f t="shared" ref="AA24:AA27" si="12">AA25-10</f>
        <v>-50</v>
      </c>
      <c r="AB24" s="28">
        <f t="shared" ref="AB24:AB28" si="13">$AB$23*(1+(AA24/100))</f>
        <v>0.49632409963706303</v>
      </c>
      <c r="AC24" s="30">
        <f t="dataTable" ref="AC24:AC34" dt2D="0" dtr="0" r1="F36" ca="1"/>
        <v>246487.70497088809</v>
      </c>
      <c r="AD24" s="58">
        <f>100*((AC24-$AC$29)/$AC$29)</f>
        <v>-25.60624116158554</v>
      </c>
      <c r="AF24" s="24">
        <f t="shared" ref="AF24:AF27" si="14">AF25-10</f>
        <v>-50</v>
      </c>
      <c r="AG24" s="25">
        <f>$AG$23*(1+(AF24/100))</f>
        <v>54543.215434830461</v>
      </c>
      <c r="AH24" s="30">
        <f t="dataTable" ref="AH24:AH34" dt2D="0" dtr="0" r1="B48" ca="1"/>
        <v>268614.62155659177</v>
      </c>
      <c r="AI24" s="58">
        <f t="shared" ref="AI24:AI34" si="15">100*((AH24-$AH$29)/$AH$29)</f>
        <v>-18.927999354315808</v>
      </c>
      <c r="AK24" s="134">
        <v>-30</v>
      </c>
      <c r="AL24" s="135">
        <f t="shared" ref="AL24:AL32" si="16">AI26</f>
        <v>-11.356799612589471</v>
      </c>
      <c r="AM24" s="135">
        <f t="shared" si="10"/>
        <v>-15.363744696951304</v>
      </c>
      <c r="AN24" s="136">
        <f t="shared" si="8"/>
        <v>-6.1704474053786162</v>
      </c>
      <c r="AO24" s="136">
        <f t="shared" si="9"/>
        <v>-21.534192102329943</v>
      </c>
      <c r="AP24" s="71">
        <f t="shared" si="11"/>
        <v>15.363744696951336</v>
      </c>
    </row>
    <row r="25" spans="1:42" x14ac:dyDescent="0.25">
      <c r="A25" s="7"/>
      <c r="H25" s="9"/>
      <c r="L25" s="9"/>
      <c r="N25" s="31">
        <f t="shared" si="6"/>
        <v>0</v>
      </c>
      <c r="O25" s="31"/>
      <c r="P25" s="35">
        <f t="shared" si="0"/>
        <v>0</v>
      </c>
      <c r="Q25" s="36">
        <f t="shared" si="1"/>
        <v>0</v>
      </c>
      <c r="R25" s="37">
        <f t="shared" si="2"/>
        <v>0</v>
      </c>
      <c r="S25" s="37">
        <f>IF(N25&gt;0,((#REF!/100)*($F$17/100)*#REF!*X25)/((1+($F$11/100))^N25),0)</f>
        <v>0</v>
      </c>
      <c r="T25" s="37"/>
      <c r="U25" s="35">
        <f t="shared" si="7"/>
        <v>0</v>
      </c>
      <c r="V25" s="34">
        <f t="shared" si="4"/>
        <v>0</v>
      </c>
      <c r="W25" s="19"/>
      <c r="X25" s="2">
        <f t="shared" si="5"/>
        <v>0</v>
      </c>
      <c r="AA25" s="24">
        <f t="shared" si="12"/>
        <v>-40</v>
      </c>
      <c r="AB25" s="28">
        <f t="shared" si="13"/>
        <v>0.59558891956447557</v>
      </c>
      <c r="AC25" s="30">
        <v>263455.85852408962</v>
      </c>
      <c r="AD25" s="58">
        <f t="shared" ref="AD25:AD34" si="17">100*((AC25-$AC$29)/$AC$29)</f>
        <v>-20.48499292926844</v>
      </c>
      <c r="AF25" s="24">
        <f t="shared" si="14"/>
        <v>-40</v>
      </c>
      <c r="AG25" s="25">
        <f t="shared" ref="AG25:AG28" si="18">$AG$23*(1+(AF25/100))</f>
        <v>65451.858521796552</v>
      </c>
      <c r="AH25" s="30">
        <v>281157.39179265255</v>
      </c>
      <c r="AI25" s="58">
        <f t="shared" si="15"/>
        <v>-15.142399483452657</v>
      </c>
      <c r="AK25" s="134">
        <v>-20</v>
      </c>
      <c r="AL25" s="135">
        <f t="shared" si="16"/>
        <v>-7.5711997417263195</v>
      </c>
      <c r="AM25" s="135">
        <f t="shared" si="10"/>
        <v>-10.242496464634202</v>
      </c>
      <c r="AN25" s="136">
        <f t="shared" si="8"/>
        <v>-4.1136316035857146</v>
      </c>
      <c r="AO25" s="136">
        <f t="shared" si="9"/>
        <v>-14.356128068219917</v>
      </c>
      <c r="AP25" s="71">
        <f t="shared" si="11"/>
        <v>10.24249646463422</v>
      </c>
    </row>
    <row r="26" spans="1:42" ht="15.75" thickBot="1" x14ac:dyDescent="0.3">
      <c r="A26" s="14"/>
      <c r="B26" s="15"/>
      <c r="C26" s="15"/>
      <c r="D26" s="15"/>
      <c r="E26" s="15"/>
      <c r="F26" s="15"/>
      <c r="G26" s="15"/>
      <c r="H26" s="16"/>
      <c r="I26" s="15"/>
      <c r="J26" s="15"/>
      <c r="K26" s="15"/>
      <c r="L26" s="16"/>
      <c r="N26" s="31">
        <f t="shared" si="6"/>
        <v>0</v>
      </c>
      <c r="O26" s="31"/>
      <c r="P26" s="35">
        <f t="shared" si="0"/>
        <v>0</v>
      </c>
      <c r="Q26" s="36">
        <f t="shared" si="1"/>
        <v>0</v>
      </c>
      <c r="R26" s="37">
        <f t="shared" si="2"/>
        <v>0</v>
      </c>
      <c r="S26" s="37">
        <f>IF(N26&gt;0,((#REF!/100)*($F$17/100)*#REF!*X26)/((1+($F$11/100))^N26),0)</f>
        <v>0</v>
      </c>
      <c r="T26" s="37"/>
      <c r="U26" s="35">
        <f t="shared" si="7"/>
        <v>0</v>
      </c>
      <c r="V26" s="34">
        <f t="shared" si="4"/>
        <v>0</v>
      </c>
      <c r="W26" s="19"/>
      <c r="X26" s="2">
        <f t="shared" si="5"/>
        <v>0</v>
      </c>
      <c r="AA26" s="24">
        <f t="shared" si="12"/>
        <v>-30</v>
      </c>
      <c r="AB26" s="28">
        <f t="shared" si="13"/>
        <v>0.69485373949188822</v>
      </c>
      <c r="AC26" s="30">
        <v>280424.01207729126</v>
      </c>
      <c r="AD26" s="58">
        <f t="shared" si="17"/>
        <v>-15.363744696951304</v>
      </c>
      <c r="AF26" s="24">
        <f t="shared" si="14"/>
        <v>-30</v>
      </c>
      <c r="AG26" s="25">
        <f t="shared" si="18"/>
        <v>76360.501608762643</v>
      </c>
      <c r="AH26" s="30">
        <v>293700.16202871344</v>
      </c>
      <c r="AI26" s="58">
        <f t="shared" si="15"/>
        <v>-11.356799612589471</v>
      </c>
      <c r="AK26" s="134">
        <v>-10</v>
      </c>
      <c r="AL26" s="135">
        <f t="shared" si="16"/>
        <v>-3.7855998708631509</v>
      </c>
      <c r="AM26" s="135">
        <f t="shared" si="10"/>
        <v>-5.1212482323170834</v>
      </c>
      <c r="AN26" s="136">
        <f t="shared" si="8"/>
        <v>-2.0568158017928662</v>
      </c>
      <c r="AO26" s="136">
        <f t="shared" si="9"/>
        <v>-7.1780640341099851</v>
      </c>
      <c r="AP26" s="71">
        <f t="shared" si="11"/>
        <v>5.1212482323170834</v>
      </c>
    </row>
    <row r="27" spans="1:42" x14ac:dyDescent="0.25">
      <c r="J27" s="2"/>
      <c r="N27" s="31">
        <f t="shared" si="6"/>
        <v>0</v>
      </c>
      <c r="O27" s="31"/>
      <c r="P27" s="35">
        <f t="shared" si="0"/>
        <v>0</v>
      </c>
      <c r="Q27" s="36">
        <f t="shared" si="1"/>
        <v>0</v>
      </c>
      <c r="R27" s="37">
        <f t="shared" si="2"/>
        <v>0</v>
      </c>
      <c r="S27" s="37">
        <f>IF(N27&gt;0,((#REF!/100)*($F$17/100)*#REF!*X27)/((1+($F$11/100))^N27),0)</f>
        <v>0</v>
      </c>
      <c r="T27" s="37"/>
      <c r="U27" s="35">
        <f t="shared" si="7"/>
        <v>0</v>
      </c>
      <c r="V27" s="34">
        <f t="shared" si="4"/>
        <v>0</v>
      </c>
      <c r="W27" s="19"/>
      <c r="X27" s="2">
        <f t="shared" si="5"/>
        <v>0</v>
      </c>
      <c r="AA27" s="24">
        <f t="shared" si="12"/>
        <v>-20</v>
      </c>
      <c r="AB27" s="28">
        <f t="shared" si="13"/>
        <v>0.79411855941930087</v>
      </c>
      <c r="AC27" s="30">
        <v>297392.16563049279</v>
      </c>
      <c r="AD27" s="58">
        <f t="shared" si="17"/>
        <v>-10.242496464634202</v>
      </c>
      <c r="AF27" s="24">
        <f t="shared" si="14"/>
        <v>-20</v>
      </c>
      <c r="AG27" s="25">
        <f t="shared" si="18"/>
        <v>87269.144695728741</v>
      </c>
      <c r="AH27" s="30">
        <v>306242.93226477422</v>
      </c>
      <c r="AI27" s="58">
        <f t="shared" si="15"/>
        <v>-7.5711997417263195</v>
      </c>
      <c r="AK27" s="134">
        <v>0</v>
      </c>
      <c r="AL27" s="135">
        <f t="shared" si="16"/>
        <v>0</v>
      </c>
      <c r="AM27" s="135">
        <f t="shared" si="10"/>
        <v>0</v>
      </c>
      <c r="AN27" s="136">
        <f t="shared" si="8"/>
        <v>0</v>
      </c>
      <c r="AO27" s="136">
        <f t="shared" si="9"/>
        <v>0</v>
      </c>
      <c r="AP27" s="71">
        <f t="shared" si="11"/>
        <v>0</v>
      </c>
    </row>
    <row r="28" spans="1:42" x14ac:dyDescent="0.25">
      <c r="A28" s="12" t="s">
        <v>60</v>
      </c>
      <c r="J28" s="2"/>
      <c r="N28" s="31">
        <f t="shared" si="6"/>
        <v>0</v>
      </c>
      <c r="O28" s="31"/>
      <c r="P28" s="35">
        <f t="shared" si="0"/>
        <v>0</v>
      </c>
      <c r="Q28" s="36">
        <f t="shared" si="1"/>
        <v>0</v>
      </c>
      <c r="R28" s="37">
        <f t="shared" si="2"/>
        <v>0</v>
      </c>
      <c r="S28" s="37">
        <f>IF(N28&gt;0,((#REF!/100)*($F$17/100)*#REF!*X28)/((1+($F$11/100))^N28),0)</f>
        <v>0</v>
      </c>
      <c r="T28" s="37"/>
      <c r="U28" s="35">
        <f t="shared" si="7"/>
        <v>0</v>
      </c>
      <c r="V28" s="34">
        <f t="shared" si="4"/>
        <v>0</v>
      </c>
      <c r="W28" s="19"/>
      <c r="X28" s="2">
        <f t="shared" si="5"/>
        <v>0</v>
      </c>
      <c r="AA28" s="24">
        <f>AA29-10</f>
        <v>-10</v>
      </c>
      <c r="AB28" s="28">
        <f t="shared" si="13"/>
        <v>0.89338337934671352</v>
      </c>
      <c r="AC28" s="30">
        <v>314360.31918369437</v>
      </c>
      <c r="AD28" s="58">
        <f t="shared" si="17"/>
        <v>-5.1212482323170834</v>
      </c>
      <c r="AF28" s="24">
        <f>AF29-10</f>
        <v>-10</v>
      </c>
      <c r="AG28" s="25">
        <f t="shared" si="18"/>
        <v>98177.787782694839</v>
      </c>
      <c r="AH28" s="30">
        <v>318785.70250083506</v>
      </c>
      <c r="AI28" s="58">
        <f t="shared" si="15"/>
        <v>-3.7855998708631509</v>
      </c>
      <c r="AK28" s="134">
        <v>10</v>
      </c>
      <c r="AL28" s="135">
        <f t="shared" si="16"/>
        <v>3.7855998708631691</v>
      </c>
      <c r="AM28" s="135">
        <f t="shared" si="10"/>
        <v>5.1212482323170834</v>
      </c>
      <c r="AN28" s="136">
        <f t="shared" si="8"/>
        <v>2.0568158017928662</v>
      </c>
      <c r="AO28" s="136">
        <f t="shared" si="9"/>
        <v>7.1780640341100019</v>
      </c>
      <c r="AP28" s="71">
        <f t="shared" si="11"/>
        <v>-5.1212482323171011</v>
      </c>
    </row>
    <row r="29" spans="1:42" ht="15.75" thickBot="1" x14ac:dyDescent="0.3">
      <c r="J29" s="2"/>
      <c r="N29" s="31">
        <f t="shared" si="6"/>
        <v>0</v>
      </c>
      <c r="O29" s="31"/>
      <c r="P29" s="35">
        <f t="shared" si="0"/>
        <v>0</v>
      </c>
      <c r="Q29" s="36">
        <f t="shared" si="1"/>
        <v>0</v>
      </c>
      <c r="R29" s="37">
        <f t="shared" si="2"/>
        <v>0</v>
      </c>
      <c r="S29" s="37">
        <f>IF(N29&gt;0,((#REF!/100)*($F$17/100)*#REF!*X29)/((1+($F$11/100))^N29),0)</f>
        <v>0</v>
      </c>
      <c r="T29" s="37"/>
      <c r="U29" s="35">
        <f t="shared" si="7"/>
        <v>0</v>
      </c>
      <c r="V29" s="34">
        <f t="shared" si="4"/>
        <v>0</v>
      </c>
      <c r="W29" s="19"/>
      <c r="X29" s="2">
        <f t="shared" si="5"/>
        <v>0</v>
      </c>
      <c r="AA29" s="60">
        <v>0</v>
      </c>
      <c r="AB29" s="64">
        <f>$AB$23*(1+(AA29/100))</f>
        <v>0.99264819927412606</v>
      </c>
      <c r="AC29" s="62">
        <v>331328.47273689584</v>
      </c>
      <c r="AD29" s="63">
        <f t="shared" si="17"/>
        <v>0</v>
      </c>
      <c r="AF29" s="60">
        <v>0</v>
      </c>
      <c r="AG29" s="65">
        <f>$AG$23*(1+(AF29/100))</f>
        <v>109086.43086966092</v>
      </c>
      <c r="AH29" s="62">
        <v>331328.47273689584</v>
      </c>
      <c r="AI29" s="63">
        <f t="shared" si="15"/>
        <v>0</v>
      </c>
      <c r="AK29" s="134">
        <v>20</v>
      </c>
      <c r="AL29" s="135">
        <f t="shared" si="16"/>
        <v>7.5711997417263381</v>
      </c>
      <c r="AM29" s="135">
        <f t="shared" si="10"/>
        <v>10.242496464634202</v>
      </c>
      <c r="AN29" s="136">
        <f t="shared" si="8"/>
        <v>4.1136316035857501</v>
      </c>
      <c r="AO29" s="136">
        <f t="shared" si="9"/>
        <v>14.356128068219951</v>
      </c>
      <c r="AP29" s="71">
        <f t="shared" si="11"/>
        <v>-10.242496464634202</v>
      </c>
    </row>
    <row r="30" spans="1:42" x14ac:dyDescent="0.25">
      <c r="A30" s="3" t="s">
        <v>11</v>
      </c>
      <c r="B30" s="4"/>
      <c r="C30" s="4"/>
      <c r="D30" s="4"/>
      <c r="E30" s="5" t="s">
        <v>96</v>
      </c>
      <c r="F30" s="4"/>
      <c r="G30" s="4"/>
      <c r="H30" s="4"/>
      <c r="I30" s="5" t="s">
        <v>125</v>
      </c>
      <c r="J30" s="92">
        <f>SUM(J31:J35)</f>
        <v>8546.8001552892802</v>
      </c>
      <c r="K30" s="5" t="s">
        <v>44</v>
      </c>
      <c r="L30" s="6"/>
      <c r="N30" s="31">
        <f t="shared" si="6"/>
        <v>0</v>
      </c>
      <c r="O30" s="31"/>
      <c r="P30" s="35">
        <f t="shared" si="0"/>
        <v>0</v>
      </c>
      <c r="Q30" s="36">
        <f t="shared" si="1"/>
        <v>0</v>
      </c>
      <c r="R30" s="37">
        <f t="shared" si="2"/>
        <v>0</v>
      </c>
      <c r="S30" s="37">
        <f>IF(N30&gt;0,((#REF!/100)*($F$17/100)*#REF!*X30)/((1+($F$11/100))^N30),0)</f>
        <v>0</v>
      </c>
      <c r="T30" s="37"/>
      <c r="U30" s="35">
        <f t="shared" si="7"/>
        <v>0</v>
      </c>
      <c r="V30" s="34">
        <f t="shared" si="4"/>
        <v>0</v>
      </c>
      <c r="W30" s="19"/>
      <c r="X30" s="2">
        <f t="shared" si="5"/>
        <v>0</v>
      </c>
      <c r="AA30" s="24">
        <f>AA29+10</f>
        <v>10</v>
      </c>
      <c r="AB30" s="28">
        <f t="shared" ref="AB30:AB34" si="19">$AB$23*(1+(AA30/100))</f>
        <v>1.0919130192015387</v>
      </c>
      <c r="AC30" s="30">
        <v>348296.62629009731</v>
      </c>
      <c r="AD30" s="58">
        <f t="shared" si="17"/>
        <v>5.1212482323170834</v>
      </c>
      <c r="AF30" s="24">
        <f>AF29+10</f>
        <v>10</v>
      </c>
      <c r="AG30" s="25">
        <f t="shared" ref="AG30:AG34" si="20">$AG$23*(1+(AF30/100))</f>
        <v>119995.07395662702</v>
      </c>
      <c r="AH30" s="30">
        <v>343871.24297295668</v>
      </c>
      <c r="AI30" s="58">
        <f t="shared" si="15"/>
        <v>3.7855998708631691</v>
      </c>
      <c r="AK30" s="134">
        <v>30</v>
      </c>
      <c r="AL30" s="135">
        <f t="shared" si="16"/>
        <v>11.356799612589489</v>
      </c>
      <c r="AM30" s="135">
        <f t="shared" si="10"/>
        <v>15.363744696951336</v>
      </c>
      <c r="AN30" s="136">
        <f t="shared" si="8"/>
        <v>6.1704474053785985</v>
      </c>
      <c r="AO30" s="136">
        <f t="shared" si="9"/>
        <v>21.534192102329953</v>
      </c>
      <c r="AP30" s="71">
        <f t="shared" si="11"/>
        <v>-15.363744696951304</v>
      </c>
    </row>
    <row r="31" spans="1:42" x14ac:dyDescent="0.25">
      <c r="A31" s="21" t="s">
        <v>187</v>
      </c>
      <c r="B31" s="18">
        <f>IF(B11=0,0,-(B11/100)*$B$46)</f>
        <v>0</v>
      </c>
      <c r="C31" s="1" t="s">
        <v>3</v>
      </c>
      <c r="E31" s="22" t="s">
        <v>62</v>
      </c>
      <c r="F31" s="10">
        <f>(J16/100)*B48</f>
        <v>32725.929260898276</v>
      </c>
      <c r="G31" s="1" t="s">
        <v>3</v>
      </c>
      <c r="I31" s="22"/>
      <c r="J31" s="13"/>
      <c r="L31" s="9"/>
      <c r="N31" s="31">
        <f t="shared" si="6"/>
        <v>0</v>
      </c>
      <c r="O31" s="31"/>
      <c r="P31" s="35">
        <f t="shared" si="0"/>
        <v>0</v>
      </c>
      <c r="Q31" s="36">
        <f t="shared" si="1"/>
        <v>0</v>
      </c>
      <c r="R31" s="37">
        <f t="shared" si="2"/>
        <v>0</v>
      </c>
      <c r="S31" s="37">
        <f>IF(N31&gt;0,((#REF!/100)*($F$17/100)*#REF!*X31)/((1+($F$11/100))^N31),0)</f>
        <v>0</v>
      </c>
      <c r="T31" s="37"/>
      <c r="U31" s="35">
        <f t="shared" si="7"/>
        <v>0</v>
      </c>
      <c r="V31" s="34">
        <f t="shared" si="4"/>
        <v>0</v>
      </c>
      <c r="W31" s="19"/>
      <c r="X31" s="2">
        <f t="shared" si="5"/>
        <v>0</v>
      </c>
      <c r="AA31" s="24">
        <f t="shared" ref="AA31:AA34" si="21">AA30+10</f>
        <v>20</v>
      </c>
      <c r="AB31" s="28">
        <f t="shared" si="19"/>
        <v>1.1911778391289511</v>
      </c>
      <c r="AC31" s="30">
        <v>365264.77984329889</v>
      </c>
      <c r="AD31" s="58">
        <f t="shared" si="17"/>
        <v>10.242496464634202</v>
      </c>
      <c r="AF31" s="24">
        <f t="shared" ref="AF31:AF34" si="22">AF30+10</f>
        <v>20</v>
      </c>
      <c r="AG31" s="25">
        <f t="shared" si="20"/>
        <v>130903.7170435931</v>
      </c>
      <c r="AH31" s="30">
        <v>356414.01320901752</v>
      </c>
      <c r="AI31" s="58">
        <f t="shared" si="15"/>
        <v>7.5711997417263381</v>
      </c>
      <c r="AK31" s="134">
        <v>40</v>
      </c>
      <c r="AL31" s="135">
        <f t="shared" si="16"/>
        <v>15.142399483452639</v>
      </c>
      <c r="AM31" s="135">
        <f t="shared" si="10"/>
        <v>20.48499292926844</v>
      </c>
      <c r="AN31" s="136">
        <f t="shared" si="8"/>
        <v>8.2272632071715002</v>
      </c>
      <c r="AO31" s="136">
        <f t="shared" si="9"/>
        <v>28.712256136439869</v>
      </c>
      <c r="AP31" s="71">
        <f t="shared" si="11"/>
        <v>-20.48499292926844</v>
      </c>
    </row>
    <row r="32" spans="1:42" x14ac:dyDescent="0.25">
      <c r="A32" s="21" t="s">
        <v>5</v>
      </c>
      <c r="B32" s="18">
        <f>IF(B12=0,0,-(B12/100)*$B$46)</f>
        <v>0</v>
      </c>
      <c r="C32" s="1" t="s">
        <v>3</v>
      </c>
      <c r="E32" s="22" t="s">
        <v>63</v>
      </c>
      <c r="F32" s="18">
        <f>B48-F31</f>
        <v>76360.501608762643</v>
      </c>
      <c r="G32" s="1" t="s">
        <v>3</v>
      </c>
      <c r="I32" s="22" t="s">
        <v>159</v>
      </c>
      <c r="J32" s="13">
        <f>F17/$B$8</f>
        <v>18.800155289282692</v>
      </c>
      <c r="K32" s="1" t="s">
        <v>44</v>
      </c>
      <c r="L32" s="9"/>
      <c r="N32" s="31">
        <f t="shared" si="6"/>
        <v>0</v>
      </c>
      <c r="O32" s="31"/>
      <c r="P32" s="35">
        <f t="shared" si="0"/>
        <v>0</v>
      </c>
      <c r="Q32" s="36">
        <f t="shared" si="1"/>
        <v>0</v>
      </c>
      <c r="R32" s="37">
        <f t="shared" si="2"/>
        <v>0</v>
      </c>
      <c r="S32" s="37">
        <f>IF(N32&gt;0,((#REF!/100)*($F$17/100)*#REF!*X32)/((1+($F$11/100))^N32),0)</f>
        <v>0</v>
      </c>
      <c r="T32" s="37"/>
      <c r="U32" s="35">
        <f t="shared" si="7"/>
        <v>0</v>
      </c>
      <c r="V32" s="34">
        <f t="shared" si="4"/>
        <v>0</v>
      </c>
      <c r="W32" s="19"/>
      <c r="X32" s="2">
        <f t="shared" si="5"/>
        <v>0</v>
      </c>
      <c r="AA32" s="24">
        <f t="shared" si="21"/>
        <v>30</v>
      </c>
      <c r="AB32" s="28">
        <f t="shared" si="19"/>
        <v>1.290442659056364</v>
      </c>
      <c r="AC32" s="30">
        <v>382232.93339650054</v>
      </c>
      <c r="AD32" s="58">
        <f t="shared" si="17"/>
        <v>15.363744696951336</v>
      </c>
      <c r="AF32" s="24">
        <f t="shared" si="22"/>
        <v>30</v>
      </c>
      <c r="AG32" s="25">
        <f t="shared" si="20"/>
        <v>141812.36013055922</v>
      </c>
      <c r="AH32" s="30">
        <v>368956.7834450783</v>
      </c>
      <c r="AI32" s="58">
        <f t="shared" si="15"/>
        <v>11.356799612589489</v>
      </c>
      <c r="AK32" s="134">
        <v>50</v>
      </c>
      <c r="AL32" s="135">
        <f t="shared" si="16"/>
        <v>18.927999354315808</v>
      </c>
      <c r="AM32" s="135">
        <f t="shared" si="10"/>
        <v>25.60624116158554</v>
      </c>
      <c r="AN32" s="136">
        <f t="shared" si="8"/>
        <v>10.284079008964365</v>
      </c>
      <c r="AO32" s="136">
        <f t="shared" si="9"/>
        <v>35.890320170549892</v>
      </c>
      <c r="AP32" s="71">
        <f t="shared" si="11"/>
        <v>-25.60624116158554</v>
      </c>
    </row>
    <row r="33" spans="1:35" x14ac:dyDescent="0.25">
      <c r="A33" s="21" t="s">
        <v>6</v>
      </c>
      <c r="B33" s="18">
        <f>IF(B14=0,0,(B14/100)*$B$44)</f>
        <v>7135.4838709677424</v>
      </c>
      <c r="C33" s="1" t="s">
        <v>3</v>
      </c>
      <c r="E33" s="22" t="s">
        <v>64</v>
      </c>
      <c r="F33" s="10">
        <f>F32*(F19/100)*J15</f>
        <v>28635.188103285989</v>
      </c>
      <c r="G33" s="1" t="s">
        <v>3</v>
      </c>
      <c r="I33" s="38"/>
      <c r="J33" s="49"/>
      <c r="K33" s="39"/>
      <c r="L33" s="9"/>
      <c r="N33" s="31">
        <f t="shared" si="6"/>
        <v>0</v>
      </c>
      <c r="O33" s="31"/>
      <c r="P33" s="35">
        <f t="shared" si="0"/>
        <v>0</v>
      </c>
      <c r="Q33" s="36">
        <f t="shared" si="1"/>
        <v>0</v>
      </c>
      <c r="R33" s="37">
        <f t="shared" si="2"/>
        <v>0</v>
      </c>
      <c r="S33" s="37">
        <f>IF(N33&gt;0,((#REF!/100)*($F$17/100)*#REF!*X33)/((1+($F$11/100))^N33),0)</f>
        <v>0</v>
      </c>
      <c r="T33" s="37"/>
      <c r="U33" s="35">
        <f t="shared" si="7"/>
        <v>0</v>
      </c>
      <c r="V33" s="34">
        <f t="shared" si="4"/>
        <v>0</v>
      </c>
      <c r="W33" s="19"/>
      <c r="X33" s="2">
        <f t="shared" si="5"/>
        <v>0</v>
      </c>
      <c r="AA33" s="24">
        <f t="shared" si="21"/>
        <v>40</v>
      </c>
      <c r="AB33" s="28">
        <f t="shared" si="19"/>
        <v>1.3897074789837764</v>
      </c>
      <c r="AC33" s="30">
        <v>399201.08694970206</v>
      </c>
      <c r="AD33" s="58">
        <f t="shared" si="17"/>
        <v>20.48499292926844</v>
      </c>
      <c r="AF33" s="24">
        <f t="shared" si="22"/>
        <v>40</v>
      </c>
      <c r="AG33" s="25">
        <f t="shared" si="20"/>
        <v>152721.00321752529</v>
      </c>
      <c r="AH33" s="30">
        <v>381499.55368113908</v>
      </c>
      <c r="AI33" s="58">
        <f t="shared" si="15"/>
        <v>15.142399483452639</v>
      </c>
    </row>
    <row r="34" spans="1:35" x14ac:dyDescent="0.25">
      <c r="A34" s="21" t="s">
        <v>197</v>
      </c>
      <c r="B34" s="98">
        <f>IF(B16=0,0,(B16/B8))</f>
        <v>15.463127725435013</v>
      </c>
      <c r="C34" s="1" t="s">
        <v>3</v>
      </c>
      <c r="F34" s="46"/>
      <c r="J34" s="46"/>
      <c r="L34" s="9"/>
      <c r="N34" s="31">
        <f t="shared" si="6"/>
        <v>0</v>
      </c>
      <c r="O34" s="31"/>
      <c r="P34" s="35">
        <f t="shared" si="0"/>
        <v>0</v>
      </c>
      <c r="Q34" s="36">
        <f t="shared" si="1"/>
        <v>0</v>
      </c>
      <c r="R34" s="37">
        <f t="shared" si="2"/>
        <v>0</v>
      </c>
      <c r="S34" s="37">
        <f>IF(N34&gt;0,((#REF!/100)*($F$17/100)*#REF!*X34)/((1+($F$11/100))^N34),0)</f>
        <v>0</v>
      </c>
      <c r="T34" s="37"/>
      <c r="U34" s="35">
        <f t="shared" si="7"/>
        <v>0</v>
      </c>
      <c r="V34" s="34">
        <f t="shared" si="4"/>
        <v>0</v>
      </c>
      <c r="W34" s="19"/>
      <c r="X34" s="2">
        <f t="shared" si="5"/>
        <v>0</v>
      </c>
      <c r="AA34" s="24">
        <f t="shared" si="21"/>
        <v>50</v>
      </c>
      <c r="AB34" s="28">
        <f t="shared" si="19"/>
        <v>1.4889722989111891</v>
      </c>
      <c r="AC34" s="30">
        <v>416169.24050290359</v>
      </c>
      <c r="AD34" s="58">
        <f t="shared" si="17"/>
        <v>25.60624116158554</v>
      </c>
      <c r="AF34" s="24">
        <f t="shared" si="22"/>
        <v>50</v>
      </c>
      <c r="AG34" s="25">
        <f t="shared" si="20"/>
        <v>163629.64630449138</v>
      </c>
      <c r="AH34" s="30">
        <v>394042.32391719992</v>
      </c>
      <c r="AI34" s="58">
        <f t="shared" si="15"/>
        <v>18.927999354315808</v>
      </c>
    </row>
    <row r="35" spans="1:35" x14ac:dyDescent="0.25">
      <c r="A35" s="21" t="s">
        <v>162</v>
      </c>
      <c r="B35" s="18">
        <f>IF(B17=0,0,(B17/100)*$B$44)</f>
        <v>0</v>
      </c>
      <c r="C35" s="1" t="s">
        <v>3</v>
      </c>
      <c r="E35" s="12" t="s">
        <v>97</v>
      </c>
      <c r="I35" s="22" t="s">
        <v>66</v>
      </c>
      <c r="J35" s="20">
        <f>F18*F12/$B$8</f>
        <v>8527.9999999999982</v>
      </c>
      <c r="K35" s="1" t="s">
        <v>44</v>
      </c>
      <c r="L35" s="9"/>
      <c r="N35" s="31">
        <f t="shared" si="6"/>
        <v>0</v>
      </c>
      <c r="O35" s="31"/>
      <c r="P35" s="35">
        <f t="shared" si="0"/>
        <v>0</v>
      </c>
      <c r="Q35" s="36">
        <f t="shared" si="1"/>
        <v>0</v>
      </c>
      <c r="R35" s="37">
        <f t="shared" si="2"/>
        <v>0</v>
      </c>
      <c r="S35" s="37">
        <f>IF(N35&gt;0,((#REF!/100)*($F$17/100)*#REF!*X35)/((1+($F$11/100))^N35),0)</f>
        <v>0</v>
      </c>
      <c r="T35" s="37"/>
      <c r="U35" s="35">
        <f t="shared" si="7"/>
        <v>0</v>
      </c>
      <c r="V35" s="34">
        <f t="shared" si="4"/>
        <v>0</v>
      </c>
      <c r="W35" s="19"/>
      <c r="X35" s="2">
        <f t="shared" si="5"/>
        <v>0</v>
      </c>
    </row>
    <row r="36" spans="1:35" x14ac:dyDescent="0.25">
      <c r="E36" s="22" t="s">
        <v>191</v>
      </c>
      <c r="F36" s="23">
        <f>F13/$B$8</f>
        <v>0.99264819927412606</v>
      </c>
      <c r="G36" s="1" t="s">
        <v>108</v>
      </c>
      <c r="L36" s="9"/>
      <c r="N36" s="31">
        <f t="shared" si="6"/>
        <v>0</v>
      </c>
      <c r="O36" s="31"/>
      <c r="P36" s="35">
        <f t="shared" si="0"/>
        <v>0</v>
      </c>
      <c r="Q36" s="36">
        <f t="shared" si="1"/>
        <v>0</v>
      </c>
      <c r="R36" s="37">
        <f t="shared" si="2"/>
        <v>0</v>
      </c>
      <c r="S36" s="37">
        <f>IF(N36&gt;0,((#REF!/100)*($F$17/100)*#REF!*X36)/((1+($F$11/100))^N36),0)</f>
        <v>0</v>
      </c>
      <c r="T36" s="37"/>
      <c r="U36" s="35">
        <f t="shared" si="7"/>
        <v>0</v>
      </c>
      <c r="V36" s="34">
        <f t="shared" si="4"/>
        <v>0</v>
      </c>
      <c r="W36" s="19"/>
      <c r="X36" s="2">
        <f t="shared" si="5"/>
        <v>0</v>
      </c>
      <c r="AA36" s="27" t="s">
        <v>66</v>
      </c>
      <c r="AB36" s="24"/>
      <c r="AC36" s="24"/>
      <c r="AD36" s="24"/>
      <c r="AF36" s="27" t="s">
        <v>84</v>
      </c>
      <c r="AG36" s="24"/>
      <c r="AH36" s="24"/>
      <c r="AI36" s="24"/>
    </row>
    <row r="37" spans="1:35" x14ac:dyDescent="0.25">
      <c r="B37" s="18"/>
      <c r="E37" s="22" t="s">
        <v>192</v>
      </c>
      <c r="F37" s="48">
        <f>F36*J9</f>
        <v>0.48639761764432177</v>
      </c>
      <c r="G37" s="1" t="s">
        <v>57</v>
      </c>
      <c r="L37" s="9"/>
      <c r="N37" s="31">
        <f t="shared" si="6"/>
        <v>0</v>
      </c>
      <c r="O37" s="31"/>
      <c r="P37" s="35">
        <f t="shared" si="0"/>
        <v>0</v>
      </c>
      <c r="Q37" s="36">
        <f t="shared" si="1"/>
        <v>0</v>
      </c>
      <c r="R37" s="37">
        <f t="shared" si="2"/>
        <v>0</v>
      </c>
      <c r="S37" s="37">
        <f>IF(N37&gt;0,((#REF!/100)*($F$17/100)*#REF!*X37)/((1+($F$11/100))^N37),0)</f>
        <v>0</v>
      </c>
      <c r="T37" s="37"/>
      <c r="U37" s="35">
        <f t="shared" si="7"/>
        <v>0</v>
      </c>
      <c r="V37" s="34">
        <f t="shared" si="4"/>
        <v>0</v>
      </c>
      <c r="W37" s="19"/>
      <c r="X37" s="2">
        <f t="shared" si="5"/>
        <v>0</v>
      </c>
      <c r="AA37" s="24" t="s">
        <v>76</v>
      </c>
      <c r="AB37" s="24" t="s">
        <v>128</v>
      </c>
      <c r="AC37" s="24" t="s">
        <v>72</v>
      </c>
      <c r="AD37" s="24" t="s">
        <v>80</v>
      </c>
      <c r="AF37" s="24" t="s">
        <v>76</v>
      </c>
      <c r="AG37" s="24" t="s">
        <v>83</v>
      </c>
      <c r="AH37" s="24" t="s">
        <v>72</v>
      </c>
      <c r="AI37" s="24" t="s">
        <v>80</v>
      </c>
    </row>
    <row r="38" spans="1:35" x14ac:dyDescent="0.25">
      <c r="A38" s="21"/>
      <c r="B38" s="18"/>
      <c r="E38" s="22" t="s">
        <v>109</v>
      </c>
      <c r="F38" s="46">
        <f>F37*F12</f>
        <v>19942.302323417192</v>
      </c>
      <c r="G38" t="s">
        <v>44</v>
      </c>
      <c r="L38" s="9"/>
      <c r="N38" s="31">
        <f t="shared" si="6"/>
        <v>0</v>
      </c>
      <c r="O38" s="31"/>
      <c r="P38" s="35">
        <f t="shared" si="0"/>
        <v>0</v>
      </c>
      <c r="Q38" s="36">
        <f t="shared" si="1"/>
        <v>0</v>
      </c>
      <c r="R38" s="37">
        <f t="shared" si="2"/>
        <v>0</v>
      </c>
      <c r="S38" s="37">
        <f>IF(N38&gt;0,((#REF!/100)*($F$17/100)*#REF!*X38)/((1+($F$11/100))^N38),0)</f>
        <v>0</v>
      </c>
      <c r="T38" s="37"/>
      <c r="U38" s="35">
        <f t="shared" si="7"/>
        <v>0</v>
      </c>
      <c r="V38" s="34">
        <f t="shared" si="4"/>
        <v>0</v>
      </c>
      <c r="W38" s="19"/>
      <c r="X38" s="2">
        <f t="shared" si="5"/>
        <v>0</v>
      </c>
      <c r="AA38" s="24" t="s">
        <v>78</v>
      </c>
      <c r="AB38" s="28">
        <v>8527.9999999999982</v>
      </c>
      <c r="AC38" s="26">
        <f>V49</f>
        <v>331328.47273689584</v>
      </c>
      <c r="AD38" s="24"/>
      <c r="AF38" s="24" t="s">
        <v>78</v>
      </c>
      <c r="AG38" s="29">
        <v>41000</v>
      </c>
      <c r="AH38" s="30">
        <f>V49</f>
        <v>331328.47273689584</v>
      </c>
      <c r="AI38" s="24"/>
    </row>
    <row r="39" spans="1:35" x14ac:dyDescent="0.25">
      <c r="A39" s="21"/>
      <c r="B39" s="18"/>
      <c r="L39" s="9"/>
      <c r="N39" s="31">
        <f t="shared" si="6"/>
        <v>0</v>
      </c>
      <c r="O39" s="31"/>
      <c r="P39" s="35">
        <f t="shared" si="0"/>
        <v>0</v>
      </c>
      <c r="Q39" s="36">
        <f t="shared" si="1"/>
        <v>0</v>
      </c>
      <c r="R39" s="37">
        <f t="shared" si="2"/>
        <v>0</v>
      </c>
      <c r="S39" s="37">
        <f>IF(N39&gt;0,((#REF!/100)*($F$17/100)*#REF!*X39)/((1+($F$11/100))^N39),0)</f>
        <v>0</v>
      </c>
      <c r="T39" s="37"/>
      <c r="U39" s="35">
        <f t="shared" si="7"/>
        <v>0</v>
      </c>
      <c r="V39" s="34">
        <f t="shared" si="4"/>
        <v>0</v>
      </c>
      <c r="W39" s="19"/>
      <c r="X39" s="2">
        <f t="shared" si="5"/>
        <v>0</v>
      </c>
      <c r="AA39" s="24">
        <f t="shared" ref="AA39:AA42" si="23">AA40-10</f>
        <v>-50</v>
      </c>
      <c r="AB39" s="28">
        <f>$AB$38*(1+(AA39/100))</f>
        <v>4263.9999999999991</v>
      </c>
      <c r="AC39" s="30">
        <f t="dataTable" ref="AC39:AC49" dt2D="0" dtr="0" r1="J35" ca="1"/>
        <v>297254.39082143857</v>
      </c>
      <c r="AD39" s="58">
        <f>100*((AC39-$AC$44)/$AC$44)</f>
        <v>-10.284079008964348</v>
      </c>
      <c r="AF39" s="24">
        <f t="shared" ref="AF39:AF42" si="24">AF40-10</f>
        <v>-50</v>
      </c>
      <c r="AG39" s="29">
        <f t="shared" ref="AG39:AG49" si="25">$AG$38*(1+(AF39/100))</f>
        <v>20500</v>
      </c>
      <c r="AH39" s="30">
        <f t="dataTable" ref="AH39:AH49" dt2D="0" dtr="0" r1="F12" ca="1"/>
        <v>212413.62305543086</v>
      </c>
      <c r="AI39" s="58">
        <f>100*((AH39-$AH$44)/$AH$44)</f>
        <v>-35.890320170549877</v>
      </c>
    </row>
    <row r="40" spans="1:35" x14ac:dyDescent="0.25">
      <c r="B40" s="18"/>
      <c r="L40" s="9"/>
      <c r="N40" s="31">
        <f t="shared" si="6"/>
        <v>0</v>
      </c>
      <c r="O40" s="31"/>
      <c r="P40" s="35">
        <f t="shared" si="0"/>
        <v>0</v>
      </c>
      <c r="Q40" s="36">
        <f t="shared" si="1"/>
        <v>0</v>
      </c>
      <c r="R40" s="37">
        <f t="shared" si="2"/>
        <v>0</v>
      </c>
      <c r="S40" s="37">
        <f>IF(N40&gt;0,((#REF!/100)*($F$17/100)*#REF!*X40)/((1+($F$11/100))^N40),0)</f>
        <v>0</v>
      </c>
      <c r="T40" s="37"/>
      <c r="U40" s="35">
        <f t="shared" si="7"/>
        <v>0</v>
      </c>
      <c r="V40" s="34">
        <f t="shared" si="4"/>
        <v>0</v>
      </c>
      <c r="W40" s="19"/>
      <c r="X40" s="2">
        <f t="shared" si="5"/>
        <v>0</v>
      </c>
      <c r="AA40" s="24">
        <f t="shared" si="23"/>
        <v>-40</v>
      </c>
      <c r="AB40" s="28">
        <f t="shared" ref="AB40:AB49" si="26">$AB$38*(1+(AA40/100))</f>
        <v>5116.7999999999984</v>
      </c>
      <c r="AC40" s="30">
        <v>304069.20720453002</v>
      </c>
      <c r="AD40" s="58">
        <f t="shared" ref="AD40:AD49" si="27">100*((AC40-$AC$44)/$AC$44)</f>
        <v>-8.2272632071714806</v>
      </c>
      <c r="AF40" s="24">
        <f t="shared" si="24"/>
        <v>-40</v>
      </c>
      <c r="AG40" s="29">
        <f t="shared" si="25"/>
        <v>24600</v>
      </c>
      <c r="AH40" s="30">
        <v>236196.59299172391</v>
      </c>
      <c r="AI40" s="58">
        <f t="shared" ref="AI40:AI49" si="28">100*((AH40-$AH$44)/$AH$44)</f>
        <v>-28.712256136439883</v>
      </c>
    </row>
    <row r="41" spans="1:35" x14ac:dyDescent="0.25">
      <c r="E41" s="38" t="s">
        <v>85</v>
      </c>
      <c r="F41" s="42">
        <f>F12*B5</f>
        <v>410000</v>
      </c>
      <c r="G41" s="39" t="s">
        <v>40</v>
      </c>
      <c r="L41" s="9"/>
      <c r="N41" s="31">
        <f t="shared" si="6"/>
        <v>0</v>
      </c>
      <c r="O41" s="31"/>
      <c r="P41" s="35">
        <f t="shared" si="0"/>
        <v>0</v>
      </c>
      <c r="Q41" s="36">
        <f t="shared" si="1"/>
        <v>0</v>
      </c>
      <c r="R41" s="37">
        <f t="shared" si="2"/>
        <v>0</v>
      </c>
      <c r="S41" s="37">
        <f>IF(N41&gt;0,((#REF!/100)*($F$17/100)*#REF!*X41)/((1+($F$11/100))^N41),0)</f>
        <v>0</v>
      </c>
      <c r="T41" s="37"/>
      <c r="U41" s="35">
        <f t="shared" si="7"/>
        <v>0</v>
      </c>
      <c r="V41" s="34">
        <f t="shared" si="4"/>
        <v>0</v>
      </c>
      <c r="W41" s="19"/>
      <c r="X41" s="2">
        <f t="shared" si="5"/>
        <v>0</v>
      </c>
      <c r="AA41" s="24">
        <f t="shared" si="23"/>
        <v>-30</v>
      </c>
      <c r="AB41" s="28">
        <f t="shared" si="26"/>
        <v>5969.5999999999985</v>
      </c>
      <c r="AC41" s="30">
        <v>310884.02358762146</v>
      </c>
      <c r="AD41" s="58">
        <f t="shared" si="27"/>
        <v>-6.1704474053786162</v>
      </c>
      <c r="AF41" s="24">
        <f t="shared" si="24"/>
        <v>-30</v>
      </c>
      <c r="AG41" s="29">
        <f t="shared" si="25"/>
        <v>28699.999999999996</v>
      </c>
      <c r="AH41" s="30">
        <v>259979.56292801679</v>
      </c>
      <c r="AI41" s="58">
        <f t="shared" si="28"/>
        <v>-21.534192102329943</v>
      </c>
    </row>
    <row r="42" spans="1:35" x14ac:dyDescent="0.25">
      <c r="A42" s="11" t="s">
        <v>12</v>
      </c>
      <c r="B42" s="19"/>
      <c r="C42" s="12"/>
      <c r="E42" s="22"/>
      <c r="F42" s="13"/>
      <c r="I42" s="12"/>
      <c r="L42" s="9"/>
      <c r="N42" s="31">
        <f t="shared" si="6"/>
        <v>0</v>
      </c>
      <c r="O42" s="31"/>
      <c r="P42" s="35">
        <f t="shared" si="0"/>
        <v>0</v>
      </c>
      <c r="Q42" s="36">
        <f t="shared" si="1"/>
        <v>0</v>
      </c>
      <c r="R42" s="37">
        <f t="shared" si="2"/>
        <v>0</v>
      </c>
      <c r="S42" s="37">
        <f>IF(N42&gt;0,((#REF!/100)*($F$17/100)*#REF!*X42)/((1+($F$11/100))^N42),0)</f>
        <v>0</v>
      </c>
      <c r="T42" s="37"/>
      <c r="U42" s="35">
        <f t="shared" si="7"/>
        <v>0</v>
      </c>
      <c r="V42" s="34">
        <f t="shared" si="4"/>
        <v>0</v>
      </c>
      <c r="W42" s="19"/>
      <c r="X42" s="2">
        <f t="shared" si="5"/>
        <v>0</v>
      </c>
      <c r="AA42" s="24">
        <f t="shared" si="23"/>
        <v>-20</v>
      </c>
      <c r="AB42" s="28">
        <f t="shared" si="26"/>
        <v>6822.3999999999987</v>
      </c>
      <c r="AC42" s="30">
        <v>317698.83997071302</v>
      </c>
      <c r="AD42" s="58">
        <f t="shared" si="27"/>
        <v>-4.1136316035857146</v>
      </c>
      <c r="AF42" s="24">
        <f t="shared" si="24"/>
        <v>-20</v>
      </c>
      <c r="AG42" s="29">
        <f t="shared" si="25"/>
        <v>32800</v>
      </c>
      <c r="AH42" s="30">
        <v>283762.53286430996</v>
      </c>
      <c r="AI42" s="58">
        <f t="shared" si="28"/>
        <v>-14.356128068219917</v>
      </c>
    </row>
    <row r="43" spans="1:35" x14ac:dyDescent="0.25">
      <c r="A43" s="22" t="s">
        <v>2</v>
      </c>
      <c r="B43" s="8">
        <f>J8/B8</f>
        <v>101935.48387096774</v>
      </c>
      <c r="C43" s="1" t="s">
        <v>3</v>
      </c>
      <c r="I43" s="22"/>
      <c r="J43" s="20"/>
      <c r="L43" s="9"/>
      <c r="N43" s="31">
        <f t="shared" si="6"/>
        <v>0</v>
      </c>
      <c r="O43" s="31"/>
      <c r="P43" s="35">
        <f t="shared" si="0"/>
        <v>0</v>
      </c>
      <c r="Q43" s="36">
        <f t="shared" si="1"/>
        <v>0</v>
      </c>
      <c r="R43" s="37">
        <f t="shared" si="2"/>
        <v>0</v>
      </c>
      <c r="S43" s="37">
        <f>IF(N43&gt;0,((#REF!/100)*($F$17/100)*#REF!*X43)/((1+($F$11/100))^N43),0)</f>
        <v>0</v>
      </c>
      <c r="T43" s="37"/>
      <c r="U43" s="35">
        <f t="shared" si="7"/>
        <v>0</v>
      </c>
      <c r="V43" s="34">
        <f t="shared" si="4"/>
        <v>0</v>
      </c>
      <c r="W43" s="19"/>
      <c r="X43" s="2">
        <f t="shared" si="5"/>
        <v>0</v>
      </c>
      <c r="AA43" s="24">
        <f>AA44-10</f>
        <v>-10</v>
      </c>
      <c r="AB43" s="28">
        <f t="shared" si="26"/>
        <v>7675.1999999999989</v>
      </c>
      <c r="AC43" s="30">
        <v>324513.6563538044</v>
      </c>
      <c r="AD43" s="58">
        <f t="shared" si="27"/>
        <v>-2.0568158017928662</v>
      </c>
      <c r="AF43" s="24">
        <f>AF44-10</f>
        <v>-10</v>
      </c>
      <c r="AG43" s="29">
        <f t="shared" si="25"/>
        <v>36900</v>
      </c>
      <c r="AH43" s="30">
        <v>307545.50280060282</v>
      </c>
      <c r="AI43" s="58">
        <f t="shared" si="28"/>
        <v>-7.1780640341099851</v>
      </c>
    </row>
    <row r="44" spans="1:35" x14ac:dyDescent="0.25">
      <c r="A44" s="1" t="s">
        <v>114</v>
      </c>
      <c r="B44" s="10">
        <f>(1+(B13/100))*B43</f>
        <v>101935.48387096774</v>
      </c>
      <c r="C44" s="39" t="s">
        <v>3</v>
      </c>
      <c r="L44" s="9"/>
      <c r="N44" s="31">
        <f t="shared" si="6"/>
        <v>0</v>
      </c>
      <c r="O44" s="31"/>
      <c r="P44" s="35">
        <f t="shared" si="0"/>
        <v>0</v>
      </c>
      <c r="Q44" s="36">
        <f t="shared" si="1"/>
        <v>0</v>
      </c>
      <c r="R44" s="37">
        <f t="shared" si="2"/>
        <v>0</v>
      </c>
      <c r="S44" s="37">
        <f>IF(N44&gt;0,((#REF!/100)*($F$17/100)*#REF!*X44)/((1+($F$11/100))^N44),0)</f>
        <v>0</v>
      </c>
      <c r="T44" s="37"/>
      <c r="U44" s="35">
        <f t="shared" si="7"/>
        <v>0</v>
      </c>
      <c r="V44" s="34">
        <f t="shared" si="4"/>
        <v>0</v>
      </c>
      <c r="W44" s="19"/>
      <c r="X44" s="2">
        <f t="shared" si="5"/>
        <v>0</v>
      </c>
      <c r="AA44" s="60">
        <v>0</v>
      </c>
      <c r="AB44" s="64">
        <f t="shared" si="26"/>
        <v>8527.9999999999982</v>
      </c>
      <c r="AC44" s="62">
        <v>331328.47273689584</v>
      </c>
      <c r="AD44" s="63">
        <f t="shared" si="27"/>
        <v>0</v>
      </c>
      <c r="AF44" s="60">
        <v>0</v>
      </c>
      <c r="AG44" s="61">
        <f t="shared" si="25"/>
        <v>41000</v>
      </c>
      <c r="AH44" s="62">
        <v>331328.47273689584</v>
      </c>
      <c r="AI44" s="63">
        <f t="shared" si="28"/>
        <v>0</v>
      </c>
    </row>
    <row r="45" spans="1:35" x14ac:dyDescent="0.25">
      <c r="A45" s="1" t="s">
        <v>169</v>
      </c>
      <c r="B45" s="78">
        <f>(1+B15/100)*B44</f>
        <v>110090.32258064517</v>
      </c>
      <c r="C45" s="1" t="s">
        <v>3</v>
      </c>
      <c r="L45" s="9"/>
      <c r="N45" s="31">
        <f t="shared" si="6"/>
        <v>0</v>
      </c>
      <c r="O45" s="31"/>
      <c r="P45" s="35">
        <f t="shared" si="0"/>
        <v>0</v>
      </c>
      <c r="Q45" s="36">
        <f t="shared" si="1"/>
        <v>0</v>
      </c>
      <c r="R45" s="37">
        <f t="shared" si="2"/>
        <v>0</v>
      </c>
      <c r="S45" s="37">
        <f>IF(N45&gt;0,((#REF!/100)*($F$17/100)*#REF!*X45)/((1+($F$11/100))^N45),0)</f>
        <v>0</v>
      </c>
      <c r="T45" s="37"/>
      <c r="U45" s="35">
        <f t="shared" si="7"/>
        <v>0</v>
      </c>
      <c r="V45" s="34">
        <f t="shared" si="4"/>
        <v>0</v>
      </c>
      <c r="W45" s="19"/>
      <c r="X45" s="2">
        <f t="shared" si="5"/>
        <v>0</v>
      </c>
      <c r="AA45" s="24">
        <f>AA44+10</f>
        <v>10</v>
      </c>
      <c r="AB45" s="28">
        <f t="shared" si="26"/>
        <v>9380.7999999999993</v>
      </c>
      <c r="AC45" s="30">
        <v>338143.28911998728</v>
      </c>
      <c r="AD45" s="58">
        <f t="shared" si="27"/>
        <v>2.0568158017928662</v>
      </c>
      <c r="AF45" s="24">
        <f>AF44+10</f>
        <v>10</v>
      </c>
      <c r="AG45" s="29">
        <f t="shared" si="25"/>
        <v>45100.000000000007</v>
      </c>
      <c r="AH45" s="30">
        <v>355111.44267318893</v>
      </c>
      <c r="AI45" s="58">
        <f t="shared" si="28"/>
        <v>7.1780640341100019</v>
      </c>
    </row>
    <row r="46" spans="1:35" x14ac:dyDescent="0.25">
      <c r="A46" s="21" t="s">
        <v>95</v>
      </c>
      <c r="B46" s="78">
        <f>B44+(SUM(B33:B35))</f>
        <v>109086.43086966092</v>
      </c>
      <c r="C46" s="1" t="s">
        <v>3</v>
      </c>
      <c r="L46" s="9"/>
      <c r="N46" s="31">
        <f t="shared" si="6"/>
        <v>0</v>
      </c>
      <c r="O46" s="31"/>
      <c r="P46" s="35">
        <f t="shared" si="0"/>
        <v>0</v>
      </c>
      <c r="Q46" s="36">
        <f t="shared" si="1"/>
        <v>0</v>
      </c>
      <c r="R46" s="37">
        <f t="shared" si="2"/>
        <v>0</v>
      </c>
      <c r="S46" s="37">
        <f>IF(N46&gt;0,((#REF!/100)*($F$17/100)*#REF!*X46)/((1+($F$11/100))^N46),0)</f>
        <v>0</v>
      </c>
      <c r="T46" s="37"/>
      <c r="U46" s="35">
        <f t="shared" si="7"/>
        <v>0</v>
      </c>
      <c r="V46" s="34">
        <f t="shared" si="4"/>
        <v>0</v>
      </c>
      <c r="W46" s="19"/>
      <c r="X46" s="2">
        <f t="shared" si="5"/>
        <v>0</v>
      </c>
      <c r="AA46" s="24">
        <f t="shared" ref="AA46:AA49" si="29">AA45+10</f>
        <v>20</v>
      </c>
      <c r="AB46" s="28">
        <f t="shared" si="26"/>
        <v>10233.599999999997</v>
      </c>
      <c r="AC46" s="30">
        <v>344958.10550307878</v>
      </c>
      <c r="AD46" s="58">
        <f t="shared" si="27"/>
        <v>4.1136316035857501</v>
      </c>
      <c r="AF46" s="24">
        <f t="shared" ref="AF46:AF49" si="30">AF45+10</f>
        <v>20</v>
      </c>
      <c r="AG46" s="29">
        <f t="shared" si="25"/>
        <v>49200</v>
      </c>
      <c r="AH46" s="30">
        <v>378894.41260948183</v>
      </c>
      <c r="AI46" s="58">
        <f t="shared" si="28"/>
        <v>14.356128068219951</v>
      </c>
    </row>
    <row r="47" spans="1:35" x14ac:dyDescent="0.25">
      <c r="A47" s="21" t="s">
        <v>188</v>
      </c>
      <c r="B47" s="59">
        <f>SUM(B31:B32)</f>
        <v>0</v>
      </c>
      <c r="C47" s="1" t="s">
        <v>3</v>
      </c>
      <c r="L47" s="9"/>
      <c r="N47" s="31">
        <f t="shared" si="6"/>
        <v>0</v>
      </c>
      <c r="O47" s="31"/>
      <c r="P47" s="35">
        <f t="shared" si="0"/>
        <v>0</v>
      </c>
      <c r="Q47" s="36">
        <f t="shared" si="1"/>
        <v>0</v>
      </c>
      <c r="R47" s="37">
        <f t="shared" si="2"/>
        <v>0</v>
      </c>
      <c r="S47" s="37">
        <f>IF(N47&gt;0,((#REF!/100)*($F$17/100)*#REF!*X47)/((1+($F$11/100))^N47),0)</f>
        <v>0</v>
      </c>
      <c r="T47" s="37"/>
      <c r="U47" s="35">
        <f t="shared" si="7"/>
        <v>0</v>
      </c>
      <c r="V47" s="34">
        <f t="shared" si="4"/>
        <v>0</v>
      </c>
      <c r="W47" s="19"/>
      <c r="X47" s="2">
        <f t="shared" si="5"/>
        <v>0</v>
      </c>
      <c r="AA47" s="24">
        <f t="shared" si="29"/>
        <v>30</v>
      </c>
      <c r="AB47" s="28">
        <f t="shared" si="26"/>
        <v>11086.399999999998</v>
      </c>
      <c r="AC47" s="30">
        <v>351772.92188617017</v>
      </c>
      <c r="AD47" s="58">
        <f t="shared" si="27"/>
        <v>6.1704474053785985</v>
      </c>
      <c r="AF47" s="24">
        <f t="shared" si="30"/>
        <v>30</v>
      </c>
      <c r="AG47" s="29">
        <f t="shared" si="25"/>
        <v>53300</v>
      </c>
      <c r="AH47" s="30">
        <v>402677.38254577492</v>
      </c>
      <c r="AI47" s="58">
        <f t="shared" si="28"/>
        <v>21.534192102329953</v>
      </c>
    </row>
    <row r="48" spans="1:35" x14ac:dyDescent="0.25">
      <c r="A48" s="21" t="s">
        <v>189</v>
      </c>
      <c r="B48" s="10">
        <f>SUM(B46:B47)</f>
        <v>109086.43086966092</v>
      </c>
      <c r="C48" s="1" t="s">
        <v>3</v>
      </c>
      <c r="L48" s="9"/>
      <c r="N48" s="31">
        <f t="shared" si="6"/>
        <v>0</v>
      </c>
      <c r="O48" s="31"/>
      <c r="P48" s="35">
        <f t="shared" si="0"/>
        <v>0</v>
      </c>
      <c r="Q48" s="36">
        <f t="shared" si="1"/>
        <v>0</v>
      </c>
      <c r="R48" s="37">
        <f t="shared" si="2"/>
        <v>0</v>
      </c>
      <c r="S48" s="37">
        <f>IF(N48&gt;0,((#REF!/100)*($F$17/100)*#REF!*X48)/((1+($F$11/100))^N48),0)</f>
        <v>0</v>
      </c>
      <c r="T48" s="37"/>
      <c r="U48" s="35">
        <f t="shared" si="7"/>
        <v>0</v>
      </c>
      <c r="V48" s="34">
        <f t="shared" si="4"/>
        <v>0</v>
      </c>
      <c r="W48" s="19"/>
      <c r="X48" s="2">
        <f t="shared" si="5"/>
        <v>0</v>
      </c>
      <c r="AA48" s="24">
        <f t="shared" si="29"/>
        <v>40</v>
      </c>
      <c r="AB48" s="28">
        <f t="shared" si="26"/>
        <v>11939.199999999997</v>
      </c>
      <c r="AC48" s="30">
        <v>358587.73826926172</v>
      </c>
      <c r="AD48" s="58">
        <f t="shared" si="27"/>
        <v>8.2272632071715002</v>
      </c>
      <c r="AF48" s="24">
        <f t="shared" si="30"/>
        <v>40</v>
      </c>
      <c r="AG48" s="29">
        <f t="shared" si="25"/>
        <v>57399.999999999993</v>
      </c>
      <c r="AH48" s="30">
        <v>426460.35248206771</v>
      </c>
      <c r="AI48" s="58">
        <f t="shared" si="28"/>
        <v>28.712256136439869</v>
      </c>
    </row>
    <row r="49" spans="1:35" x14ac:dyDescent="0.25">
      <c r="B49" s="18"/>
      <c r="L49" s="9"/>
      <c r="N49" s="32" t="s">
        <v>73</v>
      </c>
      <c r="O49" s="34">
        <f>SUM(O8:O48)</f>
        <v>32725.929260898276</v>
      </c>
      <c r="P49" s="34">
        <f t="shared" ref="P49:T49" si="31">SUM(P8:P48)</f>
        <v>92701.773099709884</v>
      </c>
      <c r="Q49" s="34">
        <f t="shared" si="31"/>
        <v>169681.53553201546</v>
      </c>
      <c r="R49" s="34">
        <f t="shared" si="31"/>
        <v>68298.397890799708</v>
      </c>
      <c r="S49" s="34">
        <f t="shared" si="31"/>
        <v>13.7857466004494</v>
      </c>
      <c r="T49" s="34">
        <f t="shared" si="31"/>
        <v>12.172557728672642</v>
      </c>
      <c r="U49" s="34">
        <f>SUM(U8:U48)</f>
        <v>-32105.121350856578</v>
      </c>
      <c r="V49" s="34">
        <f>SUM(V8:V48)</f>
        <v>331328.47273689584</v>
      </c>
      <c r="W49" s="19"/>
      <c r="X49" s="19"/>
      <c r="AA49" s="24">
        <f t="shared" si="29"/>
        <v>50</v>
      </c>
      <c r="AB49" s="28">
        <f t="shared" si="26"/>
        <v>12791.999999999996</v>
      </c>
      <c r="AC49" s="30">
        <v>365402.55465235317</v>
      </c>
      <c r="AD49" s="58">
        <f t="shared" si="27"/>
        <v>10.284079008964365</v>
      </c>
      <c r="AF49" s="24">
        <f t="shared" si="30"/>
        <v>50</v>
      </c>
      <c r="AG49" s="29">
        <f t="shared" si="25"/>
        <v>61500</v>
      </c>
      <c r="AH49" s="30">
        <v>450243.32241836085</v>
      </c>
      <c r="AI49" s="58">
        <f t="shared" si="28"/>
        <v>35.890320170549892</v>
      </c>
    </row>
    <row r="50" spans="1:35" x14ac:dyDescent="0.25">
      <c r="B50" s="18"/>
      <c r="L50" s="9"/>
      <c r="R50" s="10">
        <f>SUM(R49:T49)</f>
        <v>68324.356195128828</v>
      </c>
      <c r="Y50" s="10"/>
    </row>
    <row r="51" spans="1:35" x14ac:dyDescent="0.25">
      <c r="L51" s="9"/>
      <c r="AA51" s="114" t="s">
        <v>213</v>
      </c>
      <c r="AB51" s="115"/>
      <c r="AC51" s="115"/>
      <c r="AD51" s="115"/>
    </row>
    <row r="52" spans="1:35" x14ac:dyDescent="0.25">
      <c r="A52" s="7"/>
      <c r="L52" s="9"/>
      <c r="AA52" s="115" t="s">
        <v>76</v>
      </c>
      <c r="AB52" s="115" t="s">
        <v>213</v>
      </c>
      <c r="AC52" s="115" t="s">
        <v>72</v>
      </c>
      <c r="AD52" s="115" t="s">
        <v>80</v>
      </c>
    </row>
    <row r="53" spans="1:35" ht="15.75" thickBot="1" x14ac:dyDescent="0.3">
      <c r="A53" s="14"/>
      <c r="B53" s="15"/>
      <c r="C53" s="15"/>
      <c r="D53" s="15"/>
      <c r="E53" s="15"/>
      <c r="F53" s="15"/>
      <c r="G53" s="15"/>
      <c r="H53" s="15"/>
      <c r="I53" s="15"/>
      <c r="J53" s="15"/>
      <c r="K53" s="15"/>
      <c r="L53" s="16"/>
      <c r="O53" s="12" t="s">
        <v>102</v>
      </c>
      <c r="P53" s="12"/>
      <c r="Y53" s="68"/>
      <c r="AA53" s="24" t="s">
        <v>78</v>
      </c>
      <c r="AB53" s="28">
        <v>0.49</v>
      </c>
      <c r="AC53" s="26">
        <f>V49</f>
        <v>331328.47273689584</v>
      </c>
      <c r="AD53" s="24"/>
    </row>
    <row r="54" spans="1:35" x14ac:dyDescent="0.25">
      <c r="N54" s="50"/>
      <c r="O54" s="53" t="s">
        <v>103</v>
      </c>
      <c r="P54" s="54" t="s">
        <v>51</v>
      </c>
      <c r="Q54" s="50"/>
      <c r="R54" s="50"/>
      <c r="S54" s="50"/>
      <c r="T54" s="50"/>
      <c r="U54" s="50"/>
      <c r="Y54" s="68"/>
      <c r="AA54" s="24">
        <f t="shared" ref="AA54:AA57" si="32">AA55-10</f>
        <v>-50</v>
      </c>
      <c r="AB54" s="28">
        <f>$AB$53*(1-(AA54/100))</f>
        <v>0.73499999999999999</v>
      </c>
      <c r="AC54" s="30">
        <f t="dataTable" ref="AC54:AC64" dt2D="0" dtr="0" r1="J9"/>
        <v>416169.24050290359</v>
      </c>
      <c r="AD54" s="58">
        <f>100*((AC54-$AC$59)/$AC$59)</f>
        <v>25.60624116158554</v>
      </c>
    </row>
    <row r="55" spans="1:35" x14ac:dyDescent="0.25">
      <c r="O55" s="1" t="s">
        <v>104</v>
      </c>
      <c r="P55" s="10">
        <f>SUM(O49:P49)</f>
        <v>125427.70236060816</v>
      </c>
      <c r="Q55" s="1" t="s">
        <v>3</v>
      </c>
      <c r="R55" s="56">
        <f>P55/$F$41</f>
        <v>0.305921225269776</v>
      </c>
      <c r="S55" s="1" t="s">
        <v>57</v>
      </c>
      <c r="Y55" s="68"/>
      <c r="AA55" s="24">
        <f t="shared" si="32"/>
        <v>-40</v>
      </c>
      <c r="AB55" s="28">
        <f t="shared" ref="AB55:AB58" si="33">$AB$53*(1-(AA55/100))</f>
        <v>0.68599999999999994</v>
      </c>
      <c r="AC55" s="30">
        <v>399201.08694970206</v>
      </c>
      <c r="AD55" s="58">
        <f t="shared" ref="AD55:AD64" si="34">100*((AC55-$AC$59)/$AC$59)</f>
        <v>20.48499292926844</v>
      </c>
    </row>
    <row r="56" spans="1:35" x14ac:dyDescent="0.25">
      <c r="O56" s="1" t="s">
        <v>97</v>
      </c>
      <c r="P56" s="52">
        <f>SUM(Q49:Q49)</f>
        <v>169681.53553201546</v>
      </c>
      <c r="Q56" s="1" t="s">
        <v>3</v>
      </c>
      <c r="R56" s="56">
        <f>P56/$F$41</f>
        <v>0.41385740373662311</v>
      </c>
      <c r="S56" s="1" t="s">
        <v>57</v>
      </c>
      <c r="U56" s="51"/>
      <c r="Y56" s="68"/>
      <c r="AA56" s="24">
        <f t="shared" si="32"/>
        <v>-30</v>
      </c>
      <c r="AB56" s="28">
        <f t="shared" si="33"/>
        <v>0.63700000000000001</v>
      </c>
      <c r="AC56" s="30">
        <v>382232.93339650054</v>
      </c>
      <c r="AD56" s="58">
        <f t="shared" si="34"/>
        <v>15.363744696951336</v>
      </c>
    </row>
    <row r="57" spans="1:35" x14ac:dyDescent="0.25">
      <c r="O57" s="1" t="s">
        <v>115</v>
      </c>
      <c r="P57" s="52">
        <f>SUM(R49:S49)</f>
        <v>68312.183637400158</v>
      </c>
      <c r="Q57" s="1" t="s">
        <v>3</v>
      </c>
      <c r="R57" s="56">
        <f>P57/$F$41</f>
        <v>0.16661508204243941</v>
      </c>
      <c r="S57" s="1" t="s">
        <v>57</v>
      </c>
      <c r="U57" s="51"/>
      <c r="Y57" s="68"/>
      <c r="AA57" s="24">
        <f t="shared" si="32"/>
        <v>-20</v>
      </c>
      <c r="AB57" s="28">
        <f t="shared" si="33"/>
        <v>0.58799999999999997</v>
      </c>
      <c r="AC57" s="30">
        <v>365264.77984329895</v>
      </c>
      <c r="AD57" s="58">
        <f t="shared" si="34"/>
        <v>10.24249646463422</v>
      </c>
    </row>
    <row r="58" spans="1:35" x14ac:dyDescent="0.25">
      <c r="O58" s="1" t="s">
        <v>106</v>
      </c>
      <c r="P58" s="52">
        <f>U49</f>
        <v>-32105.121350856578</v>
      </c>
      <c r="Q58" s="1" t="s">
        <v>3</v>
      </c>
      <c r="R58" s="56">
        <f>P58/$F$41</f>
        <v>-7.8305174026479463E-2</v>
      </c>
      <c r="S58" s="1" t="s">
        <v>57</v>
      </c>
      <c r="U58" s="51"/>
      <c r="Y58" s="68"/>
      <c r="AA58" s="24">
        <f>AA59-10</f>
        <v>-10</v>
      </c>
      <c r="AB58" s="28">
        <f t="shared" si="33"/>
        <v>0.53900000000000003</v>
      </c>
      <c r="AC58" s="30">
        <v>348296.62629009731</v>
      </c>
      <c r="AD58" s="58">
        <f t="shared" si="34"/>
        <v>5.1212482323170834</v>
      </c>
    </row>
    <row r="59" spans="1:35" x14ac:dyDescent="0.25">
      <c r="U59" s="51"/>
      <c r="Y59" s="68"/>
      <c r="AA59" s="60">
        <v>0</v>
      </c>
      <c r="AB59" s="64">
        <f t="shared" ref="AB59" si="35">$AB$53*(1+(AA59/100))</f>
        <v>0.49</v>
      </c>
      <c r="AC59" s="62">
        <v>331328.47273689584</v>
      </c>
      <c r="AD59" s="63">
        <f t="shared" si="34"/>
        <v>0</v>
      </c>
    </row>
    <row r="60" spans="1:35" x14ac:dyDescent="0.25">
      <c r="O60" s="12" t="s">
        <v>74</v>
      </c>
      <c r="P60" s="55">
        <f>SUM(P55:P58)</f>
        <v>331316.30017916724</v>
      </c>
      <c r="Q60" s="12" t="s">
        <v>3</v>
      </c>
      <c r="R60" s="57">
        <f>SUM(R55:R58)</f>
        <v>0.80808853702235894</v>
      </c>
      <c r="S60" s="12" t="s">
        <v>57</v>
      </c>
      <c r="T60" s="12"/>
      <c r="U60" s="51"/>
      <c r="Y60" s="68"/>
      <c r="AA60" s="24">
        <f>AA59+10</f>
        <v>10</v>
      </c>
      <c r="AB60" s="28">
        <f t="shared" ref="AB60:AB64" si="36">$AB$53*(1-(AA60/100))</f>
        <v>0.441</v>
      </c>
      <c r="AC60" s="30">
        <v>314360.31918369432</v>
      </c>
      <c r="AD60" s="58">
        <f t="shared" si="34"/>
        <v>-5.1212482323171011</v>
      </c>
    </row>
    <row r="61" spans="1:35" x14ac:dyDescent="0.25">
      <c r="S61" s="51"/>
      <c r="T61" s="51"/>
      <c r="U61" s="51"/>
      <c r="Y61" s="68"/>
      <c r="AA61" s="24">
        <f t="shared" ref="AA61:AA64" si="37">AA60+10</f>
        <v>20</v>
      </c>
      <c r="AB61" s="28">
        <f t="shared" si="36"/>
        <v>0.39200000000000002</v>
      </c>
      <c r="AC61" s="30">
        <v>297392.16563049279</v>
      </c>
      <c r="AD61" s="58">
        <f t="shared" si="34"/>
        <v>-10.242496464634202</v>
      </c>
    </row>
    <row r="62" spans="1:35" x14ac:dyDescent="0.25">
      <c r="P62" s="51"/>
      <c r="Q62" s="51"/>
      <c r="R62" s="51"/>
      <c r="S62" s="51"/>
      <c r="T62" s="51"/>
      <c r="U62" s="51"/>
      <c r="Y62" s="68"/>
      <c r="AA62" s="24">
        <f t="shared" si="37"/>
        <v>30</v>
      </c>
      <c r="AB62" s="28">
        <f t="shared" si="36"/>
        <v>0.34299999999999997</v>
      </c>
      <c r="AC62" s="30">
        <v>280424.01207729126</v>
      </c>
      <c r="AD62" s="58">
        <f t="shared" si="34"/>
        <v>-15.363744696951304</v>
      </c>
    </row>
    <row r="63" spans="1:35" x14ac:dyDescent="0.25">
      <c r="P63" s="51"/>
      <c r="Q63" s="51"/>
      <c r="R63" s="51"/>
      <c r="S63" s="51"/>
      <c r="T63" s="51"/>
      <c r="U63" s="51"/>
      <c r="Y63" s="68"/>
      <c r="AA63" s="24">
        <f t="shared" si="37"/>
        <v>40</v>
      </c>
      <c r="AB63" s="28">
        <f t="shared" si="36"/>
        <v>0.29399999999999998</v>
      </c>
      <c r="AC63" s="30">
        <v>263455.85852408962</v>
      </c>
      <c r="AD63" s="58">
        <f t="shared" si="34"/>
        <v>-20.48499292926844</v>
      </c>
    </row>
    <row r="64" spans="1:35" x14ac:dyDescent="0.25">
      <c r="P64" s="51"/>
      <c r="Q64" s="51"/>
      <c r="R64" s="51"/>
      <c r="S64" s="51"/>
      <c r="T64" s="51"/>
      <c r="U64" s="51"/>
      <c r="Y64" s="68"/>
      <c r="AA64" s="24">
        <f t="shared" si="37"/>
        <v>50</v>
      </c>
      <c r="AB64" s="28">
        <f t="shared" si="36"/>
        <v>0.245</v>
      </c>
      <c r="AC64" s="30">
        <v>246487.70497088809</v>
      </c>
      <c r="AD64" s="58">
        <f t="shared" si="34"/>
        <v>-25.60624116158554</v>
      </c>
    </row>
    <row r="65" spans="16:25" x14ac:dyDescent="0.25">
      <c r="P65" s="51"/>
      <c r="Q65" s="51"/>
      <c r="R65" s="51"/>
      <c r="S65" s="51"/>
      <c r="T65" s="51"/>
      <c r="U65" s="51"/>
      <c r="Y65" s="68"/>
    </row>
    <row r="66" spans="16:25" x14ac:dyDescent="0.25">
      <c r="P66" s="51"/>
      <c r="Q66" s="51"/>
      <c r="R66" s="51"/>
      <c r="S66" s="51"/>
      <c r="T66" s="51"/>
      <c r="U66" s="51"/>
      <c r="Y66" s="68"/>
    </row>
    <row r="67" spans="16:25" x14ac:dyDescent="0.25">
      <c r="P67" s="51"/>
      <c r="Q67" s="51"/>
      <c r="R67" s="51"/>
      <c r="S67" s="51"/>
      <c r="T67" s="51"/>
      <c r="U67" s="51"/>
      <c r="Y67" s="68"/>
    </row>
    <row r="68" spans="16:25" x14ac:dyDescent="0.25">
      <c r="P68" s="51"/>
      <c r="Q68" s="51"/>
      <c r="R68" s="51"/>
      <c r="S68" s="51"/>
      <c r="T68" s="51"/>
      <c r="U68" s="51"/>
    </row>
    <row r="69" spans="16:25" x14ac:dyDescent="0.25">
      <c r="P69" s="51"/>
      <c r="Q69" s="51"/>
      <c r="R69" s="51"/>
      <c r="S69" s="51"/>
      <c r="T69" s="51"/>
      <c r="U69" s="51"/>
    </row>
    <row r="70" spans="16:25" x14ac:dyDescent="0.25">
      <c r="P70" s="51"/>
      <c r="Q70" s="51"/>
      <c r="R70" s="51"/>
      <c r="S70" s="51"/>
      <c r="T70" s="51"/>
      <c r="U70" s="51"/>
    </row>
    <row r="71" spans="16:25" x14ac:dyDescent="0.25">
      <c r="P71" s="51"/>
      <c r="Q71" s="51"/>
      <c r="R71" s="51"/>
      <c r="S71" s="51"/>
      <c r="T71" s="51"/>
      <c r="U71" s="51"/>
    </row>
    <row r="72" spans="16:25" x14ac:dyDescent="0.25">
      <c r="P72" s="51"/>
      <c r="Q72" s="51"/>
      <c r="R72" s="51"/>
      <c r="S72" s="51"/>
      <c r="T72" s="51"/>
      <c r="U72" s="51"/>
    </row>
    <row r="73" spans="16:25" x14ac:dyDescent="0.25">
      <c r="P73" s="51"/>
      <c r="Q73" s="51"/>
      <c r="R73" s="51"/>
      <c r="S73" s="51"/>
      <c r="T73" s="51"/>
      <c r="U73" s="51"/>
    </row>
    <row r="74" spans="16:25" x14ac:dyDescent="0.25">
      <c r="P74" s="51"/>
      <c r="Q74" s="51"/>
      <c r="R74" s="51"/>
      <c r="S74" s="51"/>
      <c r="T74" s="51"/>
      <c r="U74" s="51"/>
    </row>
    <row r="75" spans="16:25" x14ac:dyDescent="0.25">
      <c r="P75" s="51"/>
      <c r="Q75" s="51"/>
      <c r="R75" s="51"/>
      <c r="S75" s="51"/>
      <c r="T75" s="51"/>
      <c r="U75" s="51"/>
    </row>
    <row r="76" spans="16:25" x14ac:dyDescent="0.25">
      <c r="P76" s="51"/>
      <c r="Q76" s="51"/>
      <c r="R76" s="51"/>
      <c r="S76" s="51"/>
      <c r="T76" s="51"/>
      <c r="U76" s="51"/>
    </row>
    <row r="77" spans="16:25" x14ac:dyDescent="0.25">
      <c r="P77" s="51"/>
      <c r="Q77" s="51"/>
      <c r="R77" s="51"/>
      <c r="S77" s="51"/>
      <c r="T77" s="51"/>
      <c r="U77" s="51"/>
    </row>
    <row r="78" spans="16:25" x14ac:dyDescent="0.25">
      <c r="P78" s="51"/>
      <c r="Q78" s="51"/>
      <c r="R78" s="51"/>
      <c r="S78" s="51"/>
      <c r="T78" s="51"/>
      <c r="U78" s="51"/>
    </row>
    <row r="79" spans="16:25" x14ac:dyDescent="0.25">
      <c r="P79" s="51"/>
      <c r="Q79" s="51"/>
      <c r="R79" s="51"/>
      <c r="S79" s="51"/>
      <c r="T79" s="51"/>
      <c r="U79" s="51"/>
    </row>
    <row r="80" spans="16:25" x14ac:dyDescent="0.25">
      <c r="P80" s="51"/>
      <c r="Q80" s="51"/>
      <c r="R80" s="51"/>
      <c r="S80" s="51"/>
      <c r="T80" s="51"/>
      <c r="U80" s="51"/>
    </row>
    <row r="81" spans="16:21" x14ac:dyDescent="0.25">
      <c r="P81" s="51"/>
      <c r="Q81" s="51"/>
      <c r="R81" s="51"/>
      <c r="S81" s="51"/>
      <c r="T81" s="51"/>
      <c r="U81" s="51"/>
    </row>
    <row r="82" spans="16:21" x14ac:dyDescent="0.25">
      <c r="P82" s="51"/>
      <c r="Q82" s="51"/>
      <c r="R82" s="51"/>
      <c r="S82" s="51"/>
      <c r="T82" s="51"/>
      <c r="U82" s="51"/>
    </row>
    <row r="83" spans="16:21" x14ac:dyDescent="0.25">
      <c r="P83" s="51"/>
      <c r="Q83" s="51"/>
      <c r="R83" s="51"/>
      <c r="S83" s="51"/>
      <c r="T83" s="51"/>
      <c r="U83" s="51"/>
    </row>
    <row r="84" spans="16:21" x14ac:dyDescent="0.25">
      <c r="P84" s="51"/>
      <c r="Q84" s="51"/>
      <c r="R84" s="51"/>
      <c r="S84" s="51"/>
      <c r="T84" s="51"/>
      <c r="U84" s="51"/>
    </row>
    <row r="85" spans="16:21" x14ac:dyDescent="0.25">
      <c r="P85" s="51"/>
      <c r="Q85" s="51"/>
      <c r="R85" s="51"/>
      <c r="S85" s="51"/>
      <c r="T85" s="51"/>
      <c r="U85" s="51"/>
    </row>
    <row r="86" spans="16:21" x14ac:dyDescent="0.25">
      <c r="P86" s="51"/>
      <c r="Q86" s="51"/>
      <c r="R86" s="51"/>
      <c r="S86" s="51"/>
      <c r="T86" s="51"/>
      <c r="U86" s="51"/>
    </row>
    <row r="87" spans="16:21" x14ac:dyDescent="0.25">
      <c r="P87" s="51"/>
      <c r="Q87" s="51"/>
      <c r="R87" s="51"/>
      <c r="S87" s="51"/>
      <c r="T87" s="51"/>
      <c r="U87" s="51"/>
    </row>
    <row r="88" spans="16:21" x14ac:dyDescent="0.25">
      <c r="P88" s="51"/>
      <c r="Q88" s="51"/>
      <c r="R88" s="51"/>
      <c r="S88" s="51"/>
      <c r="T88" s="51"/>
      <c r="U88" s="51"/>
    </row>
    <row r="89" spans="16:21" x14ac:dyDescent="0.25">
      <c r="P89" s="51"/>
      <c r="Q89" s="51"/>
      <c r="R89" s="51"/>
      <c r="S89" s="51"/>
      <c r="T89" s="51"/>
      <c r="U89" s="51"/>
    </row>
    <row r="90" spans="16:21" x14ac:dyDescent="0.25">
      <c r="P90" s="51"/>
      <c r="Q90" s="51"/>
      <c r="R90" s="51"/>
      <c r="S90" s="51"/>
      <c r="T90" s="51"/>
      <c r="U90" s="51"/>
    </row>
    <row r="91" spans="16:21" x14ac:dyDescent="0.25">
      <c r="P91" s="51"/>
      <c r="Q91" s="51"/>
      <c r="R91" s="51"/>
      <c r="S91" s="51"/>
      <c r="T91" s="51"/>
      <c r="U91" s="51"/>
    </row>
    <row r="92" spans="16:21" x14ac:dyDescent="0.25">
      <c r="P92" s="51"/>
      <c r="Q92" s="51"/>
      <c r="R92" s="51"/>
      <c r="S92" s="51"/>
      <c r="T92" s="51"/>
      <c r="U92" s="51"/>
    </row>
    <row r="93" spans="16:21" x14ac:dyDescent="0.25">
      <c r="P93" s="51"/>
      <c r="Q93" s="51"/>
      <c r="R93" s="51"/>
      <c r="S93" s="51"/>
      <c r="T93" s="51"/>
      <c r="U93" s="51"/>
    </row>
    <row r="94" spans="16:21" x14ac:dyDescent="0.25">
      <c r="P94" s="51"/>
      <c r="Q94" s="51"/>
      <c r="R94" s="51"/>
      <c r="S94" s="51"/>
      <c r="T94" s="51"/>
      <c r="U94" s="51"/>
    </row>
    <row r="95" spans="16:21" x14ac:dyDescent="0.25">
      <c r="P95" s="51"/>
      <c r="Q95" s="51"/>
      <c r="R95" s="51"/>
      <c r="S95" s="51"/>
      <c r="T95" s="51"/>
      <c r="U95" s="51"/>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0AFAA-AF06-4215-9287-3D425D8EC11E}">
  <sheetPr>
    <tabColor theme="7"/>
  </sheetPr>
  <dimension ref="A1:AX95"/>
  <sheetViews>
    <sheetView topLeftCell="R41" zoomScale="55" zoomScaleNormal="55" workbookViewId="0">
      <selection activeCell="AB75" sqref="AB75:AB79"/>
    </sheetView>
  </sheetViews>
  <sheetFormatPr defaultColWidth="8.85546875" defaultRowHeight="15" x14ac:dyDescent="0.25"/>
  <cols>
    <col min="1" max="1" width="52.7109375" style="1" bestFit="1" customWidth="1"/>
    <col min="2" max="2" width="20.42578125" style="1" customWidth="1"/>
    <col min="3" max="3" width="16.28515625" style="1" bestFit="1" customWidth="1"/>
    <col min="4" max="4" width="8.85546875" style="1" customWidth="1"/>
    <col min="5" max="5" width="48" style="1" customWidth="1"/>
    <col min="6" max="6" width="17" style="1" customWidth="1"/>
    <col min="7" max="7" width="17.42578125" style="1" customWidth="1"/>
    <col min="8" max="8" width="19.28515625" style="1" customWidth="1"/>
    <col min="9" max="9" width="37.85546875" style="1" customWidth="1"/>
    <col min="10" max="10" width="17.7109375" style="1" customWidth="1"/>
    <col min="11" max="14" width="8.85546875" style="1" customWidth="1"/>
    <col min="15" max="15" width="20" style="1" customWidth="1"/>
    <col min="16" max="16" width="16.28515625" style="1" customWidth="1"/>
    <col min="17" max="17" width="25.28515625" style="1" customWidth="1"/>
    <col min="18" max="18" width="33.7109375" style="1" customWidth="1"/>
    <col min="19" max="19" width="16.5703125" style="1" bestFit="1" customWidth="1"/>
    <col min="20" max="20" width="11.140625" style="1" customWidth="1"/>
    <col min="21" max="23" width="31.28515625" style="1" customWidth="1"/>
    <col min="24" max="24" width="23.85546875" style="1" customWidth="1"/>
    <col min="25" max="25" width="13.42578125" style="1" bestFit="1" customWidth="1"/>
    <col min="26" max="26" width="13.42578125" style="1" customWidth="1"/>
    <col min="27" max="27" width="20.140625" style="1" bestFit="1" customWidth="1"/>
    <col min="28" max="28" width="19.28515625" style="1" bestFit="1" customWidth="1"/>
    <col min="29" max="29" width="12.85546875" style="1" customWidth="1"/>
    <col min="30" max="30" width="19" style="1" customWidth="1"/>
    <col min="31" max="31" width="4.7109375" style="1" customWidth="1"/>
    <col min="32" max="32" width="20.140625" style="1" bestFit="1" customWidth="1"/>
    <col min="33" max="33" width="19.28515625" style="1" bestFit="1" customWidth="1"/>
    <col min="34" max="34" width="11.28515625" style="1" bestFit="1" customWidth="1"/>
    <col min="35" max="35" width="17.85546875" style="1" bestFit="1" customWidth="1"/>
    <col min="36" max="37" width="8.85546875" style="1"/>
    <col min="38" max="38" width="17.5703125" style="1" bestFit="1" customWidth="1"/>
    <col min="39" max="39" width="9.7109375" style="1" bestFit="1" customWidth="1"/>
    <col min="40" max="40" width="15.5703125" style="1" bestFit="1" customWidth="1"/>
    <col min="41" max="41" width="8.85546875" style="1"/>
    <col min="42" max="43" width="12.7109375" style="1" bestFit="1" customWidth="1"/>
    <col min="44" max="16384" width="8.85546875" style="1"/>
  </cols>
  <sheetData>
    <row r="1" spans="1:31" x14ac:dyDescent="0.25">
      <c r="A1" s="12" t="s">
        <v>1</v>
      </c>
      <c r="B1" s="12" t="s">
        <v>149</v>
      </c>
      <c r="C1" s="12"/>
    </row>
    <row r="2" spans="1:31" x14ac:dyDescent="0.25">
      <c r="A2" s="12" t="s">
        <v>74</v>
      </c>
      <c r="B2" s="19">
        <f>Y49</f>
        <v>77926.452816000645</v>
      </c>
      <c r="C2" s="12" t="s">
        <v>3</v>
      </c>
    </row>
    <row r="3" spans="1:31" x14ac:dyDescent="0.25">
      <c r="B3" s="44">
        <f>B2/J34</f>
        <v>0.24352016505000201</v>
      </c>
      <c r="C3" s="12" t="s">
        <v>57</v>
      </c>
      <c r="G3" s="94"/>
    </row>
    <row r="4" spans="1:31" x14ac:dyDescent="0.25">
      <c r="A4" s="12" t="s">
        <v>59</v>
      </c>
      <c r="G4" s="46"/>
      <c r="J4" s="95"/>
      <c r="N4" s="12" t="s">
        <v>79</v>
      </c>
      <c r="AA4" s="12" t="s">
        <v>75</v>
      </c>
    </row>
    <row r="5" spans="1:31" x14ac:dyDescent="0.25">
      <c r="A5" s="1" t="s">
        <v>36</v>
      </c>
      <c r="B5" s="2">
        <v>10</v>
      </c>
      <c r="C5" s="1" t="s">
        <v>37</v>
      </c>
      <c r="G5" s="46"/>
      <c r="J5" s="77"/>
    </row>
    <row r="6" spans="1:31" ht="15.75" thickBot="1" x14ac:dyDescent="0.3">
      <c r="B6" s="2"/>
      <c r="N6" s="1" t="s">
        <v>100</v>
      </c>
    </row>
    <row r="7" spans="1:31" x14ac:dyDescent="0.25">
      <c r="A7" s="3" t="s">
        <v>24</v>
      </c>
      <c r="B7" s="4"/>
      <c r="C7" s="4"/>
      <c r="D7" s="4"/>
      <c r="E7" s="4"/>
      <c r="F7" s="4"/>
      <c r="G7" s="4"/>
      <c r="H7" s="6"/>
      <c r="I7" s="5" t="s">
        <v>43</v>
      </c>
      <c r="J7" s="4"/>
      <c r="K7" s="4"/>
      <c r="L7" s="6"/>
      <c r="N7" s="31" t="s">
        <v>61</v>
      </c>
      <c r="O7" s="31" t="s">
        <v>65</v>
      </c>
      <c r="P7" s="31" t="s">
        <v>67</v>
      </c>
      <c r="Q7" s="31" t="s">
        <v>120</v>
      </c>
      <c r="R7" s="31" t="s">
        <v>121</v>
      </c>
      <c r="S7" s="31" t="s">
        <v>123</v>
      </c>
      <c r="T7" s="31" t="s">
        <v>70</v>
      </c>
      <c r="U7" s="31" t="s">
        <v>87</v>
      </c>
      <c r="V7" s="31" t="s">
        <v>165</v>
      </c>
      <c r="W7" s="31" t="s">
        <v>99</v>
      </c>
      <c r="X7" s="31" t="s">
        <v>101</v>
      </c>
      <c r="Y7" s="32" t="s">
        <v>72</v>
      </c>
      <c r="Z7" s="12"/>
      <c r="AA7" s="39" t="s">
        <v>113</v>
      </c>
      <c r="AB7" s="39"/>
      <c r="AC7" s="39"/>
    </row>
    <row r="8" spans="1:31" x14ac:dyDescent="0.25">
      <c r="A8" s="7" t="s">
        <v>0</v>
      </c>
      <c r="B8" s="81">
        <v>21276.42</v>
      </c>
      <c r="C8" s="1" t="s">
        <v>151</v>
      </c>
      <c r="H8" s="9"/>
      <c r="I8" s="22" t="s">
        <v>190</v>
      </c>
      <c r="J8" s="8">
        <v>905963690.3225807</v>
      </c>
      <c r="K8" s="1" t="s">
        <v>150</v>
      </c>
      <c r="L8" s="9"/>
      <c r="N8" s="31">
        <v>0</v>
      </c>
      <c r="O8" s="33">
        <f>F31</f>
        <v>16403.131035091825</v>
      </c>
      <c r="P8" s="31"/>
      <c r="Q8" s="31"/>
      <c r="R8" s="31"/>
      <c r="S8" s="31"/>
      <c r="T8" s="31"/>
      <c r="U8" s="31"/>
      <c r="V8" s="37">
        <f>F16/B8</f>
        <v>4.9350407634367066</v>
      </c>
      <c r="W8" s="31"/>
      <c r="X8" s="31"/>
      <c r="Y8" s="34">
        <f t="shared" ref="Y8:Y48" si="0">SUM(O8:X8)</f>
        <v>16408.066075855262</v>
      </c>
      <c r="Z8" s="19"/>
      <c r="AA8" s="39" t="s">
        <v>32</v>
      </c>
      <c r="AB8" s="72">
        <f>F36</f>
        <v>4.6248382011635419E-2</v>
      </c>
      <c r="AC8" s="39" t="s">
        <v>9</v>
      </c>
    </row>
    <row r="9" spans="1:31" x14ac:dyDescent="0.25">
      <c r="A9" s="7"/>
      <c r="F9" s="20"/>
      <c r="H9" s="9"/>
      <c r="I9" s="22" t="s">
        <v>10</v>
      </c>
      <c r="J9" s="13">
        <v>105</v>
      </c>
      <c r="K9" s="1" t="s">
        <v>9</v>
      </c>
      <c r="L9" s="9"/>
      <c r="N9" s="31">
        <v>1</v>
      </c>
      <c r="O9" s="31"/>
      <c r="P9" s="35">
        <f t="shared" ref="P9:P48" si="1">IF(N9&gt;0,IF(N9&lt;=$J$20,(($F$32+$F$33)/$J$20)/((1+($F$11/100))^N9),0),0)</f>
        <v>10091.411710626962</v>
      </c>
      <c r="Q9" s="36">
        <f>IF(N9&gt;0,($F$41*((1+($F$14/100))^(N9-1)))/((1+($F$11/100))^N9),0)</f>
        <v>269.5974713621701</v>
      </c>
      <c r="R9" s="37">
        <f t="shared" ref="R9:R48" si="2">IF(N9&gt;0,$F$40/((1+($F$11/100))^N9),0)</f>
        <v>0</v>
      </c>
      <c r="S9" s="37">
        <f t="shared" ref="S9:S48" si="3">IF(N9&gt;0,$J$37/((1+($F$11/100))^N9),0)</f>
        <v>1845.575302745385</v>
      </c>
      <c r="T9" s="37">
        <f>IF(N9&gt;0,$J$44/((1+($F$11/100))^N9),0)</f>
        <v>0</v>
      </c>
      <c r="U9" s="37">
        <f t="shared" ref="U9:U48" si="4">IF(AND(MOD(N9,$J$31)=0,N9&gt;0),$B$44/((1+($F$11/100))^N9),0)</f>
        <v>0</v>
      </c>
      <c r="V9" s="37">
        <v>0</v>
      </c>
      <c r="W9" s="37">
        <f t="shared" ref="W9:W48" si="5">IF(N9&gt;0,$J$32/((1+($F$11/100))^N9),0)</f>
        <v>0</v>
      </c>
      <c r="X9" s="35">
        <f t="shared" ref="X9:X48" si="6">IF(N9=$B$5,((((1-$J$15/100)^N9)*$B$45+((1-$J$16/100)^N9)*$B$46)/((1+($F$11/100))^N9))*-1,0)</f>
        <v>0</v>
      </c>
      <c r="Y9" s="34">
        <f t="shared" si="0"/>
        <v>12206.584484734518</v>
      </c>
      <c r="Z9" s="19"/>
      <c r="AA9" s="39" t="s">
        <v>38</v>
      </c>
      <c r="AB9" s="40">
        <f>B46</f>
        <v>8505</v>
      </c>
      <c r="AC9" s="39" t="s">
        <v>3</v>
      </c>
      <c r="AE9" s="2"/>
    </row>
    <row r="10" spans="1:31" x14ac:dyDescent="0.25">
      <c r="A10" s="11" t="s">
        <v>42</v>
      </c>
      <c r="E10" s="12" t="s">
        <v>45</v>
      </c>
      <c r="H10" s="9"/>
      <c r="I10" s="22" t="s">
        <v>28</v>
      </c>
      <c r="J10" s="8">
        <v>81</v>
      </c>
      <c r="K10" s="1" t="s">
        <v>29</v>
      </c>
      <c r="L10" s="9"/>
      <c r="N10" s="31">
        <f>IF((N9+1)&gt;$B$5,,IF(N9=0,,N9+1))</f>
        <v>2</v>
      </c>
      <c r="O10" s="31"/>
      <c r="P10" s="35">
        <f t="shared" si="1"/>
        <v>9675.3707676193317</v>
      </c>
      <c r="Q10" s="36">
        <f t="shared" ref="Q10:Q48" si="7">IF(N10&gt;0,($F$41*((1+($F$14/100))^(N10-1)))/((1+($F$11/100))^N10),0)</f>
        <v>261.06754177928264</v>
      </c>
      <c r="R10" s="37">
        <f t="shared" si="2"/>
        <v>0</v>
      </c>
      <c r="S10" s="37">
        <f t="shared" si="3"/>
        <v>1769.4873468316252</v>
      </c>
      <c r="T10" s="37">
        <f t="shared" ref="T10:T48" si="8">IF(N10&gt;0,$J$44/((1+($F$11/100))^N10),0)</f>
        <v>0</v>
      </c>
      <c r="U10" s="37">
        <f t="shared" si="4"/>
        <v>0</v>
      </c>
      <c r="V10" s="37">
        <v>0</v>
      </c>
      <c r="W10" s="37">
        <f t="shared" si="5"/>
        <v>0</v>
      </c>
      <c r="X10" s="35">
        <f t="shared" si="6"/>
        <v>0</v>
      </c>
      <c r="Y10" s="34">
        <f t="shared" si="0"/>
        <v>11705.92565623024</v>
      </c>
      <c r="Z10" s="19"/>
      <c r="AA10" s="39" t="s">
        <v>189</v>
      </c>
      <c r="AB10" s="73">
        <f>B51</f>
        <v>54677.10345030608</v>
      </c>
      <c r="AC10" s="39" t="s">
        <v>3</v>
      </c>
      <c r="AE10" s="2"/>
    </row>
    <row r="11" spans="1:31" x14ac:dyDescent="0.25">
      <c r="A11" s="21" t="s">
        <v>187</v>
      </c>
      <c r="B11" s="1">
        <v>0</v>
      </c>
      <c r="C11" s="1" t="s">
        <v>4</v>
      </c>
      <c r="E11" s="22" t="s">
        <v>46</v>
      </c>
      <c r="F11" s="1">
        <v>4.3</v>
      </c>
      <c r="G11" s="1" t="s">
        <v>4</v>
      </c>
      <c r="H11" s="9"/>
      <c r="I11" s="22" t="s">
        <v>25</v>
      </c>
      <c r="J11" s="8">
        <v>900</v>
      </c>
      <c r="K11" s="105" t="s">
        <v>26</v>
      </c>
      <c r="L11" s="9"/>
      <c r="N11" s="31">
        <f t="shared" ref="N11:N48" si="9">IF((N10+1)&gt;$B$5,,IF(N10=0,,N10+1))</f>
        <v>3</v>
      </c>
      <c r="O11" s="31"/>
      <c r="P11" s="35">
        <f t="shared" si="1"/>
        <v>9276.4820399034834</v>
      </c>
      <c r="Q11" s="36">
        <f t="shared" si="7"/>
        <v>252.8074949157004</v>
      </c>
      <c r="R11" s="37">
        <f t="shared" si="2"/>
        <v>0</v>
      </c>
      <c r="S11" s="37">
        <f t="shared" si="3"/>
        <v>1696.5362865116258</v>
      </c>
      <c r="T11" s="37">
        <f t="shared" si="8"/>
        <v>0</v>
      </c>
      <c r="U11" s="37">
        <f t="shared" si="4"/>
        <v>0</v>
      </c>
      <c r="V11" s="37">
        <v>0</v>
      </c>
      <c r="W11" s="37">
        <f t="shared" si="5"/>
        <v>0</v>
      </c>
      <c r="X11" s="35">
        <f t="shared" si="6"/>
        <v>0</v>
      </c>
      <c r="Y11" s="34">
        <f t="shared" si="0"/>
        <v>11225.825821330809</v>
      </c>
      <c r="Z11" s="19"/>
      <c r="AA11" s="39" t="s">
        <v>111</v>
      </c>
      <c r="AB11" s="74">
        <f>F12</f>
        <v>32000</v>
      </c>
      <c r="AC11" s="39" t="s">
        <v>35</v>
      </c>
      <c r="AE11" s="2"/>
    </row>
    <row r="12" spans="1:31" x14ac:dyDescent="0.25">
      <c r="A12" s="21" t="s">
        <v>5</v>
      </c>
      <c r="B12" s="1">
        <v>0</v>
      </c>
      <c r="C12" s="1" t="s">
        <v>4</v>
      </c>
      <c r="E12" s="22" t="s">
        <v>89</v>
      </c>
      <c r="F12" s="8">
        <v>32000</v>
      </c>
      <c r="G12" s="1" t="s">
        <v>35</v>
      </c>
      <c r="H12" s="9"/>
      <c r="I12" s="38" t="s">
        <v>30</v>
      </c>
      <c r="J12" s="42">
        <v>200</v>
      </c>
      <c r="K12" s="39" t="s">
        <v>31</v>
      </c>
      <c r="L12" s="9"/>
      <c r="N12" s="31">
        <f t="shared" si="9"/>
        <v>4</v>
      </c>
      <c r="O12" s="31"/>
      <c r="P12" s="35">
        <f t="shared" si="1"/>
        <v>8894.0383891692072</v>
      </c>
      <c r="Q12" s="36">
        <f t="shared" si="7"/>
        <v>244.80879181673765</v>
      </c>
      <c r="R12" s="37">
        <f t="shared" si="2"/>
        <v>0</v>
      </c>
      <c r="S12" s="37">
        <f t="shared" si="3"/>
        <v>1626.5927962719327</v>
      </c>
      <c r="T12" s="37">
        <f t="shared" si="8"/>
        <v>0</v>
      </c>
      <c r="U12" s="37">
        <f t="shared" si="4"/>
        <v>0</v>
      </c>
      <c r="V12" s="37">
        <v>0</v>
      </c>
      <c r="W12" s="37">
        <f t="shared" si="5"/>
        <v>0</v>
      </c>
      <c r="X12" s="35">
        <f t="shared" si="6"/>
        <v>0</v>
      </c>
      <c r="Y12" s="34">
        <f t="shared" si="0"/>
        <v>10765.439977257878</v>
      </c>
      <c r="Z12" s="19"/>
      <c r="AA12" s="79" t="s">
        <v>66</v>
      </c>
      <c r="AB12" s="73">
        <f>J41</f>
        <v>1919.9999999999998</v>
      </c>
      <c r="AC12" s="39" t="s">
        <v>44</v>
      </c>
      <c r="AE12" s="2"/>
    </row>
    <row r="13" spans="1:31" x14ac:dyDescent="0.25">
      <c r="A13" s="1" t="s">
        <v>167</v>
      </c>
      <c r="B13" s="1">
        <v>0</v>
      </c>
      <c r="C13" s="1" t="s">
        <v>4</v>
      </c>
      <c r="E13" s="22" t="s">
        <v>32</v>
      </c>
      <c r="F13" s="77">
        <v>984</v>
      </c>
      <c r="G13" s="1" t="s">
        <v>158</v>
      </c>
      <c r="H13" s="9"/>
      <c r="I13" s="38" t="s">
        <v>71</v>
      </c>
      <c r="J13" s="39">
        <v>30</v>
      </c>
      <c r="K13" s="39" t="s">
        <v>22</v>
      </c>
      <c r="L13" s="9"/>
      <c r="N13" s="31">
        <f t="shared" si="9"/>
        <v>5</v>
      </c>
      <c r="O13" s="31"/>
      <c r="P13" s="35">
        <f t="shared" si="1"/>
        <v>8527.3618304594511</v>
      </c>
      <c r="Q13" s="36">
        <f t="shared" si="7"/>
        <v>237.06316369597801</v>
      </c>
      <c r="R13" s="37">
        <f t="shared" si="2"/>
        <v>0</v>
      </c>
      <c r="S13" s="37">
        <f t="shared" si="3"/>
        <v>1559.5328823316709</v>
      </c>
      <c r="T13" s="37">
        <f t="shared" si="8"/>
        <v>0</v>
      </c>
      <c r="U13" s="37">
        <f t="shared" si="4"/>
        <v>6890.5323469878631</v>
      </c>
      <c r="V13" s="37">
        <f>IF(N13&gt;0,($F$16/$B$8)/((1+($F$11/100))^N13),0)</f>
        <v>3.9982431527530049</v>
      </c>
      <c r="W13" s="37">
        <f t="shared" si="5"/>
        <v>0</v>
      </c>
      <c r="X13" s="35">
        <f t="shared" si="6"/>
        <v>0</v>
      </c>
      <c r="Y13" s="34">
        <f t="shared" si="0"/>
        <v>17218.488466627718</v>
      </c>
      <c r="Z13" s="19"/>
      <c r="AA13" s="105" t="s">
        <v>186</v>
      </c>
      <c r="AB13" s="107">
        <f>J26</f>
        <v>100</v>
      </c>
      <c r="AC13" s="105" t="s">
        <v>177</v>
      </c>
      <c r="AE13" s="2"/>
    </row>
    <row r="14" spans="1:31" x14ac:dyDescent="0.25">
      <c r="A14" s="21" t="s">
        <v>6</v>
      </c>
      <c r="B14" s="1">
        <v>7</v>
      </c>
      <c r="C14" s="1" t="s">
        <v>4</v>
      </c>
      <c r="E14" s="22" t="s">
        <v>68</v>
      </c>
      <c r="F14" s="77">
        <v>1</v>
      </c>
      <c r="G14" s="1" t="s">
        <v>69</v>
      </c>
      <c r="H14" s="9"/>
      <c r="I14" s="38" t="s">
        <v>153</v>
      </c>
      <c r="J14" s="40">
        <v>20</v>
      </c>
      <c r="K14" s="39" t="s">
        <v>4</v>
      </c>
      <c r="L14" s="9"/>
      <c r="N14" s="31">
        <f t="shared" si="9"/>
        <v>6</v>
      </c>
      <c r="O14" s="31"/>
      <c r="P14" s="35">
        <f t="shared" si="1"/>
        <v>0</v>
      </c>
      <c r="Q14" s="36">
        <f t="shared" si="7"/>
        <v>229.56260338728455</v>
      </c>
      <c r="R14" s="37">
        <f t="shared" si="2"/>
        <v>0</v>
      </c>
      <c r="S14" s="37">
        <f t="shared" si="3"/>
        <v>1495.2376628299817</v>
      </c>
      <c r="T14" s="37">
        <f t="shared" si="8"/>
        <v>0</v>
      </c>
      <c r="U14" s="37">
        <f t="shared" si="4"/>
        <v>0</v>
      </c>
      <c r="V14" s="37">
        <v>0</v>
      </c>
      <c r="W14" s="37">
        <f t="shared" si="5"/>
        <v>0</v>
      </c>
      <c r="X14" s="35">
        <f t="shared" si="6"/>
        <v>0</v>
      </c>
      <c r="Y14" s="34">
        <f t="shared" si="0"/>
        <v>1724.8002662172662</v>
      </c>
      <c r="Z14" s="19"/>
      <c r="AA14" s="105" t="s">
        <v>213</v>
      </c>
      <c r="AB14" s="100">
        <f>J17</f>
        <v>0.19</v>
      </c>
      <c r="AC14" s="105" t="s">
        <v>33</v>
      </c>
      <c r="AE14" s="2"/>
    </row>
    <row r="15" spans="1:31" x14ac:dyDescent="0.25">
      <c r="A15" s="21" t="s">
        <v>157</v>
      </c>
      <c r="B15" s="1">
        <v>3</v>
      </c>
      <c r="C15" s="1" t="s">
        <v>4</v>
      </c>
      <c r="E15" s="22" t="s">
        <v>27</v>
      </c>
      <c r="F15" s="77">
        <v>0</v>
      </c>
      <c r="G15" s="1" t="s">
        <v>160</v>
      </c>
      <c r="H15" s="9"/>
      <c r="I15" s="38" t="s">
        <v>91</v>
      </c>
      <c r="J15" s="39">
        <v>7.08</v>
      </c>
      <c r="K15" s="39" t="s">
        <v>23</v>
      </c>
      <c r="L15" s="9"/>
      <c r="N15" s="31">
        <f t="shared" si="9"/>
        <v>7</v>
      </c>
      <c r="O15" s="31"/>
      <c r="P15" s="35">
        <f t="shared" si="1"/>
        <v>0</v>
      </c>
      <c r="Q15" s="36">
        <f t="shared" si="7"/>
        <v>222.29935706726511</v>
      </c>
      <c r="R15" s="37">
        <f t="shared" si="2"/>
        <v>0</v>
      </c>
      <c r="S15" s="37">
        <f t="shared" si="3"/>
        <v>1433.5931570757259</v>
      </c>
      <c r="T15" s="37">
        <f t="shared" si="8"/>
        <v>0</v>
      </c>
      <c r="U15" s="37">
        <f t="shared" si="4"/>
        <v>0</v>
      </c>
      <c r="V15" s="37">
        <v>0</v>
      </c>
      <c r="W15" s="37">
        <f t="shared" si="5"/>
        <v>0</v>
      </c>
      <c r="X15" s="35">
        <f t="shared" si="6"/>
        <v>0</v>
      </c>
      <c r="Y15" s="34">
        <f t="shared" si="0"/>
        <v>1655.8925141429911</v>
      </c>
      <c r="Z15" s="19"/>
      <c r="AE15" s="2"/>
    </row>
    <row r="16" spans="1:31" x14ac:dyDescent="0.25">
      <c r="A16" s="21" t="s">
        <v>197</v>
      </c>
      <c r="B16" s="77">
        <v>329000</v>
      </c>
      <c r="C16" s="1" t="s">
        <v>150</v>
      </c>
      <c r="E16" s="22" t="s">
        <v>165</v>
      </c>
      <c r="F16" s="2">
        <v>105000</v>
      </c>
      <c r="G16" s="1" t="s">
        <v>164</v>
      </c>
      <c r="H16" s="9"/>
      <c r="I16" s="38" t="s">
        <v>92</v>
      </c>
      <c r="J16" s="39">
        <v>11</v>
      </c>
      <c r="K16" s="39" t="s">
        <v>23</v>
      </c>
      <c r="L16" s="9"/>
      <c r="N16" s="31">
        <f t="shared" si="9"/>
        <v>8</v>
      </c>
      <c r="O16" s="31"/>
      <c r="P16" s="35">
        <f t="shared" si="1"/>
        <v>0</v>
      </c>
      <c r="Q16" s="36">
        <f t="shared" si="7"/>
        <v>215.26591623963344</v>
      </c>
      <c r="R16" s="37">
        <f t="shared" si="2"/>
        <v>0</v>
      </c>
      <c r="S16" s="37">
        <f t="shared" si="3"/>
        <v>1374.4900834858349</v>
      </c>
      <c r="T16" s="37">
        <f t="shared" si="8"/>
        <v>0</v>
      </c>
      <c r="U16" s="37">
        <f t="shared" si="4"/>
        <v>0</v>
      </c>
      <c r="V16" s="37">
        <v>0</v>
      </c>
      <c r="W16" s="37">
        <f t="shared" si="5"/>
        <v>0</v>
      </c>
      <c r="X16" s="35">
        <f t="shared" si="6"/>
        <v>0</v>
      </c>
      <c r="Y16" s="34">
        <f t="shared" si="0"/>
        <v>1589.7559997254684</v>
      </c>
      <c r="Z16" s="19"/>
      <c r="AE16" s="2"/>
    </row>
    <row r="17" spans="1:50" x14ac:dyDescent="0.25">
      <c r="A17" s="21" t="s">
        <v>162</v>
      </c>
      <c r="B17" s="1">
        <v>0</v>
      </c>
      <c r="C17" s="1" t="s">
        <v>4</v>
      </c>
      <c r="E17" s="22" t="s">
        <v>163</v>
      </c>
      <c r="F17" s="77">
        <v>0</v>
      </c>
      <c r="G17" s="1" t="s">
        <v>164</v>
      </c>
      <c r="H17" s="9"/>
      <c r="I17" s="22" t="s">
        <v>34</v>
      </c>
      <c r="J17" s="13">
        <v>0.19</v>
      </c>
      <c r="K17" s="1" t="s">
        <v>33</v>
      </c>
      <c r="L17" s="9"/>
      <c r="N17" s="31">
        <f t="shared" si="9"/>
        <v>9</v>
      </c>
      <c r="O17" s="31"/>
      <c r="P17" s="35">
        <f t="shared" si="1"/>
        <v>0</v>
      </c>
      <c r="Q17" s="36">
        <f t="shared" si="7"/>
        <v>208.455009973183</v>
      </c>
      <c r="R17" s="37">
        <f t="shared" si="2"/>
        <v>0</v>
      </c>
      <c r="S17" s="37">
        <f t="shared" si="3"/>
        <v>1317.8236658541084</v>
      </c>
      <c r="T17" s="37">
        <f t="shared" si="8"/>
        <v>0</v>
      </c>
      <c r="U17" s="37">
        <f t="shared" si="4"/>
        <v>0</v>
      </c>
      <c r="V17" s="37">
        <v>0</v>
      </c>
      <c r="W17" s="37">
        <f t="shared" si="5"/>
        <v>0</v>
      </c>
      <c r="X17" s="35">
        <f t="shared" si="6"/>
        <v>0</v>
      </c>
      <c r="Y17" s="34">
        <f t="shared" si="0"/>
        <v>1526.2786758272914</v>
      </c>
      <c r="Z17" s="19"/>
      <c r="AE17" s="2"/>
    </row>
    <row r="18" spans="1:50" x14ac:dyDescent="0.25">
      <c r="E18" s="22" t="s">
        <v>159</v>
      </c>
      <c r="F18" s="77">
        <v>400000</v>
      </c>
      <c r="G18" s="1" t="s">
        <v>155</v>
      </c>
      <c r="H18" s="9"/>
      <c r="J18" s="77"/>
      <c r="L18" s="9"/>
      <c r="N18" s="31">
        <f t="shared" si="9"/>
        <v>10</v>
      </c>
      <c r="O18" s="31"/>
      <c r="P18" s="35">
        <f t="shared" si="1"/>
        <v>0</v>
      </c>
      <c r="Q18" s="36">
        <f t="shared" si="7"/>
        <v>201.85959738534501</v>
      </c>
      <c r="R18" s="37">
        <f t="shared" si="2"/>
        <v>0</v>
      </c>
      <c r="S18" s="37">
        <f t="shared" si="3"/>
        <v>1263.4934476070071</v>
      </c>
      <c r="T18" s="37">
        <f t="shared" si="8"/>
        <v>0</v>
      </c>
      <c r="U18" s="37">
        <f t="shared" si="4"/>
        <v>5582.5321604804312</v>
      </c>
      <c r="V18" s="37">
        <f>IF(N18&gt;0,($F$16/$B$8)/((1+($F$11/100))^N18),0)</f>
        <v>3.2392738124829297</v>
      </c>
      <c r="W18" s="37">
        <f t="shared" si="5"/>
        <v>0</v>
      </c>
      <c r="X18" s="35">
        <f t="shared" si="6"/>
        <v>-15151.729601234047</v>
      </c>
      <c r="Y18" s="34">
        <f t="shared" si="0"/>
        <v>-8100.6051219487808</v>
      </c>
      <c r="Z18" s="19"/>
      <c r="AE18" s="2"/>
    </row>
    <row r="19" spans="1:50" x14ac:dyDescent="0.25">
      <c r="A19" s="21"/>
      <c r="E19" s="22" t="s">
        <v>86</v>
      </c>
      <c r="F19" s="77">
        <v>0</v>
      </c>
      <c r="G19" s="1" t="s">
        <v>155</v>
      </c>
      <c r="H19" s="9"/>
      <c r="I19" s="12" t="s">
        <v>18</v>
      </c>
      <c r="L19" s="9"/>
      <c r="N19" s="31">
        <f t="shared" si="9"/>
        <v>0</v>
      </c>
      <c r="O19" s="31"/>
      <c r="P19" s="35">
        <f t="shared" si="1"/>
        <v>0</v>
      </c>
      <c r="Q19" s="36">
        <f t="shared" si="7"/>
        <v>0</v>
      </c>
      <c r="R19" s="37">
        <f t="shared" si="2"/>
        <v>0</v>
      </c>
      <c r="S19" s="37">
        <f t="shared" si="3"/>
        <v>0</v>
      </c>
      <c r="T19" s="37">
        <f t="shared" si="8"/>
        <v>0</v>
      </c>
      <c r="U19" s="37">
        <f t="shared" si="4"/>
        <v>0</v>
      </c>
      <c r="V19" s="37"/>
      <c r="W19" s="37">
        <f t="shared" si="5"/>
        <v>0</v>
      </c>
      <c r="X19" s="35">
        <f t="shared" si="6"/>
        <v>0</v>
      </c>
      <c r="Y19" s="34">
        <f t="shared" si="0"/>
        <v>0</v>
      </c>
      <c r="Z19" s="19"/>
      <c r="AE19" s="2"/>
    </row>
    <row r="20" spans="1:50" x14ac:dyDescent="0.25">
      <c r="A20" s="21"/>
      <c r="E20" s="22" t="s">
        <v>88</v>
      </c>
      <c r="F20" s="77">
        <v>0</v>
      </c>
      <c r="G20" s="1" t="s">
        <v>161</v>
      </c>
      <c r="H20" s="9"/>
      <c r="I20" s="22" t="s">
        <v>19</v>
      </c>
      <c r="J20" s="1">
        <v>5</v>
      </c>
      <c r="K20" s="1" t="s">
        <v>22</v>
      </c>
      <c r="L20" s="9"/>
      <c r="N20" s="31">
        <f>IF((N19+1)&gt;$B$5,,IF(N19=0,,N19+1))</f>
        <v>0</v>
      </c>
      <c r="O20" s="31"/>
      <c r="P20" s="35">
        <f t="shared" si="1"/>
        <v>0</v>
      </c>
      <c r="Q20" s="36">
        <f t="shared" si="7"/>
        <v>0</v>
      </c>
      <c r="R20" s="37">
        <f t="shared" si="2"/>
        <v>0</v>
      </c>
      <c r="S20" s="37">
        <f t="shared" si="3"/>
        <v>0</v>
      </c>
      <c r="T20" s="37">
        <f t="shared" si="8"/>
        <v>0</v>
      </c>
      <c r="U20" s="37">
        <f t="shared" si="4"/>
        <v>0</v>
      </c>
      <c r="V20" s="37"/>
      <c r="W20" s="37">
        <f t="shared" si="5"/>
        <v>0</v>
      </c>
      <c r="X20" s="35">
        <f t="shared" si="6"/>
        <v>0</v>
      </c>
      <c r="Y20" s="34">
        <f t="shared" si="0"/>
        <v>0</v>
      </c>
      <c r="Z20" s="19"/>
    </row>
    <row r="21" spans="1:50" x14ac:dyDescent="0.25">
      <c r="A21" s="21"/>
      <c r="E21" s="22" t="s">
        <v>66</v>
      </c>
      <c r="F21" s="77">
        <v>1276.5851999999998</v>
      </c>
      <c r="G21" s="1" t="s">
        <v>168</v>
      </c>
      <c r="H21" s="9"/>
      <c r="I21" s="22" t="s">
        <v>20</v>
      </c>
      <c r="J21" s="1">
        <v>30</v>
      </c>
      <c r="K21" s="1" t="s">
        <v>21</v>
      </c>
      <c r="L21" s="9"/>
      <c r="N21" s="31">
        <f t="shared" si="9"/>
        <v>0</v>
      </c>
      <c r="O21" s="31"/>
      <c r="P21" s="35">
        <f t="shared" si="1"/>
        <v>0</v>
      </c>
      <c r="Q21" s="36">
        <f t="shared" si="7"/>
        <v>0</v>
      </c>
      <c r="R21" s="37">
        <f t="shared" si="2"/>
        <v>0</v>
      </c>
      <c r="S21" s="37">
        <f t="shared" si="3"/>
        <v>0</v>
      </c>
      <c r="T21" s="37">
        <f t="shared" si="8"/>
        <v>0</v>
      </c>
      <c r="U21" s="37">
        <f t="shared" si="4"/>
        <v>0</v>
      </c>
      <c r="V21" s="37"/>
      <c r="W21" s="37">
        <f t="shared" si="5"/>
        <v>0</v>
      </c>
      <c r="X21" s="35">
        <f t="shared" si="6"/>
        <v>0</v>
      </c>
      <c r="Y21" s="34">
        <f t="shared" si="0"/>
        <v>0</v>
      </c>
      <c r="Z21" s="19"/>
      <c r="AA21" s="27" t="s">
        <v>32</v>
      </c>
      <c r="AB21" s="24"/>
      <c r="AC21" s="24"/>
      <c r="AD21" s="24"/>
      <c r="AF21" s="27" t="s">
        <v>2</v>
      </c>
      <c r="AG21" s="24"/>
      <c r="AH21" s="24"/>
      <c r="AI21" s="24"/>
      <c r="AK21" s="133" t="s">
        <v>201</v>
      </c>
      <c r="AL21" s="133" t="s">
        <v>203</v>
      </c>
      <c r="AM21" s="133" t="s">
        <v>204</v>
      </c>
      <c r="AN21" s="133" t="s">
        <v>38</v>
      </c>
      <c r="AO21" s="133" t="s">
        <v>205</v>
      </c>
      <c r="AP21" s="133" t="s">
        <v>206</v>
      </c>
      <c r="AQ21" s="141" t="str">
        <f>AA66</f>
        <v>Energy Efficiency</v>
      </c>
    </row>
    <row r="22" spans="1:50" x14ac:dyDescent="0.25">
      <c r="E22" s="22" t="s">
        <v>39</v>
      </c>
      <c r="F22" s="91">
        <v>7.5</v>
      </c>
      <c r="G22" s="1" t="s">
        <v>23</v>
      </c>
      <c r="H22" s="9"/>
      <c r="L22" s="9"/>
      <c r="N22" s="31">
        <f t="shared" si="9"/>
        <v>0</v>
      </c>
      <c r="O22" s="31"/>
      <c r="P22" s="35">
        <f t="shared" si="1"/>
        <v>0</v>
      </c>
      <c r="Q22" s="36">
        <f t="shared" si="7"/>
        <v>0</v>
      </c>
      <c r="R22" s="37">
        <f t="shared" si="2"/>
        <v>0</v>
      </c>
      <c r="S22" s="37">
        <f t="shared" si="3"/>
        <v>0</v>
      </c>
      <c r="T22" s="37">
        <f t="shared" si="8"/>
        <v>0</v>
      </c>
      <c r="U22" s="37">
        <f t="shared" si="4"/>
        <v>0</v>
      </c>
      <c r="V22" s="37"/>
      <c r="W22" s="37">
        <f t="shared" si="5"/>
        <v>0</v>
      </c>
      <c r="X22" s="35">
        <f t="shared" si="6"/>
        <v>0</v>
      </c>
      <c r="Y22" s="34">
        <f t="shared" si="0"/>
        <v>0</v>
      </c>
      <c r="Z22" s="19"/>
      <c r="AA22" s="24" t="s">
        <v>76</v>
      </c>
      <c r="AB22" s="24" t="s">
        <v>81</v>
      </c>
      <c r="AC22" s="24" t="s">
        <v>72</v>
      </c>
      <c r="AD22" s="24" t="s">
        <v>80</v>
      </c>
      <c r="AF22" s="24" t="s">
        <v>76</v>
      </c>
      <c r="AG22" s="24" t="s">
        <v>77</v>
      </c>
      <c r="AH22" s="24" t="s">
        <v>72</v>
      </c>
      <c r="AI22" s="24" t="s">
        <v>80</v>
      </c>
      <c r="AK22" s="134">
        <v>-50</v>
      </c>
      <c r="AL22" s="135">
        <f>AI24</f>
        <v>-40.337904203924943</v>
      </c>
      <c r="AM22" s="135">
        <f>AD24</f>
        <v>-1.5032038948021391</v>
      </c>
      <c r="AN22" s="136">
        <f t="shared" ref="AN22:AN32" si="10">AD39</f>
        <v>-5.5968563486650789</v>
      </c>
      <c r="AO22" s="136">
        <f t="shared" ref="AO22:AO32" si="11">AI39</f>
        <v>-27.353896278357588</v>
      </c>
      <c r="AP22" s="136">
        <f>AD54</f>
        <v>-9.8444915919967553</v>
      </c>
      <c r="AQ22" s="142">
        <f>AD69</f>
        <v>1.5032038948021953</v>
      </c>
    </row>
    <row r="23" spans="1:50" x14ac:dyDescent="0.25">
      <c r="H23" s="9"/>
      <c r="I23" s="12" t="s">
        <v>172</v>
      </c>
      <c r="L23" s="106"/>
      <c r="N23" s="31">
        <f t="shared" si="9"/>
        <v>0</v>
      </c>
      <c r="O23" s="31"/>
      <c r="P23" s="35">
        <f t="shared" si="1"/>
        <v>0</v>
      </c>
      <c r="Q23" s="36">
        <f t="shared" si="7"/>
        <v>0</v>
      </c>
      <c r="R23" s="37">
        <f t="shared" si="2"/>
        <v>0</v>
      </c>
      <c r="S23" s="37">
        <f t="shared" si="3"/>
        <v>0</v>
      </c>
      <c r="T23" s="37">
        <f t="shared" si="8"/>
        <v>0</v>
      </c>
      <c r="U23" s="37">
        <f t="shared" si="4"/>
        <v>0</v>
      </c>
      <c r="V23" s="37"/>
      <c r="W23" s="37">
        <f t="shared" si="5"/>
        <v>0</v>
      </c>
      <c r="X23" s="35">
        <f t="shared" si="6"/>
        <v>0</v>
      </c>
      <c r="Y23" s="34">
        <f t="shared" si="0"/>
        <v>0</v>
      </c>
      <c r="Z23" s="19"/>
      <c r="AA23" s="24" t="s">
        <v>110</v>
      </c>
      <c r="AB23" s="28">
        <v>4.6248382011635419E-2</v>
      </c>
      <c r="AC23" s="26">
        <f>Y49</f>
        <v>77926.452816000645</v>
      </c>
      <c r="AD23" s="24"/>
      <c r="AF23" s="24" t="s">
        <v>110</v>
      </c>
      <c r="AG23" s="29">
        <v>54677.10345030608</v>
      </c>
      <c r="AH23" s="30">
        <f>Y49</f>
        <v>77926.452816000645</v>
      </c>
      <c r="AI23" s="24"/>
      <c r="AK23" s="134">
        <v>-40</v>
      </c>
      <c r="AL23" s="135">
        <f>AI25</f>
        <v>-32.270323363139944</v>
      </c>
      <c r="AM23" s="135">
        <f t="shared" ref="AM23:AM32" si="12">AD25</f>
        <v>-1.2025631158417152</v>
      </c>
      <c r="AN23" s="136">
        <f t="shared" si="10"/>
        <v>-4.4774850789320748</v>
      </c>
      <c r="AO23" s="136">
        <f t="shared" si="11"/>
        <v>-17.612464347470137</v>
      </c>
      <c r="AP23" s="136">
        <f t="shared" ref="AP23:AP32" si="13">AD55</f>
        <v>-7.8755932735974117</v>
      </c>
      <c r="AQ23" s="142">
        <f t="shared" ref="AQ23:AQ32" si="14">AD70</f>
        <v>1.2025631158417525</v>
      </c>
      <c r="AR23" s="68"/>
      <c r="AS23" s="68"/>
      <c r="AT23" s="68"/>
      <c r="AU23" s="68"/>
      <c r="AV23" s="68"/>
      <c r="AW23" s="68"/>
      <c r="AX23" s="68"/>
    </row>
    <row r="24" spans="1:50" x14ac:dyDescent="0.25">
      <c r="A24" s="7"/>
      <c r="H24" s="9"/>
      <c r="I24" s="1" t="s">
        <v>173</v>
      </c>
      <c r="J24" s="60" t="s">
        <v>132</v>
      </c>
      <c r="L24" s="106"/>
      <c r="N24" s="31">
        <f t="shared" si="9"/>
        <v>0</v>
      </c>
      <c r="O24" s="31"/>
      <c r="P24" s="35">
        <f t="shared" si="1"/>
        <v>0</v>
      </c>
      <c r="Q24" s="36">
        <f t="shared" si="7"/>
        <v>0</v>
      </c>
      <c r="R24" s="37">
        <f t="shared" si="2"/>
        <v>0</v>
      </c>
      <c r="S24" s="37">
        <f t="shared" si="3"/>
        <v>0</v>
      </c>
      <c r="T24" s="37">
        <f t="shared" si="8"/>
        <v>0</v>
      </c>
      <c r="U24" s="37">
        <f t="shared" si="4"/>
        <v>0</v>
      </c>
      <c r="V24" s="37"/>
      <c r="W24" s="37">
        <f t="shared" si="5"/>
        <v>0</v>
      </c>
      <c r="X24" s="35">
        <f t="shared" si="6"/>
        <v>0</v>
      </c>
      <c r="Y24" s="34">
        <f t="shared" si="0"/>
        <v>0</v>
      </c>
      <c r="Z24" s="19"/>
      <c r="AA24" s="24">
        <f t="shared" ref="AA24:AA27" si="15">AA25-10</f>
        <v>-50</v>
      </c>
      <c r="AB24" s="28">
        <f t="shared" ref="AB24:AB28" si="16">$AB$23*(1+(AA24/100))</f>
        <v>2.312419100581771E-2</v>
      </c>
      <c r="AC24" s="30">
        <f t="dataTable" ref="AC24:AC34" dt2D="0" dtr="0" r1="F36" ca="1"/>
        <v>76755.059342189372</v>
      </c>
      <c r="AD24" s="58">
        <f>100*((AC24-$AC$29)/$AC$29)</f>
        <v>-1.5032038948021391</v>
      </c>
      <c r="AF24" s="24">
        <f t="shared" ref="AF24:AF27" si="17">AF25-10</f>
        <v>-50</v>
      </c>
      <c r="AG24" s="29">
        <f t="shared" ref="AG24:AG34" si="18">$AG$23*(1+(AF24/100))</f>
        <v>27338.55172515304</v>
      </c>
      <c r="AH24" s="30">
        <f t="dataTable" ref="AH24:AH34" dt2D="0" dtr="0" r1="B51" ca="1"/>
        <v>46492.554929565536</v>
      </c>
      <c r="AI24" s="58">
        <f t="shared" ref="AI24:AI34" si="19">100*((AH24-$AH$29)/$AH$29)</f>
        <v>-40.337904203924943</v>
      </c>
      <c r="AK24" s="134">
        <v>-30</v>
      </c>
      <c r="AL24" s="135">
        <f t="shared" ref="AL24:AL32" si="20">AI26</f>
        <v>-24.202742522354971</v>
      </c>
      <c r="AM24" s="135">
        <f t="shared" si="12"/>
        <v>-0.90192233688127232</v>
      </c>
      <c r="AN24" s="136">
        <f t="shared" si="10"/>
        <v>-3.3581138091990508</v>
      </c>
      <c r="AO24" s="136">
        <f t="shared" si="11"/>
        <v>-15.021633858268638</v>
      </c>
      <c r="AP24" s="136">
        <f t="shared" si="13"/>
        <v>-5.9066949551980308</v>
      </c>
      <c r="AQ24" s="142">
        <f t="shared" si="14"/>
        <v>0.90192233688132839</v>
      </c>
      <c r="AR24" s="68"/>
      <c r="AS24" s="68"/>
      <c r="AT24" s="68"/>
      <c r="AU24" s="68"/>
      <c r="AV24" s="68"/>
      <c r="AW24" s="68"/>
      <c r="AX24" s="68"/>
    </row>
    <row r="25" spans="1:50" x14ac:dyDescent="0.25">
      <c r="A25" s="7"/>
      <c r="H25" s="9"/>
      <c r="I25" s="105" t="s">
        <v>174</v>
      </c>
      <c r="J25" s="105">
        <v>1.3</v>
      </c>
      <c r="K25" s="105" t="s">
        <v>175</v>
      </c>
      <c r="L25" s="106"/>
      <c r="N25" s="31">
        <f t="shared" si="9"/>
        <v>0</v>
      </c>
      <c r="O25" s="31"/>
      <c r="P25" s="35">
        <f t="shared" si="1"/>
        <v>0</v>
      </c>
      <c r="Q25" s="36">
        <f t="shared" si="7"/>
        <v>0</v>
      </c>
      <c r="R25" s="37">
        <f t="shared" si="2"/>
        <v>0</v>
      </c>
      <c r="S25" s="37">
        <f t="shared" si="3"/>
        <v>0</v>
      </c>
      <c r="T25" s="37">
        <f t="shared" si="8"/>
        <v>0</v>
      </c>
      <c r="U25" s="37">
        <f t="shared" si="4"/>
        <v>0</v>
      </c>
      <c r="V25" s="37"/>
      <c r="W25" s="37">
        <f t="shared" si="5"/>
        <v>0</v>
      </c>
      <c r="X25" s="35">
        <f t="shared" si="6"/>
        <v>0</v>
      </c>
      <c r="Y25" s="34">
        <f t="shared" si="0"/>
        <v>0</v>
      </c>
      <c r="Z25" s="19"/>
      <c r="AA25" s="24">
        <f t="shared" si="15"/>
        <v>-40</v>
      </c>
      <c r="AB25" s="28">
        <f t="shared" si="16"/>
        <v>2.774902920698125E-2</v>
      </c>
      <c r="AC25" s="30">
        <v>76989.338036951624</v>
      </c>
      <c r="AD25" s="58">
        <f t="shared" ref="AD25:AD34" si="21">100*((AC25-$AC$29)/$AC$29)</f>
        <v>-1.2025631158417152</v>
      </c>
      <c r="AF25" s="24">
        <f t="shared" si="17"/>
        <v>-40</v>
      </c>
      <c r="AG25" s="29">
        <f t="shared" si="18"/>
        <v>32806.262070183649</v>
      </c>
      <c r="AH25" s="30">
        <v>52779.334506852567</v>
      </c>
      <c r="AI25" s="58">
        <f t="shared" si="19"/>
        <v>-32.270323363139944</v>
      </c>
      <c r="AK25" s="134">
        <v>-20</v>
      </c>
      <c r="AL25" s="135">
        <f t="shared" si="20"/>
        <v>-16.135161681569972</v>
      </c>
      <c r="AM25" s="135">
        <f t="shared" si="12"/>
        <v>-0.60128155792088556</v>
      </c>
      <c r="AN25" s="136">
        <f t="shared" si="10"/>
        <v>-2.2387425394660281</v>
      </c>
      <c r="AO25" s="136">
        <f t="shared" si="11"/>
        <v>-12.416987839217946</v>
      </c>
      <c r="AP25" s="136">
        <f t="shared" si="13"/>
        <v>-3.9377966367986872</v>
      </c>
      <c r="AQ25" s="142">
        <f t="shared" si="14"/>
        <v>0.6012815579208669</v>
      </c>
      <c r="AR25" s="68"/>
      <c r="AS25" s="68"/>
      <c r="AT25" s="68"/>
      <c r="AU25" s="68"/>
      <c r="AV25" s="68"/>
      <c r="AW25" s="68"/>
      <c r="AX25" s="68"/>
    </row>
    <row r="26" spans="1:50" ht="15.75" thickBot="1" x14ac:dyDescent="0.3">
      <c r="A26" s="14"/>
      <c r="B26" s="15"/>
      <c r="C26" s="15"/>
      <c r="D26" s="15"/>
      <c r="E26" s="15"/>
      <c r="F26" s="15"/>
      <c r="G26" s="15"/>
      <c r="H26" s="16"/>
      <c r="I26" s="102" t="s">
        <v>176</v>
      </c>
      <c r="J26" s="103">
        <f>J12/2</f>
        <v>100</v>
      </c>
      <c r="K26" s="102" t="s">
        <v>177</v>
      </c>
      <c r="L26" s="104"/>
      <c r="N26" s="31">
        <f t="shared" si="9"/>
        <v>0</v>
      </c>
      <c r="O26" s="31"/>
      <c r="P26" s="35">
        <f t="shared" si="1"/>
        <v>0</v>
      </c>
      <c r="Q26" s="36">
        <f t="shared" si="7"/>
        <v>0</v>
      </c>
      <c r="R26" s="37">
        <f t="shared" si="2"/>
        <v>0</v>
      </c>
      <c r="S26" s="37">
        <f t="shared" si="3"/>
        <v>0</v>
      </c>
      <c r="T26" s="37">
        <f t="shared" si="8"/>
        <v>0</v>
      </c>
      <c r="U26" s="37">
        <f t="shared" si="4"/>
        <v>0</v>
      </c>
      <c r="V26" s="37"/>
      <c r="W26" s="37">
        <f t="shared" si="5"/>
        <v>0</v>
      </c>
      <c r="X26" s="35">
        <f t="shared" si="6"/>
        <v>0</v>
      </c>
      <c r="Y26" s="34">
        <f t="shared" si="0"/>
        <v>0</v>
      </c>
      <c r="Z26" s="19"/>
      <c r="AA26" s="24">
        <f t="shared" si="15"/>
        <v>-30</v>
      </c>
      <c r="AB26" s="28">
        <f t="shared" si="16"/>
        <v>3.2373867408144789E-2</v>
      </c>
      <c r="AC26" s="30">
        <v>77223.61673171389</v>
      </c>
      <c r="AD26" s="58">
        <f t="shared" si="21"/>
        <v>-0.90192233688127232</v>
      </c>
      <c r="AF26" s="24">
        <f t="shared" si="17"/>
        <v>-30</v>
      </c>
      <c r="AG26" s="29">
        <f t="shared" si="18"/>
        <v>38273.972415214252</v>
      </c>
      <c r="AH26" s="30">
        <v>59066.114084139575</v>
      </c>
      <c r="AI26" s="58">
        <f t="shared" si="19"/>
        <v>-24.202742522354971</v>
      </c>
      <c r="AK26" s="134">
        <v>-10</v>
      </c>
      <c r="AL26" s="135">
        <f t="shared" si="20"/>
        <v>-8.0675808407849789</v>
      </c>
      <c r="AM26" s="135">
        <f t="shared" si="12"/>
        <v>-0.30064077896042407</v>
      </c>
      <c r="AN26" s="136">
        <f t="shared" si="10"/>
        <v>-1.1193712697330045</v>
      </c>
      <c r="AO26" s="136">
        <f t="shared" si="11"/>
        <v>-9.7979322225345591</v>
      </c>
      <c r="AP26" s="136">
        <f t="shared" si="13"/>
        <v>-1.9688983183993436</v>
      </c>
      <c r="AQ26" s="142">
        <f t="shared" si="14"/>
        <v>0.30064077896046149</v>
      </c>
      <c r="AR26" s="68"/>
      <c r="AS26" s="68"/>
      <c r="AT26" s="68"/>
      <c r="AU26" s="68"/>
      <c r="AV26" s="68"/>
      <c r="AW26" s="68"/>
      <c r="AX26" s="68"/>
    </row>
    <row r="27" spans="1:50" x14ac:dyDescent="0.25">
      <c r="J27" s="2"/>
      <c r="N27" s="31">
        <f t="shared" si="9"/>
        <v>0</v>
      </c>
      <c r="O27" s="31"/>
      <c r="P27" s="35">
        <f t="shared" si="1"/>
        <v>0</v>
      </c>
      <c r="Q27" s="36">
        <f t="shared" si="7"/>
        <v>0</v>
      </c>
      <c r="R27" s="37">
        <f t="shared" si="2"/>
        <v>0</v>
      </c>
      <c r="S27" s="37">
        <f t="shared" si="3"/>
        <v>0</v>
      </c>
      <c r="T27" s="37">
        <f t="shared" si="8"/>
        <v>0</v>
      </c>
      <c r="U27" s="37">
        <f t="shared" si="4"/>
        <v>0</v>
      </c>
      <c r="V27" s="37"/>
      <c r="W27" s="37">
        <f t="shared" si="5"/>
        <v>0</v>
      </c>
      <c r="X27" s="35">
        <f t="shared" si="6"/>
        <v>0</v>
      </c>
      <c r="Y27" s="34">
        <f t="shared" si="0"/>
        <v>0</v>
      </c>
      <c r="Z27" s="19"/>
      <c r="AA27" s="24">
        <f t="shared" si="15"/>
        <v>-20</v>
      </c>
      <c r="AB27" s="28">
        <f t="shared" si="16"/>
        <v>3.699870560930834E-2</v>
      </c>
      <c r="AC27" s="30">
        <v>77457.895426476112</v>
      </c>
      <c r="AD27" s="58">
        <f t="shared" si="21"/>
        <v>-0.60128155792088556</v>
      </c>
      <c r="AF27" s="24">
        <f t="shared" si="17"/>
        <v>-20</v>
      </c>
      <c r="AG27" s="29">
        <f t="shared" si="18"/>
        <v>43741.682760244868</v>
      </c>
      <c r="AH27" s="30">
        <v>65352.893661426606</v>
      </c>
      <c r="AI27" s="58">
        <f t="shared" si="19"/>
        <v>-16.135161681569972</v>
      </c>
      <c r="AK27" s="134">
        <v>0</v>
      </c>
      <c r="AL27" s="135">
        <f t="shared" si="20"/>
        <v>0</v>
      </c>
      <c r="AM27" s="135">
        <f t="shared" si="12"/>
        <v>0</v>
      </c>
      <c r="AN27" s="136">
        <f t="shared" si="10"/>
        <v>0</v>
      </c>
      <c r="AO27" s="136">
        <f t="shared" si="11"/>
        <v>0</v>
      </c>
      <c r="AP27" s="136">
        <f t="shared" si="13"/>
        <v>0</v>
      </c>
      <c r="AQ27" s="142">
        <f t="shared" si="14"/>
        <v>0</v>
      </c>
      <c r="AR27" s="68"/>
      <c r="AS27" s="68"/>
      <c r="AT27" s="68"/>
      <c r="AU27" s="68"/>
      <c r="AV27" s="68"/>
      <c r="AW27" s="68"/>
      <c r="AX27" s="68"/>
    </row>
    <row r="28" spans="1:50" x14ac:dyDescent="0.25">
      <c r="A28" s="12" t="s">
        <v>60</v>
      </c>
      <c r="J28" s="2"/>
      <c r="N28" s="31">
        <f t="shared" si="9"/>
        <v>0</v>
      </c>
      <c r="O28" s="31"/>
      <c r="P28" s="35">
        <f t="shared" si="1"/>
        <v>0</v>
      </c>
      <c r="Q28" s="36">
        <f t="shared" si="7"/>
        <v>0</v>
      </c>
      <c r="R28" s="37">
        <f t="shared" si="2"/>
        <v>0</v>
      </c>
      <c r="S28" s="37">
        <f t="shared" si="3"/>
        <v>0</v>
      </c>
      <c r="T28" s="37">
        <f t="shared" si="8"/>
        <v>0</v>
      </c>
      <c r="U28" s="37">
        <f t="shared" si="4"/>
        <v>0</v>
      </c>
      <c r="V28" s="37"/>
      <c r="W28" s="37">
        <f t="shared" si="5"/>
        <v>0</v>
      </c>
      <c r="X28" s="35">
        <f t="shared" si="6"/>
        <v>0</v>
      </c>
      <c r="Y28" s="34">
        <f t="shared" si="0"/>
        <v>0</v>
      </c>
      <c r="Z28" s="19"/>
      <c r="AA28" s="24">
        <f>AA29-10</f>
        <v>-10</v>
      </c>
      <c r="AB28" s="28">
        <f t="shared" si="16"/>
        <v>4.1623543810471876E-2</v>
      </c>
      <c r="AC28" s="30">
        <v>77692.174121238393</v>
      </c>
      <c r="AD28" s="58">
        <f t="shared" si="21"/>
        <v>-0.30064077896042407</v>
      </c>
      <c r="AF28" s="24">
        <f>AF29-10</f>
        <v>-10</v>
      </c>
      <c r="AG28" s="29">
        <f t="shared" si="18"/>
        <v>49209.393105275471</v>
      </c>
      <c r="AH28" s="30">
        <v>71639.673238713629</v>
      </c>
      <c r="AI28" s="58">
        <f t="shared" si="19"/>
        <v>-8.0675808407849789</v>
      </c>
      <c r="AK28" s="134">
        <v>10</v>
      </c>
      <c r="AL28" s="135">
        <f t="shared" si="20"/>
        <v>8.067580840785018</v>
      </c>
      <c r="AM28" s="135">
        <f t="shared" si="12"/>
        <v>0.30064077896046149</v>
      </c>
      <c r="AN28" s="136">
        <f t="shared" si="10"/>
        <v>1.1193712697330234</v>
      </c>
      <c r="AO28" s="136">
        <f t="shared" si="11"/>
        <v>2.2695390973598051</v>
      </c>
      <c r="AP28" s="136">
        <f t="shared" si="13"/>
        <v>1.9688983183993622</v>
      </c>
      <c r="AQ28" s="142">
        <f t="shared" si="14"/>
        <v>-0.30064077896042407</v>
      </c>
      <c r="AR28" s="68"/>
      <c r="AS28" s="68"/>
      <c r="AT28" s="68"/>
      <c r="AU28" s="68"/>
      <c r="AV28" s="68"/>
      <c r="AW28" s="68"/>
      <c r="AX28" s="68"/>
    </row>
    <row r="29" spans="1:50" ht="15.75" thickBot="1" x14ac:dyDescent="0.3">
      <c r="J29" s="2"/>
      <c r="N29" s="31">
        <f t="shared" si="9"/>
        <v>0</v>
      </c>
      <c r="O29" s="31"/>
      <c r="P29" s="35">
        <f t="shared" si="1"/>
        <v>0</v>
      </c>
      <c r="Q29" s="36">
        <f t="shared" si="7"/>
        <v>0</v>
      </c>
      <c r="R29" s="37">
        <f t="shared" si="2"/>
        <v>0</v>
      </c>
      <c r="S29" s="37">
        <f t="shared" si="3"/>
        <v>0</v>
      </c>
      <c r="T29" s="37">
        <f t="shared" si="8"/>
        <v>0</v>
      </c>
      <c r="U29" s="37">
        <f t="shared" si="4"/>
        <v>0</v>
      </c>
      <c r="V29" s="37"/>
      <c r="W29" s="37">
        <f t="shared" si="5"/>
        <v>0</v>
      </c>
      <c r="X29" s="35">
        <f t="shared" si="6"/>
        <v>0</v>
      </c>
      <c r="Y29" s="34">
        <f t="shared" si="0"/>
        <v>0</v>
      </c>
      <c r="Z29" s="19"/>
      <c r="AA29" s="60">
        <v>0</v>
      </c>
      <c r="AB29" s="64">
        <f>$AB$23*(1+(AA29/100))</f>
        <v>4.6248382011635419E-2</v>
      </c>
      <c r="AC29" s="62">
        <v>77926.452816000645</v>
      </c>
      <c r="AD29" s="63">
        <f t="shared" si="21"/>
        <v>0</v>
      </c>
      <c r="AF29" s="60">
        <v>0</v>
      </c>
      <c r="AG29" s="61">
        <f t="shared" si="18"/>
        <v>54677.10345030608</v>
      </c>
      <c r="AH29" s="62">
        <v>77926.452816000645</v>
      </c>
      <c r="AI29" s="63">
        <f t="shared" si="19"/>
        <v>0</v>
      </c>
      <c r="AK29" s="134">
        <v>20</v>
      </c>
      <c r="AL29" s="135">
        <f t="shared" si="20"/>
        <v>16.135161681570018</v>
      </c>
      <c r="AM29" s="135">
        <f t="shared" si="12"/>
        <v>0.6012815579208669</v>
      </c>
      <c r="AN29" s="136">
        <f t="shared" si="10"/>
        <v>2.2387425394660649</v>
      </c>
      <c r="AO29" s="136">
        <f t="shared" si="11"/>
        <v>5.5486362205983246</v>
      </c>
      <c r="AP29" s="136">
        <f t="shared" si="13"/>
        <v>3.9377966367987245</v>
      </c>
      <c r="AQ29" s="142">
        <f t="shared" si="14"/>
        <v>-0.60128155792088556</v>
      </c>
      <c r="AR29" s="68"/>
      <c r="AS29" s="68"/>
      <c r="AT29" s="68"/>
      <c r="AU29" s="68"/>
      <c r="AV29" s="68"/>
      <c r="AW29" s="68"/>
      <c r="AX29" s="68"/>
    </row>
    <row r="30" spans="1:50" x14ac:dyDescent="0.25">
      <c r="A30" s="3" t="s">
        <v>11</v>
      </c>
      <c r="B30" s="4"/>
      <c r="C30" s="4"/>
      <c r="D30" s="4"/>
      <c r="E30" s="5" t="s">
        <v>96</v>
      </c>
      <c r="F30" s="4"/>
      <c r="G30" s="4"/>
      <c r="H30" s="4"/>
      <c r="I30" s="5" t="s">
        <v>126</v>
      </c>
      <c r="J30" s="17"/>
      <c r="K30" s="4"/>
      <c r="L30" s="6"/>
      <c r="N30" s="31">
        <f t="shared" si="9"/>
        <v>0</v>
      </c>
      <c r="O30" s="31"/>
      <c r="P30" s="35">
        <f t="shared" si="1"/>
        <v>0</v>
      </c>
      <c r="Q30" s="36">
        <f t="shared" si="7"/>
        <v>0</v>
      </c>
      <c r="R30" s="37">
        <f t="shared" si="2"/>
        <v>0</v>
      </c>
      <c r="S30" s="37">
        <f t="shared" si="3"/>
        <v>0</v>
      </c>
      <c r="T30" s="37">
        <f t="shared" si="8"/>
        <v>0</v>
      </c>
      <c r="U30" s="37">
        <f t="shared" si="4"/>
        <v>0</v>
      </c>
      <c r="V30" s="37"/>
      <c r="W30" s="37">
        <f t="shared" si="5"/>
        <v>0</v>
      </c>
      <c r="X30" s="35">
        <f t="shared" si="6"/>
        <v>0</v>
      </c>
      <c r="Y30" s="34">
        <f t="shared" si="0"/>
        <v>0</v>
      </c>
      <c r="Z30" s="19"/>
      <c r="AA30" s="24">
        <f>AA29+10</f>
        <v>10</v>
      </c>
      <c r="AB30" s="28">
        <f t="shared" ref="AB30:AB34" si="22">$AB$23*(1+(AA30/100))</f>
        <v>5.0873220212798963E-2</v>
      </c>
      <c r="AC30" s="30">
        <v>78160.731510762926</v>
      </c>
      <c r="AD30" s="58">
        <f t="shared" si="21"/>
        <v>0.30064077896046149</v>
      </c>
      <c r="AF30" s="24">
        <f>AF29+10</f>
        <v>10</v>
      </c>
      <c r="AG30" s="29">
        <f t="shared" si="18"/>
        <v>60144.81379533669</v>
      </c>
      <c r="AH30" s="30">
        <v>84213.23239328769</v>
      </c>
      <c r="AI30" s="58">
        <f t="shared" si="19"/>
        <v>8.067580840785018</v>
      </c>
      <c r="AK30" s="134">
        <v>30</v>
      </c>
      <c r="AL30" s="135">
        <f t="shared" si="20"/>
        <v>24.20274252235496</v>
      </c>
      <c r="AM30" s="135">
        <f t="shared" si="12"/>
        <v>0.90192233688132839</v>
      </c>
      <c r="AN30" s="136">
        <f t="shared" si="10"/>
        <v>3.3581138091990885</v>
      </c>
      <c r="AO30" s="136">
        <f t="shared" si="11"/>
        <v>7.8181753179581301</v>
      </c>
      <c r="AP30" s="136">
        <f t="shared" si="13"/>
        <v>5.9066949551980681</v>
      </c>
      <c r="AQ30" s="142">
        <f t="shared" si="14"/>
        <v>-0.90192233688127232</v>
      </c>
      <c r="AR30" s="68"/>
      <c r="AS30" s="68"/>
      <c r="AT30" s="68"/>
      <c r="AU30" s="68"/>
      <c r="AV30" s="68"/>
      <c r="AW30" s="68"/>
      <c r="AX30" s="68"/>
    </row>
    <row r="31" spans="1:50" x14ac:dyDescent="0.25">
      <c r="A31" s="21" t="s">
        <v>187</v>
      </c>
      <c r="B31" s="18">
        <f>IF(B11=0,0,-(B11/100)*$B$49)</f>
        <v>0</v>
      </c>
      <c r="C31" s="1" t="s">
        <v>3</v>
      </c>
      <c r="E31" s="22" t="s">
        <v>62</v>
      </c>
      <c r="F31" s="10">
        <f>(J21/100)*B51</f>
        <v>16403.131035091825</v>
      </c>
      <c r="G31" s="1" t="s">
        <v>3</v>
      </c>
      <c r="I31" s="38" t="s">
        <v>98</v>
      </c>
      <c r="J31" s="45">
        <f>ROUNDDOWN(J11/(F12/J12),0)</f>
        <v>5</v>
      </c>
      <c r="K31" s="39" t="s">
        <v>22</v>
      </c>
      <c r="L31" s="9"/>
      <c r="N31" s="31">
        <f t="shared" si="9"/>
        <v>0</v>
      </c>
      <c r="O31" s="31"/>
      <c r="P31" s="35">
        <f t="shared" si="1"/>
        <v>0</v>
      </c>
      <c r="Q31" s="36">
        <f t="shared" si="7"/>
        <v>0</v>
      </c>
      <c r="R31" s="37">
        <f t="shared" si="2"/>
        <v>0</v>
      </c>
      <c r="S31" s="37">
        <f t="shared" si="3"/>
        <v>0</v>
      </c>
      <c r="T31" s="37">
        <f t="shared" si="8"/>
        <v>0</v>
      </c>
      <c r="U31" s="37">
        <f t="shared" si="4"/>
        <v>0</v>
      </c>
      <c r="V31" s="37"/>
      <c r="W31" s="37">
        <f t="shared" si="5"/>
        <v>0</v>
      </c>
      <c r="X31" s="35">
        <f t="shared" si="6"/>
        <v>0</v>
      </c>
      <c r="Y31" s="34">
        <f t="shared" si="0"/>
        <v>0</v>
      </c>
      <c r="Z31" s="19"/>
      <c r="AA31" s="24">
        <f t="shared" ref="AA31:AA34" si="23">AA30+10</f>
        <v>20</v>
      </c>
      <c r="AB31" s="28">
        <f t="shared" si="22"/>
        <v>5.5498058413962499E-2</v>
      </c>
      <c r="AC31" s="30">
        <v>78395.010205525163</v>
      </c>
      <c r="AD31" s="58">
        <f t="shared" si="21"/>
        <v>0.6012815579208669</v>
      </c>
      <c r="AF31" s="24">
        <f t="shared" ref="AF31:AF34" si="24">AF30+10</f>
        <v>20</v>
      </c>
      <c r="AG31" s="29">
        <f t="shared" si="18"/>
        <v>65612.524140367299</v>
      </c>
      <c r="AH31" s="30">
        <v>90500.01197057472</v>
      </c>
      <c r="AI31" s="58">
        <f t="shared" si="19"/>
        <v>16.135161681570018</v>
      </c>
      <c r="AK31" s="134">
        <v>40</v>
      </c>
      <c r="AL31" s="135">
        <f t="shared" si="20"/>
        <v>32.27032336313998</v>
      </c>
      <c r="AM31" s="135">
        <f t="shared" si="12"/>
        <v>1.2025631158417525</v>
      </c>
      <c r="AN31" s="136">
        <f t="shared" si="10"/>
        <v>4.4774850789320935</v>
      </c>
      <c r="AO31" s="136">
        <f t="shared" si="11"/>
        <v>10.087714415317899</v>
      </c>
      <c r="AP31" s="136">
        <f t="shared" si="13"/>
        <v>7.8755932735974685</v>
      </c>
      <c r="AQ31" s="142">
        <f t="shared" si="14"/>
        <v>-1.2025631158417152</v>
      </c>
      <c r="AR31" s="68"/>
      <c r="AS31" s="68"/>
      <c r="AT31" s="68"/>
      <c r="AU31" s="68"/>
      <c r="AV31" s="68"/>
      <c r="AW31" s="68"/>
      <c r="AX31" s="68"/>
    </row>
    <row r="32" spans="1:50" x14ac:dyDescent="0.25">
      <c r="A32" s="21" t="s">
        <v>5</v>
      </c>
      <c r="B32" s="18">
        <f>IF(B12=0,0,-(B12/100)*$B$49)</f>
        <v>0</v>
      </c>
      <c r="C32" s="1" t="s">
        <v>3</v>
      </c>
      <c r="E32" s="22" t="s">
        <v>63</v>
      </c>
      <c r="F32" s="18">
        <f>B51-F31</f>
        <v>38273.972415214259</v>
      </c>
      <c r="G32" s="1" t="s">
        <v>3</v>
      </c>
      <c r="I32" s="38" t="s">
        <v>27</v>
      </c>
      <c r="J32" s="100">
        <f>IF(J24="Yes",SUM(F50:F51),0)</f>
        <v>0</v>
      </c>
      <c r="K32" s="39" t="s">
        <v>44</v>
      </c>
      <c r="L32" s="9"/>
      <c r="N32" s="31">
        <f t="shared" si="9"/>
        <v>0</v>
      </c>
      <c r="O32" s="31"/>
      <c r="P32" s="35">
        <f t="shared" si="1"/>
        <v>0</v>
      </c>
      <c r="Q32" s="36">
        <f t="shared" si="7"/>
        <v>0</v>
      </c>
      <c r="R32" s="37">
        <f t="shared" si="2"/>
        <v>0</v>
      </c>
      <c r="S32" s="37">
        <f t="shared" si="3"/>
        <v>0</v>
      </c>
      <c r="T32" s="37">
        <f t="shared" si="8"/>
        <v>0</v>
      </c>
      <c r="U32" s="37">
        <f t="shared" si="4"/>
        <v>0</v>
      </c>
      <c r="V32" s="37"/>
      <c r="W32" s="37">
        <f t="shared" si="5"/>
        <v>0</v>
      </c>
      <c r="X32" s="35">
        <f t="shared" si="6"/>
        <v>0</v>
      </c>
      <c r="Y32" s="34">
        <f t="shared" si="0"/>
        <v>0</v>
      </c>
      <c r="Z32" s="19"/>
      <c r="AA32" s="24">
        <f t="shared" si="23"/>
        <v>30</v>
      </c>
      <c r="AB32" s="28">
        <f t="shared" si="22"/>
        <v>6.0122896615126049E-2</v>
      </c>
      <c r="AC32" s="30">
        <v>78629.288900287444</v>
      </c>
      <c r="AD32" s="58">
        <f t="shared" si="21"/>
        <v>0.90192233688132839</v>
      </c>
      <c r="AF32" s="24">
        <f t="shared" si="24"/>
        <v>30</v>
      </c>
      <c r="AG32" s="29">
        <f t="shared" si="18"/>
        <v>71080.234485397901</v>
      </c>
      <c r="AH32" s="30">
        <v>96786.791547861707</v>
      </c>
      <c r="AI32" s="58">
        <f t="shared" si="19"/>
        <v>24.20274252235496</v>
      </c>
      <c r="AK32" s="134">
        <v>50</v>
      </c>
      <c r="AL32" s="135">
        <f t="shared" si="20"/>
        <v>40.337904203924978</v>
      </c>
      <c r="AM32" s="135">
        <f t="shared" si="12"/>
        <v>1.5032038948021953</v>
      </c>
      <c r="AN32" s="136">
        <f t="shared" si="10"/>
        <v>5.5968563486651535</v>
      </c>
      <c r="AO32" s="136">
        <f t="shared" si="11"/>
        <v>20.91034049467876</v>
      </c>
      <c r="AP32" s="136">
        <f t="shared" si="13"/>
        <v>9.844491591996773</v>
      </c>
      <c r="AQ32" s="142">
        <f t="shared" si="14"/>
        <v>-1.5032038948021391</v>
      </c>
      <c r="AR32" s="68"/>
      <c r="AS32" s="68"/>
      <c r="AT32" s="68"/>
      <c r="AU32" s="68"/>
      <c r="AV32" s="68"/>
      <c r="AW32" s="68"/>
      <c r="AX32" s="68"/>
    </row>
    <row r="33" spans="1:50" x14ac:dyDescent="0.25">
      <c r="A33" s="21" t="s">
        <v>6</v>
      </c>
      <c r="B33" s="18">
        <f>IF(B14=0,0,(B14/100)*$B$47)</f>
        <v>3575.9951612903233</v>
      </c>
      <c r="C33" s="1" t="s">
        <v>3</v>
      </c>
      <c r="E33" s="22" t="s">
        <v>64</v>
      </c>
      <c r="F33" s="10">
        <f>F32*(F22/100)*J20</f>
        <v>14352.739655705347</v>
      </c>
      <c r="G33" s="1" t="s">
        <v>3</v>
      </c>
      <c r="L33" s="9"/>
      <c r="N33" s="31">
        <f t="shared" si="9"/>
        <v>0</v>
      </c>
      <c r="O33" s="31"/>
      <c r="P33" s="35">
        <f t="shared" si="1"/>
        <v>0</v>
      </c>
      <c r="Q33" s="36">
        <f t="shared" si="7"/>
        <v>0</v>
      </c>
      <c r="R33" s="37">
        <f t="shared" si="2"/>
        <v>0</v>
      </c>
      <c r="S33" s="37">
        <f t="shared" si="3"/>
        <v>0</v>
      </c>
      <c r="T33" s="37">
        <f t="shared" si="8"/>
        <v>0</v>
      </c>
      <c r="U33" s="37">
        <f t="shared" si="4"/>
        <v>0</v>
      </c>
      <c r="V33" s="37"/>
      <c r="W33" s="37">
        <f t="shared" si="5"/>
        <v>0</v>
      </c>
      <c r="X33" s="35">
        <f t="shared" si="6"/>
        <v>0</v>
      </c>
      <c r="Y33" s="34">
        <f t="shared" si="0"/>
        <v>0</v>
      </c>
      <c r="Z33" s="19"/>
      <c r="AA33" s="24">
        <f t="shared" si="23"/>
        <v>40</v>
      </c>
      <c r="AB33" s="28">
        <f t="shared" si="22"/>
        <v>6.4747734816289579E-2</v>
      </c>
      <c r="AC33" s="30">
        <v>78863.567595049695</v>
      </c>
      <c r="AD33" s="58">
        <f t="shared" si="21"/>
        <v>1.2025631158417525</v>
      </c>
      <c r="AF33" s="24">
        <f t="shared" si="24"/>
        <v>40</v>
      </c>
      <c r="AG33" s="29">
        <f t="shared" si="18"/>
        <v>76547.944830428503</v>
      </c>
      <c r="AH33" s="30">
        <v>103073.57112514875</v>
      </c>
      <c r="AI33" s="58">
        <f t="shared" si="19"/>
        <v>32.27032336313998</v>
      </c>
      <c r="AK33" s="66"/>
      <c r="AL33" s="75"/>
      <c r="AM33" s="67"/>
      <c r="AN33" s="76"/>
      <c r="AP33" s="68"/>
      <c r="AQ33" s="68"/>
      <c r="AR33" s="68"/>
      <c r="AS33" s="68"/>
      <c r="AT33" s="68"/>
      <c r="AU33" s="68"/>
      <c r="AV33" s="68"/>
      <c r="AW33" s="68"/>
      <c r="AX33" s="68"/>
    </row>
    <row r="34" spans="1:50" x14ac:dyDescent="0.25">
      <c r="A34" s="21" t="s">
        <v>197</v>
      </c>
      <c r="B34" s="18">
        <f>IF(B16=0,0,(B16/B8))</f>
        <v>15.463127725435013</v>
      </c>
      <c r="C34" s="1" t="s">
        <v>3</v>
      </c>
      <c r="F34" s="46"/>
      <c r="I34" s="38" t="s">
        <v>85</v>
      </c>
      <c r="J34" s="42">
        <f>F12*B5</f>
        <v>320000</v>
      </c>
      <c r="K34" s="39" t="s">
        <v>40</v>
      </c>
      <c r="L34" s="9"/>
      <c r="N34" s="31">
        <f t="shared" si="9"/>
        <v>0</v>
      </c>
      <c r="O34" s="31"/>
      <c r="P34" s="35">
        <f t="shared" si="1"/>
        <v>0</v>
      </c>
      <c r="Q34" s="36">
        <f t="shared" si="7"/>
        <v>0</v>
      </c>
      <c r="R34" s="37">
        <f t="shared" si="2"/>
        <v>0</v>
      </c>
      <c r="S34" s="37">
        <f t="shared" si="3"/>
        <v>0</v>
      </c>
      <c r="T34" s="37">
        <f t="shared" si="8"/>
        <v>0</v>
      </c>
      <c r="U34" s="37">
        <f t="shared" si="4"/>
        <v>0</v>
      </c>
      <c r="V34" s="37"/>
      <c r="W34" s="37">
        <f t="shared" si="5"/>
        <v>0</v>
      </c>
      <c r="X34" s="35">
        <f t="shared" si="6"/>
        <v>0</v>
      </c>
      <c r="Y34" s="34">
        <f t="shared" si="0"/>
        <v>0</v>
      </c>
      <c r="Z34" s="19"/>
      <c r="AA34" s="24">
        <f t="shared" si="23"/>
        <v>50</v>
      </c>
      <c r="AB34" s="28">
        <f t="shared" si="22"/>
        <v>6.9372573017453129E-2</v>
      </c>
      <c r="AC34" s="30">
        <v>79097.846289811961</v>
      </c>
      <c r="AD34" s="58">
        <f t="shared" si="21"/>
        <v>1.5032038948021953</v>
      </c>
      <c r="AF34" s="24">
        <f t="shared" si="24"/>
        <v>50</v>
      </c>
      <c r="AG34" s="29">
        <f t="shared" si="18"/>
        <v>82015.65517545912</v>
      </c>
      <c r="AH34" s="30">
        <v>109360.35070243578</v>
      </c>
      <c r="AI34" s="58">
        <f t="shared" si="19"/>
        <v>40.337904203924978</v>
      </c>
      <c r="AK34" s="66"/>
      <c r="AL34" s="75"/>
      <c r="AM34" s="67"/>
      <c r="AN34" s="76"/>
      <c r="AP34" s="68"/>
      <c r="AQ34" s="68"/>
      <c r="AR34" s="68"/>
      <c r="AS34" s="68"/>
      <c r="AT34" s="68"/>
      <c r="AU34" s="68"/>
      <c r="AV34" s="68"/>
      <c r="AW34" s="68"/>
      <c r="AX34" s="68"/>
    </row>
    <row r="35" spans="1:50" x14ac:dyDescent="0.25">
      <c r="A35" s="21" t="s">
        <v>162</v>
      </c>
      <c r="B35" s="18">
        <f>IF(B17=0,0,(B17/100)*$B$47)</f>
        <v>0</v>
      </c>
      <c r="C35" s="1" t="s">
        <v>3</v>
      </c>
      <c r="E35" s="12" t="s">
        <v>97</v>
      </c>
      <c r="L35" s="9"/>
      <c r="N35" s="31">
        <f t="shared" si="9"/>
        <v>0</v>
      </c>
      <c r="O35" s="31"/>
      <c r="P35" s="35">
        <f t="shared" si="1"/>
        <v>0</v>
      </c>
      <c r="Q35" s="36">
        <f t="shared" si="7"/>
        <v>0</v>
      </c>
      <c r="R35" s="37">
        <f t="shared" si="2"/>
        <v>0</v>
      </c>
      <c r="S35" s="37">
        <f t="shared" si="3"/>
        <v>0</v>
      </c>
      <c r="T35" s="37">
        <f t="shared" si="8"/>
        <v>0</v>
      </c>
      <c r="U35" s="37">
        <f t="shared" si="4"/>
        <v>0</v>
      </c>
      <c r="V35" s="37"/>
      <c r="W35" s="37">
        <f t="shared" si="5"/>
        <v>0</v>
      </c>
      <c r="X35" s="35">
        <f t="shared" si="6"/>
        <v>0</v>
      </c>
      <c r="Y35" s="34">
        <f t="shared" si="0"/>
        <v>0</v>
      </c>
      <c r="Z35" s="19"/>
    </row>
    <row r="36" spans="1:50" x14ac:dyDescent="0.25">
      <c r="B36" s="18"/>
      <c r="E36" s="22" t="s">
        <v>32</v>
      </c>
      <c r="F36" s="23">
        <f>F13/$B$8</f>
        <v>4.6248382011635419E-2</v>
      </c>
      <c r="G36" s="1" t="s">
        <v>9</v>
      </c>
      <c r="L36" s="9"/>
      <c r="N36" s="31">
        <f t="shared" si="9"/>
        <v>0</v>
      </c>
      <c r="O36" s="31"/>
      <c r="P36" s="35">
        <f t="shared" si="1"/>
        <v>0</v>
      </c>
      <c r="Q36" s="36">
        <f t="shared" si="7"/>
        <v>0</v>
      </c>
      <c r="R36" s="37">
        <f t="shared" si="2"/>
        <v>0</v>
      </c>
      <c r="S36" s="37">
        <f t="shared" si="3"/>
        <v>0</v>
      </c>
      <c r="T36" s="37">
        <f t="shared" si="8"/>
        <v>0</v>
      </c>
      <c r="U36" s="37">
        <f t="shared" si="4"/>
        <v>0</v>
      </c>
      <c r="V36" s="37"/>
      <c r="W36" s="37">
        <f t="shared" si="5"/>
        <v>0</v>
      </c>
      <c r="X36" s="35">
        <f t="shared" si="6"/>
        <v>0</v>
      </c>
      <c r="Y36" s="34">
        <f t="shared" si="0"/>
        <v>0</v>
      </c>
      <c r="Z36" s="19"/>
      <c r="AA36" s="27" t="s">
        <v>38</v>
      </c>
      <c r="AB36" s="24"/>
      <c r="AC36" s="24"/>
      <c r="AD36" s="24"/>
      <c r="AF36" s="27" t="s">
        <v>84</v>
      </c>
      <c r="AG36" s="24"/>
      <c r="AH36" s="24"/>
      <c r="AI36" s="24"/>
    </row>
    <row r="37" spans="1:50" x14ac:dyDescent="0.25">
      <c r="E37" s="38" t="s">
        <v>41</v>
      </c>
      <c r="F37" s="41">
        <f>(F20/((1-J14%)*J10))/B8</f>
        <v>0</v>
      </c>
      <c r="G37" s="39" t="s">
        <v>9</v>
      </c>
      <c r="I37" s="12" t="s">
        <v>90</v>
      </c>
      <c r="J37" s="47">
        <f>SUM(J38:J41)</f>
        <v>1924.9350407634365</v>
      </c>
      <c r="K37" s="12" t="s">
        <v>44</v>
      </c>
      <c r="L37" s="9"/>
      <c r="N37" s="31">
        <f t="shared" si="9"/>
        <v>0</v>
      </c>
      <c r="O37" s="31"/>
      <c r="P37" s="35">
        <f t="shared" si="1"/>
        <v>0</v>
      </c>
      <c r="Q37" s="36">
        <f t="shared" si="7"/>
        <v>0</v>
      </c>
      <c r="R37" s="37">
        <f t="shared" si="2"/>
        <v>0</v>
      </c>
      <c r="S37" s="37">
        <f t="shared" si="3"/>
        <v>0</v>
      </c>
      <c r="T37" s="37">
        <f t="shared" si="8"/>
        <v>0</v>
      </c>
      <c r="U37" s="37">
        <f t="shared" si="4"/>
        <v>0</v>
      </c>
      <c r="V37" s="37"/>
      <c r="W37" s="37">
        <f t="shared" si="5"/>
        <v>0</v>
      </c>
      <c r="X37" s="35">
        <f t="shared" si="6"/>
        <v>0</v>
      </c>
      <c r="Y37" s="34">
        <f t="shared" si="0"/>
        <v>0</v>
      </c>
      <c r="Z37" s="19"/>
      <c r="AA37" s="24" t="s">
        <v>76</v>
      </c>
      <c r="AB37" s="24" t="s">
        <v>82</v>
      </c>
      <c r="AC37" s="24" t="s">
        <v>72</v>
      </c>
      <c r="AD37" s="24" t="s">
        <v>80</v>
      </c>
      <c r="AF37" s="24" t="s">
        <v>76</v>
      </c>
      <c r="AG37" s="24" t="s">
        <v>83</v>
      </c>
      <c r="AH37" s="24" t="s">
        <v>72</v>
      </c>
      <c r="AI37" s="24" t="s">
        <v>80</v>
      </c>
    </row>
    <row r="38" spans="1:50" x14ac:dyDescent="0.25">
      <c r="A38" s="21"/>
      <c r="B38" s="18"/>
      <c r="E38" s="22" t="s">
        <v>58</v>
      </c>
      <c r="F38" s="48">
        <f>F36*J17</f>
        <v>8.7871925822107302E-3</v>
      </c>
      <c r="G38" s="1" t="s">
        <v>57</v>
      </c>
      <c r="I38" s="22" t="str">
        <f>E17</f>
        <v>Inspection Fee</v>
      </c>
      <c r="J38" s="13">
        <f>F17/$B$8</f>
        <v>0</v>
      </c>
      <c r="K38" s="1" t="s">
        <v>44</v>
      </c>
      <c r="L38" s="9"/>
      <c r="N38" s="31">
        <f t="shared" si="9"/>
        <v>0</v>
      </c>
      <c r="O38" s="31"/>
      <c r="P38" s="35">
        <f t="shared" si="1"/>
        <v>0</v>
      </c>
      <c r="Q38" s="36">
        <f t="shared" si="7"/>
        <v>0</v>
      </c>
      <c r="R38" s="37">
        <f t="shared" si="2"/>
        <v>0</v>
      </c>
      <c r="S38" s="37">
        <f t="shared" si="3"/>
        <v>0</v>
      </c>
      <c r="T38" s="37">
        <f t="shared" si="8"/>
        <v>0</v>
      </c>
      <c r="U38" s="37">
        <f t="shared" si="4"/>
        <v>0</v>
      </c>
      <c r="V38" s="37"/>
      <c r="W38" s="37">
        <f t="shared" si="5"/>
        <v>0</v>
      </c>
      <c r="X38" s="35">
        <f t="shared" si="6"/>
        <v>0</v>
      </c>
      <c r="Y38" s="34">
        <f t="shared" si="0"/>
        <v>0</v>
      </c>
      <c r="Z38" s="19"/>
      <c r="AA38" s="24" t="s">
        <v>110</v>
      </c>
      <c r="AB38" s="25">
        <v>8505</v>
      </c>
      <c r="AC38" s="26">
        <f>Y49</f>
        <v>77926.452816000645</v>
      </c>
      <c r="AD38" s="24"/>
      <c r="AF38" s="24" t="s">
        <v>110</v>
      </c>
      <c r="AG38" s="29">
        <v>32000</v>
      </c>
      <c r="AH38" s="30">
        <f>Y49</f>
        <v>77926.452816000645</v>
      </c>
      <c r="AI38" s="24"/>
    </row>
    <row r="39" spans="1:50" x14ac:dyDescent="0.25">
      <c r="A39" s="21"/>
      <c r="B39" s="18"/>
      <c r="I39" s="22" t="s">
        <v>86</v>
      </c>
      <c r="J39" s="13">
        <f>F19/$B$8</f>
        <v>0</v>
      </c>
      <c r="K39" s="1" t="s">
        <v>44</v>
      </c>
      <c r="L39" s="9"/>
      <c r="N39" s="31">
        <f t="shared" si="9"/>
        <v>0</v>
      </c>
      <c r="O39" s="31"/>
      <c r="P39" s="35">
        <f t="shared" si="1"/>
        <v>0</v>
      </c>
      <c r="Q39" s="36">
        <f t="shared" si="7"/>
        <v>0</v>
      </c>
      <c r="R39" s="37">
        <f t="shared" si="2"/>
        <v>0</v>
      </c>
      <c r="S39" s="37">
        <f t="shared" si="3"/>
        <v>0</v>
      </c>
      <c r="T39" s="37">
        <f t="shared" si="8"/>
        <v>0</v>
      </c>
      <c r="U39" s="37">
        <f t="shared" si="4"/>
        <v>0</v>
      </c>
      <c r="V39" s="37"/>
      <c r="W39" s="37">
        <f t="shared" si="5"/>
        <v>0</v>
      </c>
      <c r="X39" s="35">
        <f t="shared" si="6"/>
        <v>0</v>
      </c>
      <c r="Y39" s="34">
        <f t="shared" si="0"/>
        <v>0</v>
      </c>
      <c r="Z39" s="19"/>
      <c r="AA39" s="24">
        <f t="shared" ref="AA39:AA42" si="25">AA40-10</f>
        <v>-50</v>
      </c>
      <c r="AB39" s="25">
        <f t="shared" ref="AB39:AB49" si="26">$AB$38*(1+(AA39/100))</f>
        <v>4252.5</v>
      </c>
      <c r="AC39" s="30">
        <f t="dataTable" ref="AC39:AC49" dt2D="0" dtr="0" r1="B46" ca="1"/>
        <v>73565.021194278816</v>
      </c>
      <c r="AD39" s="58">
        <f>100*((AC39-$AC$44)/$AC$44)</f>
        <v>-5.5968563486650789</v>
      </c>
      <c r="AF39" s="24">
        <f t="shared" ref="AF39:AF42" si="27">AF40-10</f>
        <v>-50</v>
      </c>
      <c r="AG39" s="29">
        <f t="shared" ref="AG39:AG49" si="28">$AG$38*(1+(AF39/100))</f>
        <v>16000</v>
      </c>
      <c r="AH39" s="30">
        <f t="dataTable" ref="AH39:AH49" dt2D="0" dtr="0" r1="F12" ca="1"/>
        <v>56610.531739308564</v>
      </c>
      <c r="AI39" s="58">
        <f>100*((AH39-$AH$44)/$AH$44)</f>
        <v>-27.353896278357588</v>
      </c>
    </row>
    <row r="40" spans="1:50" x14ac:dyDescent="0.25">
      <c r="B40" s="18"/>
      <c r="E40" s="22" t="s">
        <v>93</v>
      </c>
      <c r="F40" s="13">
        <f>F37*F12*J17</f>
        <v>0</v>
      </c>
      <c r="G40" s="1" t="s">
        <v>44</v>
      </c>
      <c r="I40" s="38" t="str">
        <f>E16</f>
        <v>Licensing Fee</v>
      </c>
      <c r="J40" s="49">
        <f>F16/$B$8</f>
        <v>4.9350407634367066</v>
      </c>
      <c r="K40" s="39" t="s">
        <v>44</v>
      </c>
      <c r="L40" s="9"/>
      <c r="N40" s="31">
        <f t="shared" si="9"/>
        <v>0</v>
      </c>
      <c r="O40" s="31"/>
      <c r="P40" s="35">
        <f t="shared" si="1"/>
        <v>0</v>
      </c>
      <c r="Q40" s="36">
        <f t="shared" si="7"/>
        <v>0</v>
      </c>
      <c r="R40" s="37">
        <f t="shared" si="2"/>
        <v>0</v>
      </c>
      <c r="S40" s="37">
        <f t="shared" si="3"/>
        <v>0</v>
      </c>
      <c r="T40" s="37">
        <f t="shared" si="8"/>
        <v>0</v>
      </c>
      <c r="U40" s="37">
        <f t="shared" si="4"/>
        <v>0</v>
      </c>
      <c r="V40" s="37"/>
      <c r="W40" s="37">
        <f t="shared" si="5"/>
        <v>0</v>
      </c>
      <c r="X40" s="35">
        <f t="shared" si="6"/>
        <v>0</v>
      </c>
      <c r="Y40" s="34">
        <f t="shared" si="0"/>
        <v>0</v>
      </c>
      <c r="Z40" s="19"/>
      <c r="AA40" s="24">
        <f t="shared" si="25"/>
        <v>-40</v>
      </c>
      <c r="AB40" s="25">
        <f t="shared" si="26"/>
        <v>5103</v>
      </c>
      <c r="AC40" s="30">
        <v>74437.307518623173</v>
      </c>
      <c r="AD40" s="58">
        <f t="shared" ref="AD40:AD49" si="29">100*((AC40-$AC$29)/$AC$29)</f>
        <v>-4.4774850789320748</v>
      </c>
      <c r="AF40" s="24">
        <f t="shared" si="27"/>
        <v>-40</v>
      </c>
      <c r="AG40" s="29">
        <f t="shared" si="28"/>
        <v>19200</v>
      </c>
      <c r="AH40" s="30">
        <v>64201.684096534394</v>
      </c>
      <c r="AI40" s="58">
        <f t="shared" ref="AI40:AI43" si="30">100*((AH40-$AH$44)/$AH$44)</f>
        <v>-17.612464347470137</v>
      </c>
    </row>
    <row r="41" spans="1:50" x14ac:dyDescent="0.25">
      <c r="E41" s="22" t="s">
        <v>94</v>
      </c>
      <c r="F41" s="46">
        <f>F38*F12</f>
        <v>281.19016263074337</v>
      </c>
      <c r="G41" t="s">
        <v>44</v>
      </c>
      <c r="I41" s="22" t="s">
        <v>66</v>
      </c>
      <c r="J41" s="20">
        <f>F21*F12/B8</f>
        <v>1919.9999999999998</v>
      </c>
      <c r="K41" s="1" t="s">
        <v>44</v>
      </c>
      <c r="L41" s="9"/>
      <c r="N41" s="31">
        <f t="shared" si="9"/>
        <v>0</v>
      </c>
      <c r="O41" s="31"/>
      <c r="P41" s="35">
        <f t="shared" si="1"/>
        <v>0</v>
      </c>
      <c r="Q41" s="36">
        <f t="shared" si="7"/>
        <v>0</v>
      </c>
      <c r="R41" s="37">
        <f t="shared" si="2"/>
        <v>0</v>
      </c>
      <c r="S41" s="37">
        <f t="shared" si="3"/>
        <v>0</v>
      </c>
      <c r="T41" s="37">
        <f t="shared" si="8"/>
        <v>0</v>
      </c>
      <c r="U41" s="37">
        <f t="shared" si="4"/>
        <v>0</v>
      </c>
      <c r="V41" s="37"/>
      <c r="W41" s="37">
        <f t="shared" si="5"/>
        <v>0</v>
      </c>
      <c r="X41" s="35">
        <f t="shared" si="6"/>
        <v>0</v>
      </c>
      <c r="Y41" s="34">
        <f t="shared" si="0"/>
        <v>0</v>
      </c>
      <c r="Z41" s="19"/>
      <c r="AA41" s="24">
        <f t="shared" si="25"/>
        <v>-30</v>
      </c>
      <c r="AB41" s="25">
        <f t="shared" si="26"/>
        <v>5953.5</v>
      </c>
      <c r="AC41" s="30">
        <v>75309.593842967544</v>
      </c>
      <c r="AD41" s="58">
        <f t="shared" si="29"/>
        <v>-3.3581138091990508</v>
      </c>
      <c r="AF41" s="24">
        <f t="shared" si="27"/>
        <v>-30</v>
      </c>
      <c r="AG41" s="29">
        <f t="shared" si="28"/>
        <v>22400</v>
      </c>
      <c r="AH41" s="30">
        <v>66220.626395244559</v>
      </c>
      <c r="AI41" s="58">
        <f t="shared" si="30"/>
        <v>-15.021633858268638</v>
      </c>
    </row>
    <row r="42" spans="1:50" x14ac:dyDescent="0.25">
      <c r="A42" s="11" t="s">
        <v>12</v>
      </c>
      <c r="B42" s="19"/>
      <c r="C42" s="12"/>
      <c r="L42" s="9"/>
      <c r="N42" s="31">
        <f t="shared" si="9"/>
        <v>0</v>
      </c>
      <c r="O42" s="31"/>
      <c r="P42" s="35">
        <f t="shared" si="1"/>
        <v>0</v>
      </c>
      <c r="Q42" s="36">
        <f t="shared" si="7"/>
        <v>0</v>
      </c>
      <c r="R42" s="37">
        <f t="shared" si="2"/>
        <v>0</v>
      </c>
      <c r="S42" s="37">
        <f t="shared" si="3"/>
        <v>0</v>
      </c>
      <c r="T42" s="37">
        <f t="shared" si="8"/>
        <v>0</v>
      </c>
      <c r="U42" s="37">
        <f t="shared" si="4"/>
        <v>0</v>
      </c>
      <c r="V42" s="37"/>
      <c r="W42" s="37">
        <f t="shared" si="5"/>
        <v>0</v>
      </c>
      <c r="X42" s="35">
        <f t="shared" si="6"/>
        <v>0</v>
      </c>
      <c r="Y42" s="34">
        <f t="shared" si="0"/>
        <v>0</v>
      </c>
      <c r="Z42" s="19"/>
      <c r="AA42" s="24">
        <f t="shared" si="25"/>
        <v>-20</v>
      </c>
      <c r="AB42" s="25">
        <f t="shared" si="26"/>
        <v>6804</v>
      </c>
      <c r="AC42" s="30">
        <v>76181.880167311916</v>
      </c>
      <c r="AD42" s="58">
        <f t="shared" si="29"/>
        <v>-2.2387425394660281</v>
      </c>
      <c r="AF42" s="24">
        <f t="shared" si="27"/>
        <v>-20</v>
      </c>
      <c r="AG42" s="29">
        <f t="shared" si="28"/>
        <v>25600</v>
      </c>
      <c r="AH42" s="30">
        <v>68250.334646303934</v>
      </c>
      <c r="AI42" s="58">
        <f t="shared" si="30"/>
        <v>-12.416987839217946</v>
      </c>
    </row>
    <row r="43" spans="1:50" x14ac:dyDescent="0.25">
      <c r="A43" s="22" t="s">
        <v>2</v>
      </c>
      <c r="B43" s="8">
        <f>J8/B8</f>
        <v>42580.645161290326</v>
      </c>
      <c r="C43" s="1" t="s">
        <v>3</v>
      </c>
      <c r="I43" s="12"/>
      <c r="L43" s="9"/>
      <c r="N43" s="31">
        <f t="shared" si="9"/>
        <v>0</v>
      </c>
      <c r="O43" s="31"/>
      <c r="P43" s="35">
        <f t="shared" si="1"/>
        <v>0</v>
      </c>
      <c r="Q43" s="36">
        <f t="shared" si="7"/>
        <v>0</v>
      </c>
      <c r="R43" s="37">
        <f t="shared" si="2"/>
        <v>0</v>
      </c>
      <c r="S43" s="37">
        <f t="shared" si="3"/>
        <v>0</v>
      </c>
      <c r="T43" s="37">
        <f t="shared" si="8"/>
        <v>0</v>
      </c>
      <c r="U43" s="37">
        <f t="shared" si="4"/>
        <v>0</v>
      </c>
      <c r="V43" s="37"/>
      <c r="W43" s="37">
        <f t="shared" si="5"/>
        <v>0</v>
      </c>
      <c r="X43" s="35">
        <f t="shared" si="6"/>
        <v>0</v>
      </c>
      <c r="Y43" s="34">
        <f t="shared" si="0"/>
        <v>0</v>
      </c>
      <c r="Z43" s="19"/>
      <c r="AA43" s="24">
        <f>AA44-10</f>
        <v>-10</v>
      </c>
      <c r="AB43" s="25">
        <f t="shared" si="26"/>
        <v>7654.5</v>
      </c>
      <c r="AC43" s="30">
        <v>77054.166491656288</v>
      </c>
      <c r="AD43" s="58">
        <f t="shared" si="29"/>
        <v>-1.1193712697330045</v>
      </c>
      <c r="AF43" s="24">
        <f>AF44-10</f>
        <v>-10</v>
      </c>
      <c r="AG43" s="29">
        <f t="shared" si="28"/>
        <v>28800</v>
      </c>
      <c r="AH43" s="30">
        <v>70291.271785663528</v>
      </c>
      <c r="AI43" s="58">
        <f t="shared" si="30"/>
        <v>-9.7979322225345591</v>
      </c>
    </row>
    <row r="44" spans="1:50" x14ac:dyDescent="0.25">
      <c r="A44" s="38" t="s">
        <v>116</v>
      </c>
      <c r="B44" s="42">
        <f>IF(J24="No",J9*J10,0)</f>
        <v>8505</v>
      </c>
      <c r="C44" s="39" t="s">
        <v>3</v>
      </c>
      <c r="E44" s="108" t="s">
        <v>178</v>
      </c>
      <c r="F44" s="105"/>
      <c r="G44" s="105"/>
      <c r="I44" s="22"/>
      <c r="J44" s="20"/>
      <c r="L44" s="9"/>
      <c r="N44" s="31">
        <f t="shared" si="9"/>
        <v>0</v>
      </c>
      <c r="O44" s="31"/>
      <c r="P44" s="35">
        <f t="shared" si="1"/>
        <v>0</v>
      </c>
      <c r="Q44" s="36">
        <f t="shared" si="7"/>
        <v>0</v>
      </c>
      <c r="R44" s="37">
        <f t="shared" si="2"/>
        <v>0</v>
      </c>
      <c r="S44" s="37">
        <f t="shared" si="3"/>
        <v>0</v>
      </c>
      <c r="T44" s="37">
        <f t="shared" si="8"/>
        <v>0</v>
      </c>
      <c r="U44" s="37">
        <f t="shared" si="4"/>
        <v>0</v>
      </c>
      <c r="V44" s="37"/>
      <c r="W44" s="37">
        <f t="shared" si="5"/>
        <v>0</v>
      </c>
      <c r="X44" s="35">
        <f t="shared" si="6"/>
        <v>0</v>
      </c>
      <c r="Y44" s="34">
        <f t="shared" si="0"/>
        <v>0</v>
      </c>
      <c r="Z44" s="19"/>
      <c r="AA44" s="60">
        <v>0</v>
      </c>
      <c r="AB44" s="65">
        <f>$AB$38*(1+(AA44/100))</f>
        <v>8505</v>
      </c>
      <c r="AC44" s="62">
        <v>77926.452816000645</v>
      </c>
      <c r="AD44" s="63">
        <f t="shared" si="29"/>
        <v>0</v>
      </c>
      <c r="AF44" s="60">
        <v>0</v>
      </c>
      <c r="AG44" s="61">
        <f t="shared" si="28"/>
        <v>32000</v>
      </c>
      <c r="AH44" s="62">
        <v>77926.452816000645</v>
      </c>
      <c r="AI44" s="63">
        <f>100*((AH44-$AH$44)/$AH$44)</f>
        <v>0</v>
      </c>
    </row>
    <row r="45" spans="1:50" x14ac:dyDescent="0.25">
      <c r="A45" s="21" t="s">
        <v>118</v>
      </c>
      <c r="B45" s="10">
        <f>(1+(B13/100))*B43</f>
        <v>42580.645161290326</v>
      </c>
      <c r="C45" s="1" t="s">
        <v>3</v>
      </c>
      <c r="E45" s="113" t="s">
        <v>183</v>
      </c>
      <c r="F45" s="109">
        <f>((1+(B13/100))*J9*J10)*(1+(B14%+B15%))</f>
        <v>9355.5</v>
      </c>
      <c r="G45" s="105" t="s">
        <v>3</v>
      </c>
      <c r="L45" s="9"/>
      <c r="N45" s="31">
        <f t="shared" si="9"/>
        <v>0</v>
      </c>
      <c r="O45" s="31"/>
      <c r="P45" s="35">
        <f t="shared" si="1"/>
        <v>0</v>
      </c>
      <c r="Q45" s="36">
        <f t="shared" si="7"/>
        <v>0</v>
      </c>
      <c r="R45" s="37">
        <f t="shared" si="2"/>
        <v>0</v>
      </c>
      <c r="S45" s="37">
        <f t="shared" si="3"/>
        <v>0</v>
      </c>
      <c r="T45" s="37">
        <f t="shared" si="8"/>
        <v>0</v>
      </c>
      <c r="U45" s="37">
        <f t="shared" si="4"/>
        <v>0</v>
      </c>
      <c r="V45" s="37"/>
      <c r="W45" s="37">
        <f t="shared" si="5"/>
        <v>0</v>
      </c>
      <c r="X45" s="35">
        <f t="shared" si="6"/>
        <v>0</v>
      </c>
      <c r="Y45" s="34">
        <f t="shared" si="0"/>
        <v>0</v>
      </c>
      <c r="Z45" s="19"/>
      <c r="AA45" s="24">
        <f>AA44+10</f>
        <v>10</v>
      </c>
      <c r="AB45" s="25">
        <f t="shared" si="26"/>
        <v>9355.5</v>
      </c>
      <c r="AC45" s="30">
        <v>78798.739140345016</v>
      </c>
      <c r="AD45" s="58">
        <f t="shared" si="29"/>
        <v>1.1193712697330234</v>
      </c>
      <c r="AF45" s="24">
        <f>AF44+10</f>
        <v>10</v>
      </c>
      <c r="AG45" s="29">
        <f t="shared" si="28"/>
        <v>35200</v>
      </c>
      <c r="AH45" s="30">
        <v>79695.02412984542</v>
      </c>
      <c r="AI45" s="58">
        <f t="shared" ref="AI45:AI49" si="31">100*((AH45-$AH$44)/$AH$44)</f>
        <v>2.2695390973598051</v>
      </c>
    </row>
    <row r="46" spans="1:50" x14ac:dyDescent="0.25">
      <c r="A46" s="21" t="s">
        <v>119</v>
      </c>
      <c r="B46" s="59">
        <f>(1+(B13/100))*B44</f>
        <v>8505</v>
      </c>
      <c r="C46" s="1" t="s">
        <v>3</v>
      </c>
      <c r="E46" s="105" t="s">
        <v>184</v>
      </c>
      <c r="F46" s="109">
        <f>((J21%)*F45)+(((1-J21%)*F45)*(1+(F22%*J20)))</f>
        <v>11811.318749999999</v>
      </c>
      <c r="G46" s="105" t="s">
        <v>3</v>
      </c>
      <c r="L46" s="9"/>
      <c r="N46" s="31">
        <f t="shared" si="9"/>
        <v>0</v>
      </c>
      <c r="O46" s="31"/>
      <c r="P46" s="35">
        <f t="shared" si="1"/>
        <v>0</v>
      </c>
      <c r="Q46" s="36">
        <f t="shared" si="7"/>
        <v>0</v>
      </c>
      <c r="R46" s="37">
        <f t="shared" si="2"/>
        <v>0</v>
      </c>
      <c r="S46" s="37">
        <f t="shared" si="3"/>
        <v>0</v>
      </c>
      <c r="T46" s="37">
        <f t="shared" si="8"/>
        <v>0</v>
      </c>
      <c r="U46" s="37">
        <f t="shared" si="4"/>
        <v>0</v>
      </c>
      <c r="V46" s="37"/>
      <c r="W46" s="37">
        <f t="shared" si="5"/>
        <v>0</v>
      </c>
      <c r="X46" s="35">
        <f t="shared" si="6"/>
        <v>0</v>
      </c>
      <c r="Y46" s="34">
        <f t="shared" si="0"/>
        <v>0</v>
      </c>
      <c r="Z46" s="19"/>
      <c r="AA46" s="24">
        <f t="shared" ref="AA46:AA49" si="32">AA45+10</f>
        <v>20</v>
      </c>
      <c r="AB46" s="25">
        <f t="shared" si="26"/>
        <v>10206</v>
      </c>
      <c r="AC46" s="30">
        <v>79671.025464689403</v>
      </c>
      <c r="AD46" s="58">
        <f t="shared" si="29"/>
        <v>2.2387425394660649</v>
      </c>
      <c r="AF46" s="24">
        <f t="shared" ref="AF46:AF49" si="33">AF45+10</f>
        <v>20</v>
      </c>
      <c r="AG46" s="29">
        <f t="shared" si="28"/>
        <v>38400</v>
      </c>
      <c r="AH46" s="30">
        <v>82250.30820237672</v>
      </c>
      <c r="AI46" s="58">
        <f t="shared" si="31"/>
        <v>5.5486362205983246</v>
      </c>
    </row>
    <row r="47" spans="1:50" x14ac:dyDescent="0.25">
      <c r="A47" s="1" t="s">
        <v>114</v>
      </c>
      <c r="B47" s="10">
        <f>B45+B46</f>
        <v>51085.645161290326</v>
      </c>
      <c r="C47" s="1" t="s">
        <v>3</v>
      </c>
      <c r="E47" s="105" t="s">
        <v>98</v>
      </c>
      <c r="F47" s="109">
        <f>J12*J11</f>
        <v>180000</v>
      </c>
      <c r="G47" s="105" t="s">
        <v>40</v>
      </c>
      <c r="L47" s="9"/>
      <c r="N47" s="31">
        <f t="shared" si="9"/>
        <v>0</v>
      </c>
      <c r="O47" s="31"/>
      <c r="P47" s="35">
        <f t="shared" si="1"/>
        <v>0</v>
      </c>
      <c r="Q47" s="36">
        <f t="shared" si="7"/>
        <v>0</v>
      </c>
      <c r="R47" s="37">
        <f t="shared" si="2"/>
        <v>0</v>
      </c>
      <c r="S47" s="37">
        <f t="shared" si="3"/>
        <v>0</v>
      </c>
      <c r="T47" s="37">
        <f t="shared" si="8"/>
        <v>0</v>
      </c>
      <c r="U47" s="37">
        <f t="shared" si="4"/>
        <v>0</v>
      </c>
      <c r="V47" s="37"/>
      <c r="W47" s="37">
        <f t="shared" si="5"/>
        <v>0</v>
      </c>
      <c r="X47" s="35">
        <f t="shared" si="6"/>
        <v>0</v>
      </c>
      <c r="Y47" s="34">
        <f t="shared" si="0"/>
        <v>0</v>
      </c>
      <c r="Z47" s="19"/>
      <c r="AA47" s="24">
        <f t="shared" si="32"/>
        <v>30</v>
      </c>
      <c r="AB47" s="25">
        <f t="shared" si="26"/>
        <v>11056.5</v>
      </c>
      <c r="AC47" s="30">
        <v>80543.311789033774</v>
      </c>
      <c r="AD47" s="58">
        <f t="shared" si="29"/>
        <v>3.3581138091990885</v>
      </c>
      <c r="AF47" s="24">
        <f t="shared" si="33"/>
        <v>30</v>
      </c>
      <c r="AG47" s="29">
        <f t="shared" si="28"/>
        <v>41600</v>
      </c>
      <c r="AH47" s="30">
        <v>84018.879516221496</v>
      </c>
      <c r="AI47" s="58">
        <f t="shared" si="31"/>
        <v>7.8181753179581301</v>
      </c>
    </row>
    <row r="48" spans="1:50" x14ac:dyDescent="0.25">
      <c r="A48" s="1" t="s">
        <v>169</v>
      </c>
      <c r="B48" s="78">
        <f>(1+B15/100)*B47</f>
        <v>52618.214516129039</v>
      </c>
      <c r="C48" s="1" t="s">
        <v>3</v>
      </c>
      <c r="E48" s="105" t="s">
        <v>179</v>
      </c>
      <c r="F48" s="110">
        <f>(F46/F47)*J25</f>
        <v>8.5303968749999987E-2</v>
      </c>
      <c r="G48" s="105" t="s">
        <v>57</v>
      </c>
      <c r="L48" s="9"/>
      <c r="N48" s="31">
        <f t="shared" si="9"/>
        <v>0</v>
      </c>
      <c r="O48" s="31"/>
      <c r="P48" s="35">
        <f t="shared" si="1"/>
        <v>0</v>
      </c>
      <c r="Q48" s="36">
        <f t="shared" si="7"/>
        <v>0</v>
      </c>
      <c r="R48" s="37">
        <f t="shared" si="2"/>
        <v>0</v>
      </c>
      <c r="S48" s="37">
        <f t="shared" si="3"/>
        <v>0</v>
      </c>
      <c r="T48" s="37">
        <f t="shared" si="8"/>
        <v>0</v>
      </c>
      <c r="U48" s="37">
        <f t="shared" si="4"/>
        <v>0</v>
      </c>
      <c r="V48" s="37"/>
      <c r="W48" s="37">
        <f t="shared" si="5"/>
        <v>0</v>
      </c>
      <c r="X48" s="35">
        <f t="shared" si="6"/>
        <v>0</v>
      </c>
      <c r="Y48" s="34">
        <f t="shared" si="0"/>
        <v>0</v>
      </c>
      <c r="Z48" s="19"/>
      <c r="AA48" s="24">
        <f t="shared" si="32"/>
        <v>40</v>
      </c>
      <c r="AB48" s="25">
        <f t="shared" si="26"/>
        <v>11907</v>
      </c>
      <c r="AC48" s="30">
        <v>81415.598113378132</v>
      </c>
      <c r="AD48" s="58">
        <f t="shared" si="29"/>
        <v>4.4774850789320935</v>
      </c>
      <c r="AF48" s="24">
        <f t="shared" si="33"/>
        <v>40</v>
      </c>
      <c r="AG48" s="29">
        <f t="shared" si="28"/>
        <v>44800</v>
      </c>
      <c r="AH48" s="30">
        <v>85787.450830066242</v>
      </c>
      <c r="AI48" s="58">
        <f t="shared" si="31"/>
        <v>10.087714415317899</v>
      </c>
    </row>
    <row r="49" spans="1:35" x14ac:dyDescent="0.25">
      <c r="A49" s="21" t="s">
        <v>117</v>
      </c>
      <c r="B49" s="18">
        <f>SUM(B33:B35)+SUM(B47)</f>
        <v>54677.10345030608</v>
      </c>
      <c r="C49" s="1" t="s">
        <v>3</v>
      </c>
      <c r="E49" s="105" t="s">
        <v>180</v>
      </c>
      <c r="F49" s="107">
        <f>J26*365</f>
        <v>36500</v>
      </c>
      <c r="G49" s="105" t="s">
        <v>35</v>
      </c>
      <c r="L49" s="9"/>
      <c r="N49" s="32" t="s">
        <v>73</v>
      </c>
      <c r="O49" s="34">
        <f>SUM(O8:O48)</f>
        <v>16403.131035091825</v>
      </c>
      <c r="P49" s="34">
        <f t="shared" ref="P49:W49" si="34">SUM(P8:P48)</f>
        <v>46464.664737778432</v>
      </c>
      <c r="Q49" s="34">
        <f t="shared" si="34"/>
        <v>2342.7869476225801</v>
      </c>
      <c r="R49" s="34">
        <f t="shared" si="34"/>
        <v>0</v>
      </c>
      <c r="S49" s="34">
        <f t="shared" si="34"/>
        <v>15382.362631544895</v>
      </c>
      <c r="T49" s="34">
        <f t="shared" si="34"/>
        <v>0</v>
      </c>
      <c r="U49" s="34">
        <f t="shared" si="34"/>
        <v>12473.064507468294</v>
      </c>
      <c r="V49" s="34">
        <f t="shared" si="34"/>
        <v>12.172557728672642</v>
      </c>
      <c r="W49" s="34">
        <f t="shared" si="34"/>
        <v>0</v>
      </c>
      <c r="X49" s="34">
        <f>SUM(X8:X48)</f>
        <v>-15151.729601234047</v>
      </c>
      <c r="Y49" s="34">
        <f>SUM(Y8:Y48)</f>
        <v>77926.452816000645</v>
      </c>
      <c r="Z49" s="19"/>
      <c r="AA49" s="24">
        <f t="shared" si="32"/>
        <v>50</v>
      </c>
      <c r="AB49" s="25">
        <f t="shared" si="26"/>
        <v>12757.5</v>
      </c>
      <c r="AC49" s="30">
        <v>82287.884437722532</v>
      </c>
      <c r="AD49" s="58">
        <f t="shared" si="29"/>
        <v>5.5968563486651535</v>
      </c>
      <c r="AF49" s="24">
        <f t="shared" si="33"/>
        <v>50</v>
      </c>
      <c r="AG49" s="29">
        <f t="shared" si="28"/>
        <v>48000</v>
      </c>
      <c r="AH49" s="30">
        <v>94221.139435251564</v>
      </c>
      <c r="AI49" s="58">
        <f t="shared" si="31"/>
        <v>20.91034049467876</v>
      </c>
    </row>
    <row r="50" spans="1:35" x14ac:dyDescent="0.25">
      <c r="A50" s="21" t="s">
        <v>188</v>
      </c>
      <c r="B50" s="18">
        <f>SUM(B31:B32)</f>
        <v>0</v>
      </c>
      <c r="C50" s="1" t="s">
        <v>3</v>
      </c>
      <c r="E50" s="105" t="s">
        <v>181</v>
      </c>
      <c r="F50" s="111">
        <f>F48*F49</f>
        <v>3113.5948593749995</v>
      </c>
      <c r="G50" s="112" t="s">
        <v>44</v>
      </c>
      <c r="L50" s="9"/>
      <c r="P50" s="18"/>
      <c r="S50" s="10">
        <f>S49+T49+V49</f>
        <v>15394.535189273567</v>
      </c>
      <c r="Y50" s="10"/>
      <c r="Z50" s="10"/>
    </row>
    <row r="51" spans="1:35" x14ac:dyDescent="0.25">
      <c r="A51" s="21" t="s">
        <v>189</v>
      </c>
      <c r="B51" s="18">
        <f>SUM(B49:B50)</f>
        <v>54677.10345030608</v>
      </c>
      <c r="C51" s="1" t="s">
        <v>3</v>
      </c>
      <c r="E51" s="105" t="s">
        <v>182</v>
      </c>
      <c r="F51" s="107">
        <f>IF(F12&gt;F49,(F12-F49)*F48,0)</f>
        <v>0</v>
      </c>
      <c r="G51" s="112" t="s">
        <v>44</v>
      </c>
      <c r="L51" s="9"/>
      <c r="AA51" s="27" t="s">
        <v>66</v>
      </c>
      <c r="AB51" s="24"/>
      <c r="AC51" s="24"/>
      <c r="AD51" s="24"/>
      <c r="AF51" s="114" t="s">
        <v>176</v>
      </c>
      <c r="AG51" s="115"/>
      <c r="AH51" s="115"/>
      <c r="AI51" s="115"/>
    </row>
    <row r="52" spans="1:35" x14ac:dyDescent="0.25">
      <c r="L52" s="9"/>
      <c r="AA52" s="24" t="s">
        <v>76</v>
      </c>
      <c r="AB52" s="24" t="s">
        <v>66</v>
      </c>
      <c r="AC52" s="24" t="s">
        <v>72</v>
      </c>
      <c r="AD52" s="24" t="s">
        <v>80</v>
      </c>
      <c r="AF52" s="115" t="s">
        <v>76</v>
      </c>
      <c r="AG52" s="115" t="s">
        <v>185</v>
      </c>
      <c r="AH52" s="115" t="s">
        <v>72</v>
      </c>
      <c r="AI52" s="115" t="s">
        <v>80</v>
      </c>
    </row>
    <row r="53" spans="1:35" ht="15.75" thickBot="1" x14ac:dyDescent="0.3">
      <c r="A53" s="14"/>
      <c r="B53" s="15"/>
      <c r="C53" s="15"/>
      <c r="D53" s="15"/>
      <c r="E53" s="15"/>
      <c r="F53" s="15"/>
      <c r="G53" s="15"/>
      <c r="H53" s="15"/>
      <c r="I53" s="15"/>
      <c r="J53" s="15"/>
      <c r="K53" s="15"/>
      <c r="L53" s="16"/>
      <c r="O53" s="12" t="s">
        <v>102</v>
      </c>
      <c r="P53" s="12"/>
      <c r="AA53" s="24" t="s">
        <v>110</v>
      </c>
      <c r="AB53" s="29">
        <v>1919.9999999999998</v>
      </c>
      <c r="AC53" s="30">
        <f>Y49</f>
        <v>77926.452816000645</v>
      </c>
      <c r="AD53" s="24"/>
      <c r="AF53" s="115" t="s">
        <v>110</v>
      </c>
      <c r="AG53" s="116">
        <v>100</v>
      </c>
      <c r="AH53" s="117">
        <f>Y49</f>
        <v>77926.452816000645</v>
      </c>
      <c r="AI53" s="115"/>
    </row>
    <row r="54" spans="1:35" x14ac:dyDescent="0.25">
      <c r="N54" s="50"/>
      <c r="O54" s="53" t="s">
        <v>103</v>
      </c>
      <c r="P54" s="54" t="s">
        <v>51</v>
      </c>
      <c r="Q54" s="50"/>
      <c r="R54" s="50"/>
      <c r="S54" s="50"/>
      <c r="T54" s="50"/>
      <c r="U54" s="50"/>
      <c r="V54" s="50"/>
      <c r="W54" s="70"/>
      <c r="Y54" s="68"/>
      <c r="Z54" s="68"/>
      <c r="AA54" s="24">
        <f t="shared" ref="AA54:AA57" si="35">AA55-10</f>
        <v>-50</v>
      </c>
      <c r="AB54" s="29">
        <f>$AB$53*(1+(AA54/100))</f>
        <v>959.99999999999989</v>
      </c>
      <c r="AC54" s="30">
        <f t="dataTable" ref="AC54:AC64" dt2D="0" dtr="0" r1="J41" ca="1"/>
        <v>70254.989720588143</v>
      </c>
      <c r="AD54" s="58">
        <f>100*((AC54-$AC$59)/$AC$59)</f>
        <v>-9.8444915919967553</v>
      </c>
      <c r="AF54" s="115">
        <f t="shared" ref="AF54:AF56" si="36">AF55-20</f>
        <v>-100</v>
      </c>
      <c r="AG54" s="116">
        <f>$AG$53*(1+(AF54/100))</f>
        <v>0</v>
      </c>
      <c r="AH54" s="117">
        <f t="dataTable" ref="AH54:AH64" dt2D="0" dtr="0" r1="J26" ca="1"/>
        <v>77926.452816000645</v>
      </c>
      <c r="AI54" s="58">
        <f>100*((AH54-$AH$59)/$AH$59)</f>
        <v>0</v>
      </c>
    </row>
    <row r="55" spans="1:35" x14ac:dyDescent="0.25">
      <c r="O55" s="1" t="s">
        <v>104</v>
      </c>
      <c r="P55" s="10">
        <f>SUM(O49:P49)</f>
        <v>62867.79577287026</v>
      </c>
      <c r="Q55" s="1" t="s">
        <v>3</v>
      </c>
      <c r="R55" s="56">
        <f>P55/$J$34</f>
        <v>0.19646186179021957</v>
      </c>
      <c r="S55" s="1" t="s">
        <v>57</v>
      </c>
      <c r="W55" s="70"/>
      <c r="Y55" s="68"/>
      <c r="Z55" s="68"/>
      <c r="AA55" s="24">
        <f t="shared" si="35"/>
        <v>-40</v>
      </c>
      <c r="AB55" s="29">
        <f t="shared" ref="AB55:AB64" si="37">$AB$53*(1+(AA55/100))</f>
        <v>1151.9999999999998</v>
      </c>
      <c r="AC55" s="30">
        <v>71789.282339670637</v>
      </c>
      <c r="AD55" s="58">
        <f t="shared" ref="AD55:AD64" si="38">100*((AC55-$AC$59)/$AC$59)</f>
        <v>-7.8755932735974117</v>
      </c>
      <c r="AF55" s="115">
        <f t="shared" si="36"/>
        <v>-80</v>
      </c>
      <c r="AG55" s="116">
        <f t="shared" ref="AG55:AG64" si="39">$AG$53*(1+(AF55/100))</f>
        <v>19.999999999999996</v>
      </c>
      <c r="AH55" s="117">
        <v>77926.452816000645</v>
      </c>
      <c r="AI55" s="58">
        <f t="shared" ref="AI55:AI64" si="40">100*((AH55-$AH$59)/$AH$59)</f>
        <v>0</v>
      </c>
    </row>
    <row r="56" spans="1:35" x14ac:dyDescent="0.25">
      <c r="O56" s="1" t="s">
        <v>97</v>
      </c>
      <c r="P56" s="52">
        <f>SUM(Q49:R49)</f>
        <v>2342.7869476225801</v>
      </c>
      <c r="Q56" s="1" t="s">
        <v>3</v>
      </c>
      <c r="R56" s="56">
        <f>P56/$J$34</f>
        <v>7.321209211320563E-3</v>
      </c>
      <c r="S56" s="1" t="s">
        <v>57</v>
      </c>
      <c r="U56" s="51"/>
      <c r="V56" s="51"/>
      <c r="W56" s="70"/>
      <c r="Y56" s="68"/>
      <c r="Z56" s="68"/>
      <c r="AA56" s="24">
        <f t="shared" si="35"/>
        <v>-30</v>
      </c>
      <c r="AB56" s="29">
        <f t="shared" si="37"/>
        <v>1343.9999999999998</v>
      </c>
      <c r="AC56" s="30">
        <v>73323.574958753161</v>
      </c>
      <c r="AD56" s="58">
        <f t="shared" si="38"/>
        <v>-5.9066949551980308</v>
      </c>
      <c r="AF56" s="115">
        <f t="shared" si="36"/>
        <v>-60</v>
      </c>
      <c r="AG56" s="116">
        <f t="shared" si="39"/>
        <v>40</v>
      </c>
      <c r="AH56" s="117">
        <v>77926.452816000645</v>
      </c>
      <c r="AI56" s="58">
        <f t="shared" si="40"/>
        <v>0</v>
      </c>
    </row>
    <row r="57" spans="1:35" x14ac:dyDescent="0.25">
      <c r="O57" s="1" t="s">
        <v>115</v>
      </c>
      <c r="P57" s="52">
        <f>SUM(S49:T49)</f>
        <v>15382.362631544895</v>
      </c>
      <c r="Q57" s="1" t="s">
        <v>3</v>
      </c>
      <c r="R57" s="56">
        <f>P57/$J$34</f>
        <v>4.8069883223577796E-2</v>
      </c>
      <c r="S57" s="1" t="s">
        <v>57</v>
      </c>
      <c r="U57" s="51"/>
      <c r="V57" s="51"/>
      <c r="W57" s="70"/>
      <c r="Y57" s="68"/>
      <c r="Z57" s="68"/>
      <c r="AA57" s="24">
        <f t="shared" si="35"/>
        <v>-20</v>
      </c>
      <c r="AB57" s="29">
        <f t="shared" si="37"/>
        <v>1536</v>
      </c>
      <c r="AC57" s="30">
        <v>74857.867577835656</v>
      </c>
      <c r="AD57" s="58">
        <f t="shared" si="38"/>
        <v>-3.9377966367986872</v>
      </c>
      <c r="AF57" s="115">
        <f>AF58-20</f>
        <v>-40</v>
      </c>
      <c r="AG57" s="116">
        <f t="shared" si="39"/>
        <v>60</v>
      </c>
      <c r="AH57" s="117">
        <v>77926.452816000645</v>
      </c>
      <c r="AI57" s="58">
        <f t="shared" si="40"/>
        <v>0</v>
      </c>
    </row>
    <row r="58" spans="1:35" x14ac:dyDescent="0.25">
      <c r="O58" s="1" t="s">
        <v>105</v>
      </c>
      <c r="P58" s="52">
        <f>SUM(U49:W49)</f>
        <v>12485.237065196967</v>
      </c>
      <c r="Q58" s="1" t="s">
        <v>3</v>
      </c>
      <c r="R58" s="56">
        <f>P58/$J$34</f>
        <v>3.9016365828740518E-2</v>
      </c>
      <c r="S58" s="1" t="s">
        <v>57</v>
      </c>
      <c r="U58" s="51"/>
      <c r="V58" s="51"/>
      <c r="W58" s="70"/>
      <c r="Y58" s="68"/>
      <c r="Z58" s="68"/>
      <c r="AA58" s="24">
        <f>AA59-10</f>
        <v>-10</v>
      </c>
      <c r="AB58" s="29">
        <f t="shared" si="37"/>
        <v>1727.9999999999998</v>
      </c>
      <c r="AC58" s="30">
        <v>76392.16019691815</v>
      </c>
      <c r="AD58" s="58">
        <f t="shared" si="38"/>
        <v>-1.9688983183993436</v>
      </c>
      <c r="AF58" s="115">
        <f>AF59-20</f>
        <v>-20</v>
      </c>
      <c r="AG58" s="116">
        <f t="shared" si="39"/>
        <v>80</v>
      </c>
      <c r="AH58" s="117">
        <v>77926.452816000645</v>
      </c>
      <c r="AI58" s="58">
        <f t="shared" si="40"/>
        <v>0</v>
      </c>
    </row>
    <row r="59" spans="1:35" x14ac:dyDescent="0.25">
      <c r="O59" s="1" t="s">
        <v>106</v>
      </c>
      <c r="P59" s="52">
        <f>X49</f>
        <v>-15151.729601234047</v>
      </c>
      <c r="Q59" s="1" t="s">
        <v>3</v>
      </c>
      <c r="R59" s="56">
        <f>P59/$J$34</f>
        <v>-4.7349155003856398E-2</v>
      </c>
      <c r="S59" s="1" t="s">
        <v>57</v>
      </c>
      <c r="U59" s="51"/>
      <c r="V59" s="51"/>
      <c r="W59" s="70"/>
      <c r="Y59" s="68"/>
      <c r="Z59" s="68"/>
      <c r="AA59" s="60">
        <v>0</v>
      </c>
      <c r="AB59" s="61">
        <f t="shared" si="37"/>
        <v>1919.9999999999998</v>
      </c>
      <c r="AC59" s="62">
        <v>77926.452816000645</v>
      </c>
      <c r="AD59" s="63">
        <f t="shared" si="38"/>
        <v>0</v>
      </c>
      <c r="AF59" s="118">
        <v>0</v>
      </c>
      <c r="AG59" s="119">
        <f t="shared" si="39"/>
        <v>100</v>
      </c>
      <c r="AH59" s="120">
        <v>77926.452816000645</v>
      </c>
      <c r="AI59" s="63">
        <f t="shared" si="40"/>
        <v>0</v>
      </c>
    </row>
    <row r="60" spans="1:35" x14ac:dyDescent="0.25">
      <c r="O60" s="12" t="s">
        <v>74</v>
      </c>
      <c r="P60" s="55">
        <f>SUM(P55:P59)</f>
        <v>77926.452816000659</v>
      </c>
      <c r="Q60" s="12" t="s">
        <v>3</v>
      </c>
      <c r="R60" s="57">
        <f>SUM(R55:R59)</f>
        <v>0.24352016505000207</v>
      </c>
      <c r="S60" s="12" t="s">
        <v>57</v>
      </c>
      <c r="T60" s="12"/>
      <c r="U60" s="51"/>
      <c r="V60" s="51"/>
      <c r="W60" s="70"/>
      <c r="Y60" s="68"/>
      <c r="Z60" s="68"/>
      <c r="AA60" s="24">
        <f>AA59+10</f>
        <v>10</v>
      </c>
      <c r="AB60" s="29">
        <f t="shared" si="37"/>
        <v>2112</v>
      </c>
      <c r="AC60" s="30">
        <v>79460.745435083154</v>
      </c>
      <c r="AD60" s="58">
        <f t="shared" si="38"/>
        <v>1.9688983183993622</v>
      </c>
      <c r="AF60" s="115">
        <f>AF59+20</f>
        <v>20</v>
      </c>
      <c r="AG60" s="116">
        <f t="shared" si="39"/>
        <v>120</v>
      </c>
      <c r="AH60" s="117">
        <v>77926.452816000645</v>
      </c>
      <c r="AI60" s="58">
        <f t="shared" si="40"/>
        <v>0</v>
      </c>
    </row>
    <row r="61" spans="1:35" x14ac:dyDescent="0.25">
      <c r="T61" s="51"/>
      <c r="U61" s="51"/>
      <c r="V61" s="51"/>
      <c r="W61" s="70"/>
      <c r="Y61" s="68"/>
      <c r="Z61" s="68"/>
      <c r="AA61" s="24">
        <f t="shared" ref="AA61:AA64" si="41">AA60+10</f>
        <v>20</v>
      </c>
      <c r="AB61" s="29">
        <f t="shared" si="37"/>
        <v>2303.9999999999995</v>
      </c>
      <c r="AC61" s="30">
        <v>80995.038054165663</v>
      </c>
      <c r="AD61" s="58">
        <f t="shared" si="38"/>
        <v>3.9377966367987245</v>
      </c>
      <c r="AF61" s="115">
        <f t="shared" ref="AF61:AF64" si="42">AF60+20</f>
        <v>40</v>
      </c>
      <c r="AG61" s="116">
        <f t="shared" si="39"/>
        <v>140</v>
      </c>
      <c r="AH61" s="117">
        <v>77926.452816000645</v>
      </c>
      <c r="AI61" s="58">
        <f t="shared" si="40"/>
        <v>0</v>
      </c>
    </row>
    <row r="62" spans="1:35" x14ac:dyDescent="0.25">
      <c r="P62" s="51"/>
      <c r="Q62" s="51"/>
      <c r="R62" s="51"/>
      <c r="S62" s="51"/>
      <c r="T62" s="51"/>
      <c r="U62" s="51"/>
      <c r="V62" s="51"/>
      <c r="W62" s="70"/>
      <c r="Y62" s="68"/>
      <c r="Z62" s="68"/>
      <c r="AA62" s="24">
        <f t="shared" si="41"/>
        <v>30</v>
      </c>
      <c r="AB62" s="29">
        <f t="shared" si="37"/>
        <v>2496</v>
      </c>
      <c r="AC62" s="30">
        <v>82529.330673248158</v>
      </c>
      <c r="AD62" s="58">
        <f t="shared" si="38"/>
        <v>5.9066949551980681</v>
      </c>
      <c r="AF62" s="115">
        <f t="shared" si="42"/>
        <v>60</v>
      </c>
      <c r="AG62" s="116">
        <f t="shared" si="39"/>
        <v>160</v>
      </c>
      <c r="AH62" s="117">
        <v>77926.452816000645</v>
      </c>
      <c r="AI62" s="58">
        <f t="shared" si="40"/>
        <v>0</v>
      </c>
    </row>
    <row r="63" spans="1:35" x14ac:dyDescent="0.25">
      <c r="P63" s="51"/>
      <c r="Q63" s="51"/>
      <c r="R63" s="51"/>
      <c r="S63" s="51"/>
      <c r="T63" s="51"/>
      <c r="U63" s="51"/>
      <c r="V63" s="51"/>
      <c r="W63" s="70"/>
      <c r="Y63" s="68"/>
      <c r="Z63" s="68"/>
      <c r="AA63" s="24">
        <f t="shared" si="41"/>
        <v>40</v>
      </c>
      <c r="AB63" s="29">
        <f t="shared" si="37"/>
        <v>2687.9999999999995</v>
      </c>
      <c r="AC63" s="30">
        <v>84063.623292330696</v>
      </c>
      <c r="AD63" s="58">
        <f t="shared" si="38"/>
        <v>7.8755932735974685</v>
      </c>
      <c r="AF63" s="115">
        <f t="shared" si="42"/>
        <v>80</v>
      </c>
      <c r="AG63" s="116">
        <f t="shared" si="39"/>
        <v>180</v>
      </c>
      <c r="AH63" s="117">
        <v>77926.452816000645</v>
      </c>
      <c r="AI63" s="58">
        <f t="shared" si="40"/>
        <v>0</v>
      </c>
    </row>
    <row r="64" spans="1:35" x14ac:dyDescent="0.25">
      <c r="P64" s="51"/>
      <c r="Q64" s="51"/>
      <c r="R64" s="51"/>
      <c r="S64" s="51"/>
      <c r="T64" s="51"/>
      <c r="U64" s="51"/>
      <c r="V64" s="51"/>
      <c r="W64" s="70"/>
      <c r="Y64" s="68"/>
      <c r="Z64" s="68"/>
      <c r="AA64" s="24">
        <f t="shared" si="41"/>
        <v>50</v>
      </c>
      <c r="AB64" s="29">
        <f t="shared" si="37"/>
        <v>2879.9999999999995</v>
      </c>
      <c r="AC64" s="30">
        <v>85597.915911413162</v>
      </c>
      <c r="AD64" s="58">
        <f t="shared" si="38"/>
        <v>9.844491591996773</v>
      </c>
      <c r="AF64" s="115">
        <f t="shared" si="42"/>
        <v>100</v>
      </c>
      <c r="AG64" s="116">
        <f t="shared" si="39"/>
        <v>200</v>
      </c>
      <c r="AH64" s="117">
        <v>77926.452816000645</v>
      </c>
      <c r="AI64" s="58">
        <f t="shared" si="40"/>
        <v>0</v>
      </c>
    </row>
    <row r="65" spans="16:35" x14ac:dyDescent="0.25">
      <c r="P65" s="51"/>
      <c r="Q65" s="51"/>
      <c r="R65" s="51"/>
      <c r="S65" s="51"/>
      <c r="T65" s="51"/>
      <c r="U65" s="51"/>
      <c r="V65" s="51"/>
      <c r="W65" s="70"/>
      <c r="Y65" s="68"/>
      <c r="Z65" s="68"/>
      <c r="AG65" s="20"/>
      <c r="AH65" s="43"/>
      <c r="AI65" s="71"/>
    </row>
    <row r="66" spans="16:35" x14ac:dyDescent="0.25">
      <c r="P66" s="51"/>
      <c r="Q66" s="51"/>
      <c r="R66" s="51"/>
      <c r="S66" s="51"/>
      <c r="T66" s="51"/>
      <c r="U66" s="51"/>
      <c r="V66" s="51"/>
      <c r="W66" s="70"/>
      <c r="Y66" s="68"/>
      <c r="Z66" s="68"/>
      <c r="AA66" s="114" t="s">
        <v>213</v>
      </c>
      <c r="AB66" s="115"/>
      <c r="AC66" s="115"/>
      <c r="AD66" s="115"/>
      <c r="AG66" s="20"/>
      <c r="AH66" s="43"/>
      <c r="AI66" s="71"/>
    </row>
    <row r="67" spans="16:35" x14ac:dyDescent="0.25">
      <c r="P67" s="51"/>
      <c r="Q67" s="51"/>
      <c r="R67" s="51"/>
      <c r="S67" s="51"/>
      <c r="T67" s="51"/>
      <c r="U67" s="51"/>
      <c r="V67" s="51"/>
      <c r="W67" s="70"/>
      <c r="Y67" s="68"/>
      <c r="Z67" s="68"/>
      <c r="AA67" s="115" t="s">
        <v>76</v>
      </c>
      <c r="AB67" s="115" t="s">
        <v>213</v>
      </c>
      <c r="AC67" s="115" t="s">
        <v>72</v>
      </c>
      <c r="AD67" s="115" t="s">
        <v>80</v>
      </c>
    </row>
    <row r="68" spans="16:35" x14ac:dyDescent="0.25">
      <c r="P68" s="51"/>
      <c r="Q68" s="51"/>
      <c r="R68" s="51"/>
      <c r="S68" s="51"/>
      <c r="T68" s="51"/>
      <c r="U68" s="51"/>
      <c r="V68" s="51"/>
      <c r="W68" s="70"/>
      <c r="Y68" s="68"/>
      <c r="Z68" s="68"/>
      <c r="AA68" s="115" t="s">
        <v>110</v>
      </c>
      <c r="AB68" s="137">
        <v>0.19</v>
      </c>
      <c r="AC68" s="117">
        <f>Y49</f>
        <v>77926.452816000645</v>
      </c>
      <c r="AD68" s="115"/>
    </row>
    <row r="69" spans="16:35" x14ac:dyDescent="0.25">
      <c r="P69" s="51"/>
      <c r="Q69" s="51"/>
      <c r="R69" s="51"/>
      <c r="S69" s="51"/>
      <c r="T69" s="51"/>
      <c r="U69" s="51"/>
      <c r="V69" s="51"/>
      <c r="W69" s="51"/>
      <c r="Y69" s="69"/>
      <c r="Z69" s="69"/>
      <c r="AA69" s="115">
        <f t="shared" ref="AA69:AA73" si="43">AA70-10</f>
        <v>-50</v>
      </c>
      <c r="AB69" s="137">
        <f>$AB$68*(1-(AA69/100))</f>
        <v>0.28500000000000003</v>
      </c>
      <c r="AC69" s="117">
        <f t="dataTable" ref="AC69:AC79" dt2D="0" dtr="0" r1="J17"/>
        <v>79097.846289811961</v>
      </c>
      <c r="AD69" s="138">
        <f>100*((AC69-$AC$74)/$AC$74)</f>
        <v>1.5032038948021953</v>
      </c>
    </row>
    <row r="70" spans="16:35" x14ac:dyDescent="0.25">
      <c r="P70" s="51"/>
      <c r="Q70" s="51"/>
      <c r="R70" s="51"/>
      <c r="S70" s="51"/>
      <c r="T70" s="51"/>
      <c r="U70" s="51"/>
      <c r="V70" s="51"/>
      <c r="W70" s="51"/>
      <c r="AA70" s="115">
        <f t="shared" si="43"/>
        <v>-40</v>
      </c>
      <c r="AB70" s="137">
        <f t="shared" ref="AB70:AB73" si="44">$AB$68*(1-(AA70/100))</f>
        <v>0.26599999999999996</v>
      </c>
      <c r="AC70" s="117">
        <v>78863.567595049695</v>
      </c>
      <c r="AD70" s="138">
        <f t="shared" ref="AD70:AD79" si="45">100*((AC70-$AC$74)/$AC$74)</f>
        <v>1.2025631158417525</v>
      </c>
    </row>
    <row r="71" spans="16:35" x14ac:dyDescent="0.25">
      <c r="P71" s="51"/>
      <c r="Q71" s="51"/>
      <c r="R71" s="51"/>
      <c r="S71" s="51"/>
      <c r="T71" s="51"/>
      <c r="U71" s="51"/>
      <c r="V71" s="51"/>
      <c r="W71" s="51"/>
      <c r="AA71" s="115">
        <f t="shared" si="43"/>
        <v>-30</v>
      </c>
      <c r="AB71" s="137">
        <f t="shared" si="44"/>
        <v>0.24700000000000003</v>
      </c>
      <c r="AC71" s="117">
        <v>78629.288900287444</v>
      </c>
      <c r="AD71" s="138">
        <f t="shared" si="45"/>
        <v>0.90192233688132839</v>
      </c>
    </row>
    <row r="72" spans="16:35" x14ac:dyDescent="0.25">
      <c r="P72" s="51"/>
      <c r="Q72" s="51"/>
      <c r="R72" s="51"/>
      <c r="S72" s="51"/>
      <c r="T72" s="51"/>
      <c r="U72" s="51"/>
      <c r="V72" s="51"/>
      <c r="W72" s="51"/>
      <c r="AA72" s="115">
        <f t="shared" si="43"/>
        <v>-20</v>
      </c>
      <c r="AB72" s="137">
        <f t="shared" si="44"/>
        <v>0.22799999999999998</v>
      </c>
      <c r="AC72" s="117">
        <v>78395.010205525163</v>
      </c>
      <c r="AD72" s="138">
        <f t="shared" si="45"/>
        <v>0.6012815579208669</v>
      </c>
    </row>
    <row r="73" spans="16:35" x14ac:dyDescent="0.25">
      <c r="P73" s="51"/>
      <c r="Q73" s="51"/>
      <c r="R73" s="51"/>
      <c r="S73" s="51"/>
      <c r="T73" s="51"/>
      <c r="U73" s="51"/>
      <c r="V73" s="51"/>
      <c r="W73" s="51"/>
      <c r="AA73" s="115">
        <f t="shared" si="43"/>
        <v>-10</v>
      </c>
      <c r="AB73" s="137">
        <f t="shared" si="44"/>
        <v>0.20900000000000002</v>
      </c>
      <c r="AC73" s="117">
        <v>78160.731510762926</v>
      </c>
      <c r="AD73" s="138">
        <f t="shared" si="45"/>
        <v>0.30064077896046149</v>
      </c>
    </row>
    <row r="74" spans="16:35" x14ac:dyDescent="0.25">
      <c r="P74" s="51"/>
      <c r="Q74" s="51"/>
      <c r="R74" s="51"/>
      <c r="S74" s="51"/>
      <c r="T74" s="51"/>
      <c r="U74" s="51"/>
      <c r="V74" s="51"/>
      <c r="W74" s="51"/>
      <c r="AA74" s="118">
        <v>0</v>
      </c>
      <c r="AB74" s="139">
        <f t="shared" ref="AB74" si="46">$AB$68*(1+(AA74/100))</f>
        <v>0.19</v>
      </c>
      <c r="AC74" s="120">
        <v>77926.452816000645</v>
      </c>
      <c r="AD74" s="140">
        <f t="shared" si="45"/>
        <v>0</v>
      </c>
    </row>
    <row r="75" spans="16:35" x14ac:dyDescent="0.25">
      <c r="P75" s="51"/>
      <c r="Q75" s="51"/>
      <c r="R75" s="51"/>
      <c r="S75" s="51"/>
      <c r="T75" s="51"/>
      <c r="U75" s="51"/>
      <c r="V75" s="51"/>
      <c r="W75" s="51"/>
      <c r="AA75" s="115">
        <f t="shared" ref="AA75:AA79" si="47">AA74+10</f>
        <v>10</v>
      </c>
      <c r="AB75" s="137">
        <f t="shared" ref="AB75:AB79" si="48">$AB$68*(1-(AA75/100))</f>
        <v>0.17100000000000001</v>
      </c>
      <c r="AC75" s="117">
        <v>77692.174121238393</v>
      </c>
      <c r="AD75" s="138">
        <f t="shared" si="45"/>
        <v>-0.30064077896042407</v>
      </c>
    </row>
    <row r="76" spans="16:35" x14ac:dyDescent="0.25">
      <c r="P76" s="51"/>
      <c r="Q76" s="51"/>
      <c r="R76" s="51"/>
      <c r="S76" s="51"/>
      <c r="T76" s="51"/>
      <c r="U76" s="51"/>
      <c r="V76" s="51"/>
      <c r="W76" s="51"/>
      <c r="AA76" s="115">
        <f t="shared" si="47"/>
        <v>20</v>
      </c>
      <c r="AB76" s="137">
        <f t="shared" si="48"/>
        <v>0.15200000000000002</v>
      </c>
      <c r="AC76" s="117">
        <v>77457.895426476112</v>
      </c>
      <c r="AD76" s="138">
        <f t="shared" si="45"/>
        <v>-0.60128155792088556</v>
      </c>
    </row>
    <row r="77" spans="16:35" x14ac:dyDescent="0.25">
      <c r="P77" s="51"/>
      <c r="Q77" s="51"/>
      <c r="R77" s="51"/>
      <c r="S77" s="51"/>
      <c r="T77" s="51"/>
      <c r="U77" s="51"/>
      <c r="V77" s="51"/>
      <c r="W77" s="51"/>
      <c r="AA77" s="115">
        <f t="shared" si="47"/>
        <v>30</v>
      </c>
      <c r="AB77" s="137">
        <f t="shared" si="48"/>
        <v>0.13299999999999998</v>
      </c>
      <c r="AC77" s="117">
        <v>77223.61673171389</v>
      </c>
      <c r="AD77" s="138">
        <f t="shared" si="45"/>
        <v>-0.90192233688127232</v>
      </c>
    </row>
    <row r="78" spans="16:35" x14ac:dyDescent="0.25">
      <c r="P78" s="51"/>
      <c r="Q78" s="51"/>
      <c r="R78" s="51"/>
      <c r="S78" s="51"/>
      <c r="T78" s="51"/>
      <c r="U78" s="51"/>
      <c r="V78" s="51"/>
      <c r="W78" s="51"/>
      <c r="AA78" s="115">
        <f t="shared" si="47"/>
        <v>40</v>
      </c>
      <c r="AB78" s="137">
        <f t="shared" si="48"/>
        <v>0.11399999999999999</v>
      </c>
      <c r="AC78" s="117">
        <v>76989.338036951624</v>
      </c>
      <c r="AD78" s="138">
        <f t="shared" si="45"/>
        <v>-1.2025631158417152</v>
      </c>
    </row>
    <row r="79" spans="16:35" x14ac:dyDescent="0.25">
      <c r="P79" s="51"/>
      <c r="Q79" s="51"/>
      <c r="R79" s="51"/>
      <c r="S79" s="51"/>
      <c r="T79" s="51"/>
      <c r="U79" s="51"/>
      <c r="V79" s="51"/>
      <c r="W79" s="51"/>
      <c r="AA79" s="115">
        <f t="shared" si="47"/>
        <v>50</v>
      </c>
      <c r="AB79" s="137">
        <f t="shared" si="48"/>
        <v>9.5000000000000001E-2</v>
      </c>
      <c r="AC79" s="117">
        <v>76755.059342189372</v>
      </c>
      <c r="AD79" s="138">
        <f t="shared" si="45"/>
        <v>-1.5032038948021391</v>
      </c>
    </row>
    <row r="80" spans="16:35" x14ac:dyDescent="0.25">
      <c r="P80" s="51"/>
      <c r="Q80" s="51"/>
      <c r="R80" s="51"/>
      <c r="S80" s="51"/>
      <c r="T80" s="51"/>
      <c r="U80" s="51"/>
      <c r="V80" s="51"/>
      <c r="W80" s="51"/>
    </row>
    <row r="81" spans="16:23" x14ac:dyDescent="0.25">
      <c r="P81" s="51"/>
      <c r="Q81" s="51"/>
      <c r="R81" s="51"/>
      <c r="S81" s="51"/>
      <c r="T81" s="51"/>
      <c r="U81" s="51"/>
      <c r="V81" s="51"/>
      <c r="W81" s="51"/>
    </row>
    <row r="82" spans="16:23" x14ac:dyDescent="0.25">
      <c r="P82" s="51"/>
      <c r="Q82" s="51"/>
      <c r="R82" s="51"/>
      <c r="S82" s="51"/>
      <c r="T82" s="51"/>
      <c r="U82" s="51"/>
      <c r="V82" s="51"/>
      <c r="W82" s="51"/>
    </row>
    <row r="83" spans="16:23" x14ac:dyDescent="0.25">
      <c r="P83" s="51"/>
      <c r="Q83" s="51"/>
      <c r="R83" s="51"/>
      <c r="S83" s="51"/>
      <c r="T83" s="51"/>
      <c r="U83" s="51"/>
      <c r="V83" s="51"/>
      <c r="W83" s="51"/>
    </row>
    <row r="84" spans="16:23" x14ac:dyDescent="0.25">
      <c r="P84" s="51"/>
      <c r="Q84" s="51"/>
      <c r="R84" s="51"/>
      <c r="S84" s="51"/>
      <c r="T84" s="51"/>
      <c r="U84" s="51"/>
      <c r="V84" s="51"/>
      <c r="W84" s="51"/>
    </row>
    <row r="85" spans="16:23" x14ac:dyDescent="0.25">
      <c r="P85" s="51"/>
      <c r="Q85" s="51"/>
      <c r="R85" s="51"/>
      <c r="S85" s="51"/>
      <c r="T85" s="51"/>
      <c r="U85" s="51"/>
      <c r="V85" s="51"/>
      <c r="W85" s="51"/>
    </row>
    <row r="86" spans="16:23" x14ac:dyDescent="0.25">
      <c r="P86" s="51"/>
      <c r="Q86" s="51"/>
      <c r="R86" s="51"/>
      <c r="S86" s="51"/>
      <c r="T86" s="51"/>
      <c r="U86" s="51"/>
      <c r="V86" s="51"/>
      <c r="W86" s="51"/>
    </row>
    <row r="87" spans="16:23" x14ac:dyDescent="0.25">
      <c r="P87" s="51"/>
      <c r="Q87" s="51"/>
      <c r="R87" s="51"/>
      <c r="S87" s="51"/>
      <c r="T87" s="51"/>
      <c r="U87" s="51"/>
      <c r="V87" s="51"/>
      <c r="W87" s="51"/>
    </row>
    <row r="88" spans="16:23" x14ac:dyDescent="0.25">
      <c r="P88" s="51"/>
      <c r="Q88" s="51"/>
      <c r="R88" s="51"/>
      <c r="S88" s="51"/>
      <c r="T88" s="51"/>
      <c r="U88" s="51"/>
      <c r="V88" s="51"/>
      <c r="W88" s="51"/>
    </row>
    <row r="89" spans="16:23" x14ac:dyDescent="0.25">
      <c r="P89" s="51"/>
      <c r="Q89" s="51"/>
      <c r="R89" s="51"/>
      <c r="S89" s="51"/>
      <c r="T89" s="51"/>
      <c r="U89" s="51"/>
      <c r="V89" s="51"/>
      <c r="W89" s="51"/>
    </row>
    <row r="90" spans="16:23" x14ac:dyDescent="0.25">
      <c r="P90" s="51"/>
      <c r="Q90" s="51"/>
      <c r="R90" s="51"/>
      <c r="S90" s="51"/>
      <c r="T90" s="51"/>
      <c r="U90" s="51"/>
      <c r="V90" s="51"/>
      <c r="W90" s="51"/>
    </row>
    <row r="91" spans="16:23" x14ac:dyDescent="0.25">
      <c r="P91" s="51"/>
      <c r="Q91" s="51"/>
      <c r="R91" s="51"/>
      <c r="S91" s="51"/>
      <c r="T91" s="51"/>
      <c r="U91" s="51"/>
      <c r="V91" s="51"/>
      <c r="W91" s="51"/>
    </row>
    <row r="92" spans="16:23" x14ac:dyDescent="0.25">
      <c r="P92" s="51"/>
      <c r="Q92" s="51"/>
      <c r="R92" s="51"/>
      <c r="S92" s="51"/>
      <c r="T92" s="51"/>
      <c r="U92" s="51"/>
      <c r="V92" s="51"/>
      <c r="W92" s="51"/>
    </row>
    <row r="93" spans="16:23" x14ac:dyDescent="0.25">
      <c r="P93" s="51"/>
      <c r="Q93" s="51"/>
      <c r="R93" s="51"/>
      <c r="S93" s="51"/>
      <c r="T93" s="51"/>
      <c r="U93" s="51"/>
      <c r="V93" s="51"/>
      <c r="W93" s="51"/>
    </row>
    <row r="94" spans="16:23" x14ac:dyDescent="0.25">
      <c r="P94" s="51"/>
      <c r="Q94" s="51"/>
      <c r="R94" s="51"/>
      <c r="S94" s="51"/>
      <c r="T94" s="51"/>
      <c r="U94" s="51"/>
      <c r="V94" s="51"/>
      <c r="W94" s="51"/>
    </row>
    <row r="95" spans="16:23" x14ac:dyDescent="0.25">
      <c r="P95" s="51"/>
      <c r="Q95" s="51"/>
      <c r="R95" s="51"/>
      <c r="S95" s="51"/>
      <c r="T95" s="51"/>
      <c r="U95" s="51"/>
      <c r="V95" s="51"/>
      <c r="W95" s="51"/>
    </row>
  </sheetData>
  <scenarios current="0" show="0">
    <scenario name="Vehicle Price" locked="1" count="1" user="Muhammad Indra al Irsyad" comment="Created by Muhammad Indra al Irsyad on 31/12/2023">
      <inputCells r="B45" val="10*(J9)"/>
    </scenario>
  </scenarios>
  <pageMargins left="0.7" right="0.7" top="0.75" bottom="0.75" header="0.3" footer="0.3"/>
  <drawing r:id="rId1"/>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9F0184F5-D280-4259-B99D-CB2053140E0C}">
          <x14:formula1>
            <xm:f>Description!$A$18:$A$19</xm:f>
          </x14:formula1>
          <xm:sqref>J24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2C1C7-F55C-41C2-82DD-31D46CB7F0AA}">
  <sheetPr>
    <tabColor theme="4"/>
  </sheetPr>
  <dimension ref="A1:AP95"/>
  <sheetViews>
    <sheetView topLeftCell="T43" zoomScale="85" zoomScaleNormal="55" workbookViewId="0">
      <selection activeCell="AB60" sqref="AB60:AB64"/>
    </sheetView>
  </sheetViews>
  <sheetFormatPr defaultColWidth="8.85546875" defaultRowHeight="15" x14ac:dyDescent="0.25"/>
  <cols>
    <col min="1" max="1" width="52.7109375" style="1" bestFit="1" customWidth="1"/>
    <col min="2" max="2" width="17.5703125" style="1" bestFit="1" customWidth="1"/>
    <col min="3" max="3" width="16.28515625" style="1" customWidth="1"/>
    <col min="4" max="4" width="8.85546875" style="1" customWidth="1"/>
    <col min="5" max="5" width="48" style="1" customWidth="1"/>
    <col min="6" max="6" width="14.28515625" style="1" customWidth="1"/>
    <col min="7" max="7" width="8.85546875" style="1" customWidth="1"/>
    <col min="8" max="8" width="19.28515625" style="1" customWidth="1"/>
    <col min="9" max="9" width="37.85546875" style="1" customWidth="1"/>
    <col min="10" max="10" width="17.42578125" style="1" customWidth="1"/>
    <col min="11" max="14" width="8.85546875" style="1" customWidth="1"/>
    <col min="15" max="15" width="20" style="1" customWidth="1"/>
    <col min="16" max="16" width="16.28515625" style="1" customWidth="1"/>
    <col min="17" max="17" width="25.28515625" style="1" customWidth="1"/>
    <col min="18" max="18" width="16.42578125" style="1" bestFit="1" customWidth="1"/>
    <col min="19" max="20" width="16" style="1" customWidth="1"/>
    <col min="21" max="21" width="22" style="1" customWidth="1"/>
    <col min="22" max="22" width="23.85546875" style="1" customWidth="1"/>
    <col min="23" max="23" width="12.85546875" style="1" customWidth="1"/>
    <col min="24" max="24" width="19.42578125" style="1" customWidth="1"/>
    <col min="25" max="25" width="13.42578125" style="1" bestFit="1" customWidth="1"/>
    <col min="26" max="26" width="8.85546875" style="1"/>
    <col min="27" max="27" width="20.140625" style="1" bestFit="1" customWidth="1"/>
    <col min="28" max="28" width="25" style="1" bestFit="1" customWidth="1"/>
    <col min="29" max="29" width="12.85546875" style="1" customWidth="1"/>
    <col min="30" max="30" width="19" style="1" customWidth="1"/>
    <col min="31" max="31" width="4.7109375" style="1" customWidth="1"/>
    <col min="32" max="32" width="20.140625" style="1" bestFit="1" customWidth="1"/>
    <col min="33" max="33" width="19.28515625" style="1" bestFit="1" customWidth="1"/>
    <col min="34" max="34" width="11.28515625" style="1" bestFit="1" customWidth="1"/>
    <col min="35" max="35" width="17.85546875" style="1" bestFit="1" customWidth="1"/>
    <col min="36" max="16384" width="8.85546875" style="1"/>
  </cols>
  <sheetData>
    <row r="1" spans="1:31" x14ac:dyDescent="0.25">
      <c r="A1" s="12" t="s">
        <v>1</v>
      </c>
      <c r="B1" s="12" t="s">
        <v>149</v>
      </c>
      <c r="C1" s="12"/>
    </row>
    <row r="2" spans="1:31" x14ac:dyDescent="0.25">
      <c r="A2" s="12" t="s">
        <v>74</v>
      </c>
      <c r="B2" s="19">
        <f>V49</f>
        <v>75160.41593263844</v>
      </c>
      <c r="C2" s="12" t="s">
        <v>3</v>
      </c>
    </row>
    <row r="3" spans="1:31" x14ac:dyDescent="0.25">
      <c r="B3" s="44">
        <f>B2/F41</f>
        <v>0.23487629978949512</v>
      </c>
      <c r="C3" s="12" t="s">
        <v>57</v>
      </c>
      <c r="F3" s="77"/>
      <c r="H3" s="46"/>
    </row>
    <row r="4" spans="1:31" x14ac:dyDescent="0.25">
      <c r="A4" s="12" t="s">
        <v>59</v>
      </c>
      <c r="F4" s="93"/>
      <c r="J4" s="77"/>
      <c r="N4" s="12" t="s">
        <v>79</v>
      </c>
      <c r="AA4" s="12" t="s">
        <v>75</v>
      </c>
    </row>
    <row r="5" spans="1:31" x14ac:dyDescent="0.25">
      <c r="A5" s="1" t="s">
        <v>36</v>
      </c>
      <c r="B5" s="2">
        <v>10</v>
      </c>
      <c r="C5" s="1" t="s">
        <v>37</v>
      </c>
      <c r="E5" s="22"/>
      <c r="F5" s="77"/>
      <c r="H5" s="77"/>
      <c r="J5" s="77"/>
    </row>
    <row r="6" spans="1:31" ht="15.75" thickBot="1" x14ac:dyDescent="0.3">
      <c r="B6" s="2"/>
      <c r="E6" s="22"/>
      <c r="F6" s="77"/>
      <c r="H6" s="77"/>
      <c r="N6" s="1" t="s">
        <v>100</v>
      </c>
      <c r="AA6" s="39"/>
      <c r="AB6" s="39"/>
      <c r="AC6" s="39"/>
    </row>
    <row r="7" spans="1:31" x14ac:dyDescent="0.25">
      <c r="A7" s="3" t="s">
        <v>24</v>
      </c>
      <c r="B7" s="4"/>
      <c r="C7" s="4"/>
      <c r="D7" s="4"/>
      <c r="E7" s="4"/>
      <c r="F7" s="4"/>
      <c r="G7" s="4"/>
      <c r="H7" s="6"/>
      <c r="I7" s="5" t="s">
        <v>43</v>
      </c>
      <c r="J7" s="4"/>
      <c r="K7" s="4"/>
      <c r="L7" s="6"/>
      <c r="N7" s="31" t="s">
        <v>61</v>
      </c>
      <c r="O7" s="31" t="s">
        <v>65</v>
      </c>
      <c r="P7" s="31" t="s">
        <v>67</v>
      </c>
      <c r="Q7" s="31" t="s">
        <v>127</v>
      </c>
      <c r="R7" s="31" t="s">
        <v>122</v>
      </c>
      <c r="S7" s="31" t="s">
        <v>163</v>
      </c>
      <c r="T7" s="31" t="s">
        <v>165</v>
      </c>
      <c r="U7" s="31" t="s">
        <v>101</v>
      </c>
      <c r="V7" s="32" t="s">
        <v>72</v>
      </c>
      <c r="W7" s="12"/>
      <c r="X7" s="1" t="s">
        <v>124</v>
      </c>
      <c r="AA7" s="39" t="s">
        <v>113</v>
      </c>
      <c r="AB7" s="39"/>
      <c r="AC7" s="39"/>
    </row>
    <row r="8" spans="1:31" x14ac:dyDescent="0.25">
      <c r="A8" s="7" t="s">
        <v>0</v>
      </c>
      <c r="B8" s="81">
        <v>21276.42</v>
      </c>
      <c r="C8" s="1" t="s">
        <v>151</v>
      </c>
      <c r="H8" s="9"/>
      <c r="I8" s="22" t="s">
        <v>190</v>
      </c>
      <c r="J8" s="8">
        <v>205900838.70967743</v>
      </c>
      <c r="K8" s="1" t="s">
        <v>150</v>
      </c>
      <c r="L8" s="9"/>
      <c r="N8" s="31">
        <v>0</v>
      </c>
      <c r="O8" s="33">
        <f>F31</f>
        <v>518.51509187014278</v>
      </c>
      <c r="P8" s="31"/>
      <c r="Q8" s="31"/>
      <c r="R8" s="31"/>
      <c r="S8" s="31">
        <v>0</v>
      </c>
      <c r="T8" s="96">
        <f>F16/B8</f>
        <v>4.9350407634367066</v>
      </c>
      <c r="U8" s="31"/>
      <c r="V8" s="34">
        <f>SUM(O8:U8)</f>
        <v>523.45013263357953</v>
      </c>
      <c r="W8" s="19"/>
      <c r="X8" s="2"/>
      <c r="AA8" s="39" t="s">
        <v>196</v>
      </c>
      <c r="AB8" s="72">
        <f>F36</f>
        <v>0.99264819927412606</v>
      </c>
      <c r="AC8" s="39" t="s">
        <v>108</v>
      </c>
    </row>
    <row r="9" spans="1:31" x14ac:dyDescent="0.25">
      <c r="A9" s="7"/>
      <c r="F9" s="20"/>
      <c r="H9" s="9"/>
      <c r="I9" s="22" t="s">
        <v>55</v>
      </c>
      <c r="J9" s="100">
        <v>0.16</v>
      </c>
      <c r="K9" s="1" t="s">
        <v>56</v>
      </c>
      <c r="L9" s="9"/>
      <c r="N9" s="31">
        <v>1</v>
      </c>
      <c r="O9" s="31"/>
      <c r="P9" s="35">
        <f>IF(N9&gt;0,IF(N9&lt;=$J$16,(($F$32+$F$33)/$J$16)/((1+($F$11/100))^N9),0),0)</f>
        <v>1889.1249751740581</v>
      </c>
      <c r="Q9" s="36">
        <f t="shared" ref="Q9:Q48" si="0">IF(N9&gt;0,($F$38*((1+($F$14/100))^(N9-1)))/((1+($F$11/100))^N9),0)</f>
        <v>4872.8272102430747</v>
      </c>
      <c r="R9" s="37">
        <f t="shared" ref="R9:R48" si="1">IF(N9&gt;0,$J$30/((1+($F$11/100))^N9),0)</f>
        <v>3086.0979437097635</v>
      </c>
      <c r="S9" s="31">
        <v>0</v>
      </c>
      <c r="T9" s="37"/>
      <c r="U9" s="35">
        <f t="shared" ref="U9:U18" si="2">IF(N9=$B$5,((((1-$J$11/100)^N9)*$B$44)/((1+($F$11/100))^N9))*-1,0)</f>
        <v>0</v>
      </c>
      <c r="V9" s="34">
        <f t="shared" ref="V9:V48" si="3">SUM(O9:U9)</f>
        <v>9848.0501291268956</v>
      </c>
      <c r="W9" s="19"/>
      <c r="X9" s="2">
        <f t="shared" ref="X9:X48" si="4">IF(N9&gt;0,((((1-$J$11/100)^N9)*$B$46/((1+($F$11/100))^N9))),0)</f>
        <v>9238.8154049038676</v>
      </c>
      <c r="AA9" s="39" t="s">
        <v>189</v>
      </c>
      <c r="AB9" s="73">
        <f>B48</f>
        <v>10370.301837402854</v>
      </c>
      <c r="AC9" s="39" t="s">
        <v>3</v>
      </c>
      <c r="AE9" s="2"/>
    </row>
    <row r="10" spans="1:31" x14ac:dyDescent="0.25">
      <c r="A10" s="11" t="s">
        <v>42</v>
      </c>
      <c r="E10" s="12" t="s">
        <v>45</v>
      </c>
      <c r="H10" s="9"/>
      <c r="I10" s="38" t="s">
        <v>71</v>
      </c>
      <c r="J10" s="39">
        <v>30</v>
      </c>
      <c r="K10" s="39" t="s">
        <v>22</v>
      </c>
      <c r="L10" s="9"/>
      <c r="N10" s="31">
        <f>IF((N9+1)&gt;$B$5,,IF(N9=0,,N9+1))</f>
        <v>2</v>
      </c>
      <c r="O10" s="31"/>
      <c r="P10" s="35">
        <f t="shared" ref="P10:P48" si="5">IF(N10&gt;0,IF(N10&lt;=$J$16,(($F$32+$F$33)/$J$16)/((1+($F$11/100))^N10),0),0)</f>
        <v>1811.2415869358181</v>
      </c>
      <c r="Q10" s="36">
        <f t="shared" si="0"/>
        <v>4742.0130569479579</v>
      </c>
      <c r="R10" s="37">
        <f t="shared" si="1"/>
        <v>2958.866676615306</v>
      </c>
      <c r="S10" s="31">
        <v>0</v>
      </c>
      <c r="T10" s="37"/>
      <c r="U10" s="35">
        <f t="shared" si="2"/>
        <v>0</v>
      </c>
      <c r="V10" s="34">
        <f t="shared" si="3"/>
        <v>9512.1213204990818</v>
      </c>
      <c r="W10" s="19"/>
      <c r="X10" s="2">
        <f t="shared" si="4"/>
        <v>8230.783580284442</v>
      </c>
      <c r="AA10" s="39" t="s">
        <v>111</v>
      </c>
      <c r="AB10" s="74">
        <f>F12</f>
        <v>32000</v>
      </c>
      <c r="AC10" s="39" t="s">
        <v>35</v>
      </c>
      <c r="AE10" s="2"/>
    </row>
    <row r="11" spans="1:31" x14ac:dyDescent="0.25">
      <c r="A11" s="21" t="s">
        <v>187</v>
      </c>
      <c r="B11" s="1">
        <v>0</v>
      </c>
      <c r="C11" s="1" t="s">
        <v>4</v>
      </c>
      <c r="E11" s="22" t="s">
        <v>46</v>
      </c>
      <c r="F11" s="1">
        <v>4.3</v>
      </c>
      <c r="G11" s="1" t="s">
        <v>4</v>
      </c>
      <c r="H11" s="9"/>
      <c r="I11" s="38" t="s">
        <v>91</v>
      </c>
      <c r="J11" s="39">
        <v>7.08</v>
      </c>
      <c r="K11" s="39" t="s">
        <v>23</v>
      </c>
      <c r="L11" s="9"/>
      <c r="N11" s="31">
        <f t="shared" ref="N11:N48" si="6">IF((N10+1)&gt;$B$5,,IF(N10=0,,N10+1))</f>
        <v>3</v>
      </c>
      <c r="O11" s="31"/>
      <c r="P11" s="35">
        <f t="shared" si="5"/>
        <v>1736.5691149911968</v>
      </c>
      <c r="Q11" s="36">
        <f t="shared" si="0"/>
        <v>4614.7106930030468</v>
      </c>
      <c r="R11" s="37">
        <f t="shared" si="1"/>
        <v>2836.8808021239752</v>
      </c>
      <c r="S11" s="31">
        <v>0</v>
      </c>
      <c r="T11" s="37"/>
      <c r="U11" s="35">
        <f t="shared" si="2"/>
        <v>0</v>
      </c>
      <c r="V11" s="34">
        <f t="shared" si="3"/>
        <v>9188.1606101182188</v>
      </c>
      <c r="W11" s="19"/>
      <c r="X11" s="2">
        <f t="shared" si="4"/>
        <v>7332.7364360501497</v>
      </c>
      <c r="AA11" s="79" t="s">
        <v>66</v>
      </c>
      <c r="AB11" s="43">
        <f>J35</f>
        <v>3200.0000000000005</v>
      </c>
      <c r="AC11" s="1" t="s">
        <v>44</v>
      </c>
      <c r="AE11" s="2"/>
    </row>
    <row r="12" spans="1:31" x14ac:dyDescent="0.25">
      <c r="A12" s="21" t="s">
        <v>5</v>
      </c>
      <c r="B12" s="1">
        <v>0</v>
      </c>
      <c r="C12" s="1" t="s">
        <v>4</v>
      </c>
      <c r="E12" s="22" t="s">
        <v>89</v>
      </c>
      <c r="F12" s="8">
        <v>32000</v>
      </c>
      <c r="G12" s="1" t="s">
        <v>35</v>
      </c>
      <c r="H12" s="9"/>
      <c r="L12" s="9"/>
      <c r="N12" s="31">
        <f t="shared" si="6"/>
        <v>4</v>
      </c>
      <c r="O12" s="31"/>
      <c r="P12" s="35">
        <f t="shared" si="5"/>
        <v>1664.9751821583861</v>
      </c>
      <c r="Q12" s="36">
        <f t="shared" si="0"/>
        <v>4490.8258421841729</v>
      </c>
      <c r="R12" s="37">
        <f t="shared" si="1"/>
        <v>2719.9240672329584</v>
      </c>
      <c r="S12" s="31">
        <v>0</v>
      </c>
      <c r="T12" s="37"/>
      <c r="U12" s="35">
        <f t="shared" si="2"/>
        <v>0</v>
      </c>
      <c r="V12" s="34">
        <f t="shared" si="3"/>
        <v>8875.7250915755176</v>
      </c>
      <c r="W12" s="19"/>
      <c r="X12" s="2">
        <f t="shared" si="4"/>
        <v>6532.6737261532116</v>
      </c>
      <c r="AA12" s="105" t="s">
        <v>213</v>
      </c>
      <c r="AB12" s="100">
        <f>J9</f>
        <v>0.16</v>
      </c>
      <c r="AC12" s="105" t="str">
        <f>K9</f>
        <v>L/km</v>
      </c>
      <c r="AE12" s="2"/>
    </row>
    <row r="13" spans="1:31" x14ac:dyDescent="0.25">
      <c r="A13" s="1" t="s">
        <v>167</v>
      </c>
      <c r="B13" s="1">
        <v>0</v>
      </c>
      <c r="C13" s="1" t="s">
        <v>4</v>
      </c>
      <c r="E13" s="22" t="s">
        <v>54</v>
      </c>
      <c r="F13" s="8">
        <v>21120</v>
      </c>
      <c r="G13" s="1" t="s">
        <v>154</v>
      </c>
      <c r="H13" s="9"/>
      <c r="L13" s="9"/>
      <c r="N13" s="31">
        <f t="shared" si="6"/>
        <v>5</v>
      </c>
      <c r="O13" s="31"/>
      <c r="P13" s="35">
        <f t="shared" si="5"/>
        <v>1596.332868799987</v>
      </c>
      <c r="Q13" s="36">
        <f t="shared" si="0"/>
        <v>4370.2667591725167</v>
      </c>
      <c r="R13" s="37">
        <f t="shared" si="1"/>
        <v>2607.7891344515419</v>
      </c>
      <c r="S13" s="37">
        <f>IF(N13&gt;0,($F$15/$B$8)/((1+($F$11/100))^N13),0)</f>
        <v>7.615701243339057</v>
      </c>
      <c r="T13" s="37">
        <f>IF(N13&gt;0,($F$16/$B$8)/((1+($F$11/100))^N13),0)</f>
        <v>3.9982431527530049</v>
      </c>
      <c r="U13" s="35">
        <f t="shared" si="2"/>
        <v>0</v>
      </c>
      <c r="V13" s="34">
        <f t="shared" si="3"/>
        <v>8586.002706820138</v>
      </c>
      <c r="W13" s="19"/>
      <c r="X13" s="2">
        <f t="shared" si="4"/>
        <v>5819.9045314875975</v>
      </c>
      <c r="AE13" s="2"/>
    </row>
    <row r="14" spans="1:31" x14ac:dyDescent="0.25">
      <c r="A14" s="21" t="s">
        <v>6</v>
      </c>
      <c r="B14" s="1">
        <v>7</v>
      </c>
      <c r="C14" s="1" t="s">
        <v>4</v>
      </c>
      <c r="E14" s="22" t="s">
        <v>107</v>
      </c>
      <c r="F14" s="1">
        <v>1.5</v>
      </c>
      <c r="G14" s="1" t="s">
        <v>69</v>
      </c>
      <c r="H14" s="9"/>
      <c r="I14" s="22"/>
      <c r="J14" s="8"/>
      <c r="L14" s="9"/>
      <c r="N14" s="31">
        <f t="shared" si="6"/>
        <v>6</v>
      </c>
      <c r="O14" s="31"/>
      <c r="P14" s="35">
        <f t="shared" si="5"/>
        <v>0</v>
      </c>
      <c r="Q14" s="36">
        <f t="shared" si="0"/>
        <v>4252.9441616108379</v>
      </c>
      <c r="R14" s="37">
        <f t="shared" si="1"/>
        <v>2500.2772142392541</v>
      </c>
      <c r="S14" s="37">
        <v>0</v>
      </c>
      <c r="T14" s="37"/>
      <c r="U14" s="35">
        <f t="shared" si="2"/>
        <v>0</v>
      </c>
      <c r="V14" s="34">
        <f t="shared" si="3"/>
        <v>6753.221375850092</v>
      </c>
      <c r="W14" s="19"/>
      <c r="X14" s="2">
        <f t="shared" si="4"/>
        <v>5184.9044013981556</v>
      </c>
      <c r="AE14" s="2"/>
    </row>
    <row r="15" spans="1:31" x14ac:dyDescent="0.25">
      <c r="A15" s="21" t="s">
        <v>157</v>
      </c>
      <c r="B15" s="1">
        <v>8</v>
      </c>
      <c r="C15" s="1" t="s">
        <v>4</v>
      </c>
      <c r="E15" s="22" t="s">
        <v>163</v>
      </c>
      <c r="F15" s="77">
        <v>200000</v>
      </c>
      <c r="G15" s="1" t="s">
        <v>164</v>
      </c>
      <c r="H15" s="9"/>
      <c r="I15" s="12" t="s">
        <v>18</v>
      </c>
      <c r="L15" s="9"/>
      <c r="N15" s="31">
        <f t="shared" si="6"/>
        <v>7</v>
      </c>
      <c r="O15" s="31"/>
      <c r="P15" s="35">
        <f t="shared" si="5"/>
        <v>0</v>
      </c>
      <c r="Q15" s="36">
        <f t="shared" si="0"/>
        <v>4138.7711639837007</v>
      </c>
      <c r="R15" s="37">
        <f t="shared" si="1"/>
        <v>2397.1977125975595</v>
      </c>
      <c r="S15" s="37">
        <v>0</v>
      </c>
      <c r="T15" s="37"/>
      <c r="U15" s="35">
        <f t="shared" si="2"/>
        <v>0</v>
      </c>
      <c r="V15" s="34">
        <f t="shared" si="3"/>
        <v>6535.9688765812607</v>
      </c>
      <c r="W15" s="19"/>
      <c r="X15" s="2">
        <f t="shared" si="4"/>
        <v>4619.1880822427293</v>
      </c>
      <c r="AE15" s="2"/>
    </row>
    <row r="16" spans="1:31" x14ac:dyDescent="0.25">
      <c r="A16" s="21" t="s">
        <v>197</v>
      </c>
      <c r="B16" s="77">
        <v>329000</v>
      </c>
      <c r="C16" s="1" t="s">
        <v>150</v>
      </c>
      <c r="E16" s="22" t="s">
        <v>165</v>
      </c>
      <c r="F16" s="2">
        <v>105000</v>
      </c>
      <c r="G16" s="1" t="s">
        <v>164</v>
      </c>
      <c r="H16" s="9"/>
      <c r="I16" s="22" t="s">
        <v>19</v>
      </c>
      <c r="J16" s="1">
        <v>5</v>
      </c>
      <c r="K16" s="1" t="s">
        <v>22</v>
      </c>
      <c r="L16" s="9"/>
      <c r="N16" s="31">
        <f t="shared" si="6"/>
        <v>8</v>
      </c>
      <c r="O16" s="31"/>
      <c r="P16" s="35">
        <f t="shared" si="5"/>
        <v>0</v>
      </c>
      <c r="Q16" s="36">
        <f t="shared" si="0"/>
        <v>4027.6632132727286</v>
      </c>
      <c r="R16" s="37">
        <f t="shared" si="1"/>
        <v>2298.3678931903737</v>
      </c>
      <c r="S16" s="37">
        <v>0</v>
      </c>
      <c r="T16" s="37"/>
      <c r="U16" s="35">
        <f t="shared" si="2"/>
        <v>0</v>
      </c>
      <c r="V16" s="34">
        <f t="shared" si="3"/>
        <v>6326.0311064631023</v>
      </c>
      <c r="W16" s="19"/>
      <c r="X16" s="2">
        <f t="shared" si="4"/>
        <v>4115.1961323297646</v>
      </c>
      <c r="AE16" s="2"/>
    </row>
    <row r="17" spans="1:42" x14ac:dyDescent="0.25">
      <c r="A17" s="21" t="s">
        <v>162</v>
      </c>
      <c r="B17" s="1">
        <v>0</v>
      </c>
      <c r="C17" s="1" t="s">
        <v>4</v>
      </c>
      <c r="E17" s="22" t="s">
        <v>166</v>
      </c>
      <c r="F17" s="77">
        <v>400000</v>
      </c>
      <c r="G17" s="1" t="s">
        <v>155</v>
      </c>
      <c r="H17" s="9"/>
      <c r="I17" s="22" t="s">
        <v>20</v>
      </c>
      <c r="J17" s="1">
        <v>30</v>
      </c>
      <c r="K17" s="1" t="s">
        <v>21</v>
      </c>
      <c r="L17" s="9"/>
      <c r="N17" s="31">
        <f t="shared" si="6"/>
        <v>9</v>
      </c>
      <c r="O17" s="31"/>
      <c r="P17" s="35">
        <f t="shared" si="5"/>
        <v>0</v>
      </c>
      <c r="Q17" s="36">
        <f t="shared" si="0"/>
        <v>3919.5380263392326</v>
      </c>
      <c r="R17" s="37">
        <f t="shared" si="1"/>
        <v>2203.6125533944141</v>
      </c>
      <c r="S17" s="37">
        <v>0</v>
      </c>
      <c r="T17" s="37"/>
      <c r="U17" s="35">
        <f t="shared" si="2"/>
        <v>0</v>
      </c>
      <c r="V17" s="34">
        <f t="shared" si="3"/>
        <v>6123.1505797336467</v>
      </c>
      <c r="W17" s="19"/>
      <c r="X17" s="2">
        <f t="shared" si="4"/>
        <v>3666.1939081120017</v>
      </c>
      <c r="AE17" s="2"/>
    </row>
    <row r="18" spans="1:42" x14ac:dyDescent="0.25">
      <c r="E18" s="22" t="s">
        <v>66</v>
      </c>
      <c r="F18" s="77">
        <v>2127.6419999999998</v>
      </c>
      <c r="G18" s="1" t="s">
        <v>168</v>
      </c>
      <c r="H18" s="9"/>
      <c r="J18" s="77"/>
      <c r="L18" s="9"/>
      <c r="N18" s="31">
        <f t="shared" si="6"/>
        <v>10</v>
      </c>
      <c r="O18" s="31"/>
      <c r="P18" s="35">
        <f t="shared" si="5"/>
        <v>0</v>
      </c>
      <c r="Q18" s="36">
        <f t="shared" si="0"/>
        <v>3814.3155289878437</v>
      </c>
      <c r="R18" s="37">
        <f t="shared" si="1"/>
        <v>2112.7637137050947</v>
      </c>
      <c r="S18" s="37">
        <f>IF(N18&gt;0,($F$15/$B$8)/((1+($F$11/100))^N18),0)</f>
        <v>6.1700453571103422</v>
      </c>
      <c r="T18" s="37">
        <f>IF(N18&gt;0,($F$16/$B$8)/((1+($F$11/100))^N18),0)</f>
        <v>3.2392738124829297</v>
      </c>
      <c r="U18" s="35">
        <f t="shared" si="2"/>
        <v>-3047.9545586256245</v>
      </c>
      <c r="V18" s="34">
        <f t="shared" si="3"/>
        <v>2888.5340032369068</v>
      </c>
      <c r="W18" s="19"/>
      <c r="X18" s="2">
        <f t="shared" si="4"/>
        <v>3266.1815718290245</v>
      </c>
      <c r="AE18" s="2"/>
    </row>
    <row r="19" spans="1:42" x14ac:dyDescent="0.25">
      <c r="E19" s="22" t="s">
        <v>39</v>
      </c>
      <c r="F19" s="1">
        <v>7.5</v>
      </c>
      <c r="G19" s="1" t="s">
        <v>23</v>
      </c>
      <c r="H19" s="9"/>
      <c r="L19" s="9"/>
      <c r="N19" s="31">
        <f t="shared" si="6"/>
        <v>0</v>
      </c>
      <c r="O19" s="31"/>
      <c r="P19" s="35">
        <f t="shared" si="5"/>
        <v>0</v>
      </c>
      <c r="Q19" s="36">
        <f t="shared" si="0"/>
        <v>0</v>
      </c>
      <c r="R19" s="37">
        <f t="shared" si="1"/>
        <v>0</v>
      </c>
      <c r="S19" s="37"/>
      <c r="T19" s="37"/>
      <c r="U19" s="35">
        <f t="shared" ref="U19:U48" si="7">IF(N19=$B$5,((((1-$J$11/100)^N19)*$B$46)/((1+($F$11/100))^N19))*-1,0)</f>
        <v>0</v>
      </c>
      <c r="V19" s="34">
        <f t="shared" si="3"/>
        <v>0</v>
      </c>
      <c r="W19" s="19"/>
      <c r="X19" s="2">
        <f t="shared" si="4"/>
        <v>0</v>
      </c>
      <c r="AE19" s="2"/>
    </row>
    <row r="20" spans="1:42" x14ac:dyDescent="0.25">
      <c r="A20" s="21"/>
      <c r="H20" s="9"/>
      <c r="L20" s="9"/>
      <c r="N20" s="31">
        <f>IF((N19+1)&gt;$B$5,,IF(N19=0,,N19+1))</f>
        <v>0</v>
      </c>
      <c r="O20" s="31"/>
      <c r="P20" s="35">
        <f t="shared" si="5"/>
        <v>0</v>
      </c>
      <c r="Q20" s="36">
        <f t="shared" si="0"/>
        <v>0</v>
      </c>
      <c r="R20" s="37">
        <f t="shared" si="1"/>
        <v>0</v>
      </c>
      <c r="S20" s="37"/>
      <c r="T20" s="37"/>
      <c r="U20" s="35">
        <f t="shared" si="7"/>
        <v>0</v>
      </c>
      <c r="V20" s="34">
        <f t="shared" si="3"/>
        <v>0</v>
      </c>
      <c r="W20" s="19"/>
      <c r="X20" s="2">
        <f t="shared" si="4"/>
        <v>0</v>
      </c>
    </row>
    <row r="21" spans="1:42" x14ac:dyDescent="0.25">
      <c r="A21" s="21"/>
      <c r="H21" s="9"/>
      <c r="L21" s="9"/>
      <c r="N21" s="31">
        <f t="shared" si="6"/>
        <v>0</v>
      </c>
      <c r="O21" s="31"/>
      <c r="P21" s="35">
        <f t="shared" si="5"/>
        <v>0</v>
      </c>
      <c r="Q21" s="36">
        <f t="shared" si="0"/>
        <v>0</v>
      </c>
      <c r="R21" s="37">
        <f t="shared" si="1"/>
        <v>0</v>
      </c>
      <c r="S21" s="37">
        <f>IF(N21&gt;0,((#REF!/100)*($F$17/100)*#REF!*X21)/((1+($F$11/100))^N21),0)</f>
        <v>0</v>
      </c>
      <c r="T21" s="37"/>
      <c r="U21" s="35">
        <f t="shared" si="7"/>
        <v>0</v>
      </c>
      <c r="V21" s="34">
        <f t="shared" si="3"/>
        <v>0</v>
      </c>
      <c r="W21" s="19"/>
      <c r="X21" s="2">
        <f t="shared" si="4"/>
        <v>0</v>
      </c>
      <c r="AA21" s="27" t="s">
        <v>54</v>
      </c>
      <c r="AB21" s="24"/>
      <c r="AC21" s="24"/>
      <c r="AD21" s="24"/>
      <c r="AF21" s="27" t="s">
        <v>2</v>
      </c>
      <c r="AG21" s="24"/>
      <c r="AH21" s="24"/>
      <c r="AI21" s="24"/>
      <c r="AK21" s="133" t="s">
        <v>201</v>
      </c>
      <c r="AL21" s="133" t="s">
        <v>203</v>
      </c>
      <c r="AM21" s="133" t="s">
        <v>211</v>
      </c>
      <c r="AN21" s="133" t="s">
        <v>206</v>
      </c>
      <c r="AO21" s="133" t="s">
        <v>205</v>
      </c>
      <c r="AP21" s="27" t="s">
        <v>213</v>
      </c>
    </row>
    <row r="22" spans="1:42" x14ac:dyDescent="0.25">
      <c r="F22" s="77"/>
      <c r="H22" s="9"/>
      <c r="I22" s="12"/>
      <c r="L22" s="9"/>
      <c r="N22" s="31">
        <f t="shared" si="6"/>
        <v>0</v>
      </c>
      <c r="O22" s="31"/>
      <c r="P22" s="35">
        <f t="shared" si="5"/>
        <v>0</v>
      </c>
      <c r="Q22" s="36">
        <f t="shared" si="0"/>
        <v>0</v>
      </c>
      <c r="R22" s="37">
        <f t="shared" si="1"/>
        <v>0</v>
      </c>
      <c r="S22" s="37">
        <f>IF(N22&gt;0,((#REF!/100)*($F$17/100)*#REF!*X22)/((1+($F$11/100))^N22),0)</f>
        <v>0</v>
      </c>
      <c r="T22" s="37"/>
      <c r="U22" s="35">
        <f t="shared" si="7"/>
        <v>0</v>
      </c>
      <c r="V22" s="34">
        <f t="shared" si="3"/>
        <v>0</v>
      </c>
      <c r="W22" s="19"/>
      <c r="X22" s="2">
        <f t="shared" si="4"/>
        <v>0</v>
      </c>
      <c r="AA22" s="24" t="s">
        <v>76</v>
      </c>
      <c r="AB22" s="24" t="s">
        <v>112</v>
      </c>
      <c r="AC22" s="24" t="s">
        <v>72</v>
      </c>
      <c r="AD22" s="24" t="s">
        <v>80</v>
      </c>
      <c r="AF22" s="24" t="s">
        <v>76</v>
      </c>
      <c r="AG22" s="24" t="s">
        <v>77</v>
      </c>
      <c r="AH22" s="24" t="s">
        <v>72</v>
      </c>
      <c r="AI22" s="24" t="s">
        <v>80</v>
      </c>
      <c r="AK22" s="134">
        <v>-50</v>
      </c>
      <c r="AL22" s="135">
        <f>AI24</f>
        <v>-6.1313915746488066</v>
      </c>
      <c r="AM22" s="135">
        <f>AD24</f>
        <v>-28.767719762555512</v>
      </c>
      <c r="AN22" s="136">
        <f t="shared" ref="AN22:AN32" si="8">AD39</f>
        <v>-17.011310630780198</v>
      </c>
      <c r="AO22" s="136">
        <f t="shared" ref="AO22:AO32" si="9">AI39</f>
        <v>-45.779030393335717</v>
      </c>
      <c r="AP22" s="71">
        <f>AD54</f>
        <v>28.767719762555512</v>
      </c>
    </row>
    <row r="23" spans="1:42" x14ac:dyDescent="0.25">
      <c r="E23" s="22"/>
      <c r="H23" s="9"/>
      <c r="I23" s="22"/>
      <c r="L23" s="9"/>
      <c r="N23" s="31">
        <f t="shared" si="6"/>
        <v>0</v>
      </c>
      <c r="O23" s="31"/>
      <c r="P23" s="35">
        <f t="shared" si="5"/>
        <v>0</v>
      </c>
      <c r="Q23" s="36">
        <f t="shared" si="0"/>
        <v>0</v>
      </c>
      <c r="R23" s="37">
        <f t="shared" si="1"/>
        <v>0</v>
      </c>
      <c r="S23" s="37">
        <f>IF(N23&gt;0,((#REF!/100)*($F$17/100)*#REF!*X23)/((1+($F$11/100))^N23),0)</f>
        <v>0</v>
      </c>
      <c r="T23" s="37"/>
      <c r="U23" s="35">
        <f t="shared" si="7"/>
        <v>0</v>
      </c>
      <c r="V23" s="34">
        <f t="shared" si="3"/>
        <v>0</v>
      </c>
      <c r="W23" s="19"/>
      <c r="X23" s="2">
        <f t="shared" si="4"/>
        <v>0</v>
      </c>
      <c r="AA23" s="24" t="s">
        <v>78</v>
      </c>
      <c r="AB23" s="28">
        <v>0.99264819927412606</v>
      </c>
      <c r="AC23" s="26">
        <f>V49</f>
        <v>75160.41593263844</v>
      </c>
      <c r="AD23" s="24"/>
      <c r="AF23" s="24" t="s">
        <v>78</v>
      </c>
      <c r="AG23" s="29">
        <v>10370.301837402854</v>
      </c>
      <c r="AH23" s="30">
        <f>V49</f>
        <v>75160.41593263844</v>
      </c>
      <c r="AI23" s="24"/>
      <c r="AK23" s="134">
        <v>-40</v>
      </c>
      <c r="AL23" s="135">
        <f>AI25</f>
        <v>-4.9051132597190339</v>
      </c>
      <c r="AM23" s="135">
        <f t="shared" ref="AM23:AM32" si="10">AD25</f>
        <v>-23.014175810044431</v>
      </c>
      <c r="AN23" s="136">
        <f t="shared" si="8"/>
        <v>-13.609048504624166</v>
      </c>
      <c r="AO23" s="136">
        <f t="shared" si="9"/>
        <v>-36.623224314668576</v>
      </c>
      <c r="AP23" s="71">
        <f t="shared" ref="AP23:AP32" si="11">AD55</f>
        <v>23.014175810044414</v>
      </c>
    </row>
    <row r="24" spans="1:42" x14ac:dyDescent="0.25">
      <c r="A24" s="7"/>
      <c r="F24" s="77"/>
      <c r="H24" s="9"/>
      <c r="I24" s="22"/>
      <c r="L24" s="9"/>
      <c r="N24" s="31">
        <f t="shared" si="6"/>
        <v>0</v>
      </c>
      <c r="O24" s="31"/>
      <c r="P24" s="35">
        <f t="shared" si="5"/>
        <v>0</v>
      </c>
      <c r="Q24" s="36">
        <f t="shared" si="0"/>
        <v>0</v>
      </c>
      <c r="R24" s="37">
        <f t="shared" si="1"/>
        <v>0</v>
      </c>
      <c r="S24" s="37">
        <f>IF(N24&gt;0,((#REF!/100)*($F$17/100)*#REF!*X24)/((1+($F$11/100))^N24),0)</f>
        <v>0</v>
      </c>
      <c r="T24" s="37"/>
      <c r="U24" s="35">
        <f t="shared" si="7"/>
        <v>0</v>
      </c>
      <c r="V24" s="34">
        <f t="shared" si="3"/>
        <v>0</v>
      </c>
      <c r="W24" s="19"/>
      <c r="X24" s="2">
        <f t="shared" si="4"/>
        <v>0</v>
      </c>
      <c r="AA24" s="24">
        <f t="shared" ref="AA24:AA27" si="12">AA25-10</f>
        <v>-50</v>
      </c>
      <c r="AB24" s="28">
        <f t="shared" ref="AB24:AB28" si="13">$AB$23*(1+(AA24/100))</f>
        <v>0.49632409963706303</v>
      </c>
      <c r="AC24" s="30">
        <f t="dataTable" ref="AC24:AC34" dt2D="0" dtr="0" r1="F36" ca="1"/>
        <v>53538.478104765891</v>
      </c>
      <c r="AD24" s="58">
        <f>100*((AC24-$AC$29)/$AC$29)</f>
        <v>-28.767719762555512</v>
      </c>
      <c r="AF24" s="24">
        <f t="shared" ref="AF24:AF27" si="14">AF25-10</f>
        <v>-50</v>
      </c>
      <c r="AG24" s="25">
        <f>$AG$23*(1+(AF24/100))</f>
        <v>5185.1509187014271</v>
      </c>
      <c r="AH24" s="30">
        <f t="dataTable" ref="AH24:AH34" dt2D="0" dtr="0" r1="B48" ca="1"/>
        <v>70552.036522673647</v>
      </c>
      <c r="AI24" s="58">
        <f t="shared" ref="AI24:AI34" si="15">100*((AH24-$AH$29)/$AH$29)</f>
        <v>-6.1313915746488066</v>
      </c>
      <c r="AK24" s="134">
        <v>-30</v>
      </c>
      <c r="AL24" s="135">
        <f t="shared" ref="AL24:AL32" si="16">AI26</f>
        <v>-3.6788349447892803</v>
      </c>
      <c r="AM24" s="135">
        <f t="shared" si="10"/>
        <v>-17.260631857533316</v>
      </c>
      <c r="AN24" s="136">
        <f t="shared" si="8"/>
        <v>-10.206786378468131</v>
      </c>
      <c r="AO24" s="136">
        <f t="shared" si="9"/>
        <v>-27.467418236001436</v>
      </c>
      <c r="AP24" s="71">
        <f t="shared" si="11"/>
        <v>17.260631857533316</v>
      </c>
    </row>
    <row r="25" spans="1:42" x14ac:dyDescent="0.25">
      <c r="A25" s="7"/>
      <c r="H25" s="9"/>
      <c r="L25" s="9"/>
      <c r="N25" s="31">
        <f t="shared" si="6"/>
        <v>0</v>
      </c>
      <c r="O25" s="31"/>
      <c r="P25" s="35">
        <f t="shared" si="5"/>
        <v>0</v>
      </c>
      <c r="Q25" s="36">
        <f t="shared" si="0"/>
        <v>0</v>
      </c>
      <c r="R25" s="37">
        <f t="shared" si="1"/>
        <v>0</v>
      </c>
      <c r="S25" s="37">
        <f>IF(N25&gt;0,((#REF!/100)*($F$17/100)*#REF!*X25)/((1+($F$11/100))^N25),0)</f>
        <v>0</v>
      </c>
      <c r="T25" s="37"/>
      <c r="U25" s="35">
        <f t="shared" si="7"/>
        <v>0</v>
      </c>
      <c r="V25" s="34">
        <f t="shared" si="3"/>
        <v>0</v>
      </c>
      <c r="W25" s="19"/>
      <c r="X25" s="2">
        <f t="shared" si="4"/>
        <v>0</v>
      </c>
      <c r="AA25" s="24">
        <f t="shared" si="12"/>
        <v>-40</v>
      </c>
      <c r="AB25" s="28">
        <f t="shared" si="13"/>
        <v>0.59558891956447557</v>
      </c>
      <c r="AC25" s="30">
        <v>57862.865670340383</v>
      </c>
      <c r="AD25" s="58">
        <f t="shared" ref="AD25:AD34" si="17">100*((AC25-$AC$29)/$AC$29)</f>
        <v>-23.014175810044431</v>
      </c>
      <c r="AF25" s="24">
        <f t="shared" si="14"/>
        <v>-40</v>
      </c>
      <c r="AG25" s="25">
        <f t="shared" ref="AG25:AG28" si="18">$AG$23*(1+(AF25/100))</f>
        <v>6222.181102441712</v>
      </c>
      <c r="AH25" s="30">
        <v>71473.712404666614</v>
      </c>
      <c r="AI25" s="58">
        <f t="shared" si="15"/>
        <v>-4.9051132597190339</v>
      </c>
      <c r="AK25" s="134">
        <v>-20</v>
      </c>
      <c r="AL25" s="135">
        <f t="shared" si="16"/>
        <v>-2.4525566298595076</v>
      </c>
      <c r="AM25" s="135">
        <f t="shared" si="10"/>
        <v>-11.507087905022216</v>
      </c>
      <c r="AN25" s="136">
        <f t="shared" si="8"/>
        <v>-6.8045242523120679</v>
      </c>
      <c r="AO25" s="136">
        <f t="shared" si="9"/>
        <v>-18.311612157334295</v>
      </c>
      <c r="AP25" s="71">
        <f t="shared" si="11"/>
        <v>11.507087905022177</v>
      </c>
    </row>
    <row r="26" spans="1:42" ht="15.75" thickBot="1" x14ac:dyDescent="0.3">
      <c r="A26" s="14"/>
      <c r="B26" s="15"/>
      <c r="C26" s="15"/>
      <c r="D26" s="15"/>
      <c r="E26" s="15"/>
      <c r="F26" s="15"/>
      <c r="G26" s="15"/>
      <c r="H26" s="16"/>
      <c r="I26" s="15"/>
      <c r="J26" s="15"/>
      <c r="K26" s="15"/>
      <c r="L26" s="16"/>
      <c r="N26" s="31">
        <f t="shared" si="6"/>
        <v>0</v>
      </c>
      <c r="O26" s="31"/>
      <c r="P26" s="35">
        <f t="shared" si="5"/>
        <v>0</v>
      </c>
      <c r="Q26" s="36">
        <f t="shared" si="0"/>
        <v>0</v>
      </c>
      <c r="R26" s="37">
        <f t="shared" si="1"/>
        <v>0</v>
      </c>
      <c r="S26" s="37">
        <f>IF(N26&gt;0,((#REF!/100)*($F$17/100)*#REF!*X26)/((1+($F$11/100))^N26),0)</f>
        <v>0</v>
      </c>
      <c r="T26" s="37"/>
      <c r="U26" s="35">
        <f t="shared" si="7"/>
        <v>0</v>
      </c>
      <c r="V26" s="34">
        <f t="shared" si="3"/>
        <v>0</v>
      </c>
      <c r="W26" s="19"/>
      <c r="X26" s="2">
        <f t="shared" si="4"/>
        <v>0</v>
      </c>
      <c r="AA26" s="24">
        <f t="shared" si="12"/>
        <v>-30</v>
      </c>
      <c r="AB26" s="28">
        <f t="shared" si="13"/>
        <v>0.69485373949188822</v>
      </c>
      <c r="AC26" s="30">
        <v>62187.253235914905</v>
      </c>
      <c r="AD26" s="58">
        <f t="shared" si="17"/>
        <v>-17.260631857533316</v>
      </c>
      <c r="AF26" s="24">
        <f t="shared" si="14"/>
        <v>-30</v>
      </c>
      <c r="AG26" s="25">
        <f t="shared" si="18"/>
        <v>7259.2112861819978</v>
      </c>
      <c r="AH26" s="30">
        <v>72395.388286659567</v>
      </c>
      <c r="AI26" s="58">
        <f t="shared" si="15"/>
        <v>-3.6788349447892803</v>
      </c>
      <c r="AK26" s="134">
        <v>-10</v>
      </c>
      <c r="AL26" s="135">
        <f t="shared" si="16"/>
        <v>-1.2262783149297538</v>
      </c>
      <c r="AM26" s="135">
        <f t="shared" si="10"/>
        <v>-5.7535439525110981</v>
      </c>
      <c r="AN26" s="136">
        <f t="shared" si="8"/>
        <v>-3.4022621261560242</v>
      </c>
      <c r="AO26" s="136">
        <f t="shared" si="9"/>
        <v>-9.1558060786671422</v>
      </c>
      <c r="AP26" s="71">
        <f t="shared" si="11"/>
        <v>5.7535439525110981</v>
      </c>
    </row>
    <row r="27" spans="1:42" x14ac:dyDescent="0.25">
      <c r="J27" s="2"/>
      <c r="N27" s="31">
        <f t="shared" si="6"/>
        <v>0</v>
      </c>
      <c r="O27" s="31"/>
      <c r="P27" s="35">
        <f t="shared" si="5"/>
        <v>0</v>
      </c>
      <c r="Q27" s="36">
        <f t="shared" si="0"/>
        <v>0</v>
      </c>
      <c r="R27" s="37">
        <f t="shared" si="1"/>
        <v>0</v>
      </c>
      <c r="S27" s="37">
        <f>IF(N27&gt;0,((#REF!/100)*($F$17/100)*#REF!*X27)/((1+($F$11/100))^N27),0)</f>
        <v>0</v>
      </c>
      <c r="T27" s="37"/>
      <c r="U27" s="35">
        <f t="shared" si="7"/>
        <v>0</v>
      </c>
      <c r="V27" s="34">
        <f t="shared" si="3"/>
        <v>0</v>
      </c>
      <c r="W27" s="19"/>
      <c r="X27" s="2">
        <f t="shared" si="4"/>
        <v>0</v>
      </c>
      <c r="AA27" s="24">
        <f t="shared" si="12"/>
        <v>-20</v>
      </c>
      <c r="AB27" s="28">
        <f t="shared" si="13"/>
        <v>0.79411855941930087</v>
      </c>
      <c r="AC27" s="30">
        <v>66511.640801489411</v>
      </c>
      <c r="AD27" s="58">
        <f t="shared" si="17"/>
        <v>-11.507087905022216</v>
      </c>
      <c r="AF27" s="24">
        <f t="shared" si="14"/>
        <v>-20</v>
      </c>
      <c r="AG27" s="25">
        <f t="shared" si="18"/>
        <v>8296.2414699222845</v>
      </c>
      <c r="AH27" s="30">
        <v>73317.064168652534</v>
      </c>
      <c r="AI27" s="58">
        <f t="shared" si="15"/>
        <v>-2.4525566298595076</v>
      </c>
      <c r="AK27" s="134">
        <v>0</v>
      </c>
      <c r="AL27" s="135">
        <f t="shared" si="16"/>
        <v>0</v>
      </c>
      <c r="AM27" s="135">
        <f t="shared" si="10"/>
        <v>0</v>
      </c>
      <c r="AN27" s="136">
        <f t="shared" si="8"/>
        <v>0</v>
      </c>
      <c r="AO27" s="136">
        <f t="shared" si="9"/>
        <v>0</v>
      </c>
      <c r="AP27" s="71">
        <f t="shared" si="11"/>
        <v>0</v>
      </c>
    </row>
    <row r="28" spans="1:42" x14ac:dyDescent="0.25">
      <c r="A28" s="12" t="s">
        <v>60</v>
      </c>
      <c r="J28" s="2"/>
      <c r="N28" s="31">
        <f t="shared" si="6"/>
        <v>0</v>
      </c>
      <c r="O28" s="31"/>
      <c r="P28" s="35">
        <f t="shared" si="5"/>
        <v>0</v>
      </c>
      <c r="Q28" s="36">
        <f t="shared" si="0"/>
        <v>0</v>
      </c>
      <c r="R28" s="37">
        <f t="shared" si="1"/>
        <v>0</v>
      </c>
      <c r="S28" s="37">
        <f>IF(N28&gt;0,((#REF!/100)*($F$17/100)*#REF!*X28)/((1+($F$11/100))^N28),0)</f>
        <v>0</v>
      </c>
      <c r="T28" s="37"/>
      <c r="U28" s="35">
        <f t="shared" si="7"/>
        <v>0</v>
      </c>
      <c r="V28" s="34">
        <f t="shared" si="3"/>
        <v>0</v>
      </c>
      <c r="W28" s="19"/>
      <c r="X28" s="2">
        <f t="shared" si="4"/>
        <v>0</v>
      </c>
      <c r="AA28" s="24">
        <f>AA29-10</f>
        <v>-10</v>
      </c>
      <c r="AB28" s="28">
        <f t="shared" si="13"/>
        <v>0.89338337934671352</v>
      </c>
      <c r="AC28" s="30">
        <v>70836.028367063933</v>
      </c>
      <c r="AD28" s="58">
        <f t="shared" si="17"/>
        <v>-5.7535439525110981</v>
      </c>
      <c r="AF28" s="24">
        <f>AF29-10</f>
        <v>-10</v>
      </c>
      <c r="AG28" s="25">
        <f t="shared" si="18"/>
        <v>9333.2716536625685</v>
      </c>
      <c r="AH28" s="30">
        <v>74238.740050645487</v>
      </c>
      <c r="AI28" s="58">
        <f t="shared" si="15"/>
        <v>-1.2262783149297538</v>
      </c>
      <c r="AK28" s="134">
        <v>10</v>
      </c>
      <c r="AL28" s="135">
        <f t="shared" si="16"/>
        <v>1.2262783149297729</v>
      </c>
      <c r="AM28" s="135">
        <f t="shared" si="10"/>
        <v>5.7535439525110981</v>
      </c>
      <c r="AN28" s="136">
        <f t="shared" si="8"/>
        <v>3.4022621261560437</v>
      </c>
      <c r="AO28" s="136">
        <f t="shared" si="9"/>
        <v>9.1558060786671422</v>
      </c>
      <c r="AP28" s="71">
        <f t="shared" si="11"/>
        <v>-5.7535439525110981</v>
      </c>
    </row>
    <row r="29" spans="1:42" ht="15.75" thickBot="1" x14ac:dyDescent="0.3">
      <c r="J29" s="2"/>
      <c r="N29" s="31">
        <f t="shared" si="6"/>
        <v>0</v>
      </c>
      <c r="O29" s="31"/>
      <c r="P29" s="35">
        <f t="shared" si="5"/>
        <v>0</v>
      </c>
      <c r="Q29" s="36">
        <f t="shared" si="0"/>
        <v>0</v>
      </c>
      <c r="R29" s="37">
        <f t="shared" si="1"/>
        <v>0</v>
      </c>
      <c r="S29" s="37">
        <f>IF(N29&gt;0,((#REF!/100)*($F$17/100)*#REF!*X29)/((1+($F$11/100))^N29),0)</f>
        <v>0</v>
      </c>
      <c r="T29" s="37"/>
      <c r="U29" s="35">
        <f t="shared" si="7"/>
        <v>0</v>
      </c>
      <c r="V29" s="34">
        <f t="shared" si="3"/>
        <v>0</v>
      </c>
      <c r="W29" s="19"/>
      <c r="X29" s="2">
        <f t="shared" si="4"/>
        <v>0</v>
      </c>
      <c r="AA29" s="60">
        <v>0</v>
      </c>
      <c r="AB29" s="64">
        <f>$AB$23*(1+(AA29/100))</f>
        <v>0.99264819927412606</v>
      </c>
      <c r="AC29" s="62">
        <v>75160.41593263844</v>
      </c>
      <c r="AD29" s="63">
        <f t="shared" si="17"/>
        <v>0</v>
      </c>
      <c r="AF29" s="60">
        <v>0</v>
      </c>
      <c r="AG29" s="65">
        <f>$AG$23*(1+(AF29/100))</f>
        <v>10370.301837402854</v>
      </c>
      <c r="AH29" s="62">
        <v>75160.41593263844</v>
      </c>
      <c r="AI29" s="63">
        <f t="shared" si="15"/>
        <v>0</v>
      </c>
      <c r="AK29" s="134">
        <v>20</v>
      </c>
      <c r="AL29" s="135">
        <f t="shared" si="16"/>
        <v>2.4525566298595267</v>
      </c>
      <c r="AM29" s="135">
        <f t="shared" si="10"/>
        <v>11.507087905022177</v>
      </c>
      <c r="AN29" s="136">
        <f t="shared" si="8"/>
        <v>6.8045242523120875</v>
      </c>
      <c r="AO29" s="136">
        <f t="shared" si="9"/>
        <v>18.311612157334263</v>
      </c>
      <c r="AP29" s="71">
        <f t="shared" si="11"/>
        <v>-11.507087905022216</v>
      </c>
    </row>
    <row r="30" spans="1:42" x14ac:dyDescent="0.25">
      <c r="A30" s="3" t="s">
        <v>11</v>
      </c>
      <c r="B30" s="4"/>
      <c r="C30" s="4"/>
      <c r="D30" s="4"/>
      <c r="E30" s="5" t="s">
        <v>96</v>
      </c>
      <c r="F30" s="4"/>
      <c r="G30" s="4"/>
      <c r="H30" s="4"/>
      <c r="I30" s="5" t="s">
        <v>125</v>
      </c>
      <c r="J30" s="92">
        <f>SUM(J31:J35)</f>
        <v>3218.8001552892833</v>
      </c>
      <c r="K30" s="5" t="s">
        <v>44</v>
      </c>
      <c r="L30" s="6"/>
      <c r="N30" s="31">
        <f t="shared" si="6"/>
        <v>0</v>
      </c>
      <c r="O30" s="31"/>
      <c r="P30" s="35">
        <f t="shared" si="5"/>
        <v>0</v>
      </c>
      <c r="Q30" s="36">
        <f t="shared" si="0"/>
        <v>0</v>
      </c>
      <c r="R30" s="37">
        <f t="shared" si="1"/>
        <v>0</v>
      </c>
      <c r="S30" s="37">
        <f>IF(N30&gt;0,((#REF!/100)*($F$17/100)*#REF!*X30)/((1+($F$11/100))^N30),0)</f>
        <v>0</v>
      </c>
      <c r="T30" s="37"/>
      <c r="U30" s="35">
        <f t="shared" si="7"/>
        <v>0</v>
      </c>
      <c r="V30" s="34">
        <f t="shared" si="3"/>
        <v>0</v>
      </c>
      <c r="W30" s="19"/>
      <c r="X30" s="2">
        <f t="shared" si="4"/>
        <v>0</v>
      </c>
      <c r="AA30" s="24">
        <f>AA29+10</f>
        <v>10</v>
      </c>
      <c r="AB30" s="28">
        <f t="shared" ref="AB30:AB34" si="19">$AB$23*(1+(AA30/100))</f>
        <v>1.0919130192015387</v>
      </c>
      <c r="AC30" s="30">
        <v>79484.803498212947</v>
      </c>
      <c r="AD30" s="58">
        <f t="shared" si="17"/>
        <v>5.7535439525110981</v>
      </c>
      <c r="AF30" s="24">
        <f>AF29+10</f>
        <v>10</v>
      </c>
      <c r="AG30" s="25">
        <f t="shared" ref="AG30:AG34" si="20">$AG$23*(1+(AF30/100))</f>
        <v>11407.33202114314</v>
      </c>
      <c r="AH30" s="30">
        <v>76082.091814631407</v>
      </c>
      <c r="AI30" s="58">
        <f t="shared" si="15"/>
        <v>1.2262783149297729</v>
      </c>
      <c r="AK30" s="134">
        <v>30</v>
      </c>
      <c r="AL30" s="135">
        <f t="shared" si="16"/>
        <v>3.6788349447892998</v>
      </c>
      <c r="AM30" s="135">
        <f t="shared" si="10"/>
        <v>17.260631857533316</v>
      </c>
      <c r="AN30" s="136">
        <f t="shared" si="8"/>
        <v>10.206786378468111</v>
      </c>
      <c r="AO30" s="136">
        <f t="shared" si="9"/>
        <v>27.467418236001407</v>
      </c>
      <c r="AP30" s="71">
        <f t="shared" si="11"/>
        <v>-17.260631857533316</v>
      </c>
    </row>
    <row r="31" spans="1:42" x14ac:dyDescent="0.25">
      <c r="A31" s="21" t="s">
        <v>187</v>
      </c>
      <c r="B31" s="18">
        <f>IF(B11=0,0,-(B11/100)*$B$46)</f>
        <v>0</v>
      </c>
      <c r="C31" s="1" t="s">
        <v>3</v>
      </c>
      <c r="E31" s="22" t="s">
        <v>62</v>
      </c>
      <c r="F31" s="10">
        <f>(J16/100)*B48</f>
        <v>518.51509187014278</v>
      </c>
      <c r="G31" s="1" t="s">
        <v>3</v>
      </c>
      <c r="I31" s="22"/>
      <c r="J31" s="13"/>
      <c r="L31" s="9"/>
      <c r="N31" s="31">
        <f t="shared" si="6"/>
        <v>0</v>
      </c>
      <c r="O31" s="31"/>
      <c r="P31" s="35">
        <f t="shared" si="5"/>
        <v>0</v>
      </c>
      <c r="Q31" s="36">
        <f t="shared" si="0"/>
        <v>0</v>
      </c>
      <c r="R31" s="37">
        <f t="shared" si="1"/>
        <v>0</v>
      </c>
      <c r="S31" s="37">
        <f>IF(N31&gt;0,((#REF!/100)*($F$17/100)*#REF!*X31)/((1+($F$11/100))^N31),0)</f>
        <v>0</v>
      </c>
      <c r="T31" s="37"/>
      <c r="U31" s="35">
        <f t="shared" si="7"/>
        <v>0</v>
      </c>
      <c r="V31" s="34">
        <f t="shared" si="3"/>
        <v>0</v>
      </c>
      <c r="W31" s="19"/>
      <c r="X31" s="2">
        <f t="shared" si="4"/>
        <v>0</v>
      </c>
      <c r="AA31" s="24">
        <f t="shared" ref="AA31:AA34" si="21">AA30+10</f>
        <v>20</v>
      </c>
      <c r="AB31" s="28">
        <f t="shared" si="19"/>
        <v>1.1911778391289511</v>
      </c>
      <c r="AC31" s="30">
        <v>83809.191063787439</v>
      </c>
      <c r="AD31" s="58">
        <f t="shared" si="17"/>
        <v>11.507087905022177</v>
      </c>
      <c r="AF31" s="24">
        <f t="shared" ref="AF31:AF34" si="22">AF30+10</f>
        <v>20</v>
      </c>
      <c r="AG31" s="25">
        <f t="shared" si="20"/>
        <v>12444.362204883424</v>
      </c>
      <c r="AH31" s="30">
        <v>77003.76769662436</v>
      </c>
      <c r="AI31" s="58">
        <f t="shared" si="15"/>
        <v>2.4525566298595267</v>
      </c>
      <c r="AK31" s="134">
        <v>40</v>
      </c>
      <c r="AL31" s="135">
        <f t="shared" si="16"/>
        <v>4.9051132597190534</v>
      </c>
      <c r="AM31" s="135">
        <f t="shared" si="10"/>
        <v>23.014175810044414</v>
      </c>
      <c r="AN31" s="136">
        <f t="shared" si="8"/>
        <v>13.609048504624175</v>
      </c>
      <c r="AO31" s="136">
        <f t="shared" si="9"/>
        <v>36.62322431466859</v>
      </c>
      <c r="AP31" s="71">
        <f t="shared" si="11"/>
        <v>-23.014175810044431</v>
      </c>
    </row>
    <row r="32" spans="1:42" x14ac:dyDescent="0.25">
      <c r="A32" s="21" t="s">
        <v>5</v>
      </c>
      <c r="B32" s="18">
        <f>IF(B12=0,0,-(B12/100)*$B$46)</f>
        <v>0</v>
      </c>
      <c r="C32" s="1" t="s">
        <v>3</v>
      </c>
      <c r="E32" s="22" t="s">
        <v>63</v>
      </c>
      <c r="F32" s="18">
        <f>B48-F31</f>
        <v>9851.7867455327123</v>
      </c>
      <c r="G32" s="1" t="s">
        <v>3</v>
      </c>
      <c r="I32" s="22" t="s">
        <v>159</v>
      </c>
      <c r="J32" s="13">
        <f>F17/$B$8</f>
        <v>18.800155289282692</v>
      </c>
      <c r="K32" s="1" t="s">
        <v>44</v>
      </c>
      <c r="L32" s="9"/>
      <c r="N32" s="31">
        <f t="shared" si="6"/>
        <v>0</v>
      </c>
      <c r="O32" s="31"/>
      <c r="P32" s="35">
        <f t="shared" si="5"/>
        <v>0</v>
      </c>
      <c r="Q32" s="36">
        <f t="shared" si="0"/>
        <v>0</v>
      </c>
      <c r="R32" s="37">
        <f t="shared" si="1"/>
        <v>0</v>
      </c>
      <c r="S32" s="37">
        <f>IF(N32&gt;0,((#REF!/100)*($F$17/100)*#REF!*X32)/((1+($F$11/100))^N32),0)</f>
        <v>0</v>
      </c>
      <c r="T32" s="37"/>
      <c r="U32" s="35">
        <f t="shared" si="7"/>
        <v>0</v>
      </c>
      <c r="V32" s="34">
        <f t="shared" si="3"/>
        <v>0</v>
      </c>
      <c r="W32" s="19"/>
      <c r="X32" s="2">
        <f t="shared" si="4"/>
        <v>0</v>
      </c>
      <c r="AA32" s="24">
        <f t="shared" si="21"/>
        <v>30</v>
      </c>
      <c r="AB32" s="28">
        <f t="shared" si="19"/>
        <v>1.290442659056364</v>
      </c>
      <c r="AC32" s="30">
        <v>88133.578629361975</v>
      </c>
      <c r="AD32" s="58">
        <f t="shared" si="17"/>
        <v>17.260631857533316</v>
      </c>
      <c r="AF32" s="24">
        <f t="shared" si="22"/>
        <v>30</v>
      </c>
      <c r="AG32" s="25">
        <f t="shared" si="20"/>
        <v>13481.392388623712</v>
      </c>
      <c r="AH32" s="30">
        <v>77925.443578617327</v>
      </c>
      <c r="AI32" s="58">
        <f t="shared" si="15"/>
        <v>3.6788349447892998</v>
      </c>
      <c r="AK32" s="134">
        <v>50</v>
      </c>
      <c r="AL32" s="135">
        <f t="shared" si="16"/>
        <v>6.1313915746488261</v>
      </c>
      <c r="AM32" s="135">
        <f t="shared" si="10"/>
        <v>28.767719762555512</v>
      </c>
      <c r="AN32" s="136">
        <f t="shared" si="8"/>
        <v>17.01131063078018</v>
      </c>
      <c r="AO32" s="136">
        <f t="shared" si="9"/>
        <v>45.779030393335709</v>
      </c>
      <c r="AP32" s="71">
        <f t="shared" si="11"/>
        <v>-28.767719762555512</v>
      </c>
    </row>
    <row r="33" spans="1:35" x14ac:dyDescent="0.25">
      <c r="A33" s="21" t="s">
        <v>6</v>
      </c>
      <c r="B33" s="18">
        <f>IF(B14=0,0,(B14/100)*$B$44)</f>
        <v>677.41935483870975</v>
      </c>
      <c r="C33" s="1" t="s">
        <v>3</v>
      </c>
      <c r="E33" s="22" t="s">
        <v>64</v>
      </c>
      <c r="F33" s="10">
        <f>F32*(F19/100)*J15</f>
        <v>0</v>
      </c>
      <c r="G33" s="1" t="s">
        <v>3</v>
      </c>
      <c r="I33" s="38"/>
      <c r="J33" s="49"/>
      <c r="K33" s="39"/>
      <c r="L33" s="9"/>
      <c r="N33" s="31">
        <f t="shared" si="6"/>
        <v>0</v>
      </c>
      <c r="O33" s="31"/>
      <c r="P33" s="35">
        <f t="shared" si="5"/>
        <v>0</v>
      </c>
      <c r="Q33" s="36">
        <f t="shared" si="0"/>
        <v>0</v>
      </c>
      <c r="R33" s="37">
        <f t="shared" si="1"/>
        <v>0</v>
      </c>
      <c r="S33" s="37">
        <f>IF(N33&gt;0,((#REF!/100)*($F$17/100)*#REF!*X33)/((1+($F$11/100))^N33),0)</f>
        <v>0</v>
      </c>
      <c r="T33" s="37"/>
      <c r="U33" s="35">
        <f t="shared" si="7"/>
        <v>0</v>
      </c>
      <c r="V33" s="34">
        <f t="shared" si="3"/>
        <v>0</v>
      </c>
      <c r="W33" s="19"/>
      <c r="X33" s="2">
        <f t="shared" si="4"/>
        <v>0</v>
      </c>
      <c r="AA33" s="24">
        <f t="shared" si="21"/>
        <v>40</v>
      </c>
      <c r="AB33" s="28">
        <f t="shared" si="19"/>
        <v>1.3897074789837764</v>
      </c>
      <c r="AC33" s="30">
        <v>92457.966194936482</v>
      </c>
      <c r="AD33" s="58">
        <f t="shared" si="17"/>
        <v>23.014175810044414</v>
      </c>
      <c r="AF33" s="24">
        <f t="shared" si="22"/>
        <v>40</v>
      </c>
      <c r="AG33" s="25">
        <f t="shared" si="20"/>
        <v>14518.422572363996</v>
      </c>
      <c r="AH33" s="30">
        <v>78847.11946061028</v>
      </c>
      <c r="AI33" s="58">
        <f t="shared" si="15"/>
        <v>4.9051132597190534</v>
      </c>
    </row>
    <row r="34" spans="1:35" x14ac:dyDescent="0.25">
      <c r="A34" s="21" t="s">
        <v>197</v>
      </c>
      <c r="B34" s="99">
        <f>IF(B16=0,0,(B16/B8))</f>
        <v>15.463127725435013</v>
      </c>
      <c r="C34" s="1" t="s">
        <v>3</v>
      </c>
      <c r="F34" s="46"/>
      <c r="J34" s="46"/>
      <c r="L34" s="9"/>
      <c r="N34" s="31">
        <f t="shared" si="6"/>
        <v>0</v>
      </c>
      <c r="O34" s="31"/>
      <c r="P34" s="35">
        <f t="shared" si="5"/>
        <v>0</v>
      </c>
      <c r="Q34" s="36">
        <f t="shared" si="0"/>
        <v>0</v>
      </c>
      <c r="R34" s="37">
        <f t="shared" si="1"/>
        <v>0</v>
      </c>
      <c r="S34" s="37">
        <f>IF(N34&gt;0,((#REF!/100)*($F$17/100)*#REF!*X34)/((1+($F$11/100))^N34),0)</f>
        <v>0</v>
      </c>
      <c r="T34" s="37"/>
      <c r="U34" s="35">
        <f t="shared" si="7"/>
        <v>0</v>
      </c>
      <c r="V34" s="34">
        <f t="shared" si="3"/>
        <v>0</v>
      </c>
      <c r="W34" s="19"/>
      <c r="X34" s="2">
        <f t="shared" si="4"/>
        <v>0</v>
      </c>
      <c r="AA34" s="24">
        <f t="shared" si="21"/>
        <v>50</v>
      </c>
      <c r="AB34" s="28">
        <f t="shared" si="19"/>
        <v>1.4889722989111891</v>
      </c>
      <c r="AC34" s="30">
        <v>96782.353760510989</v>
      </c>
      <c r="AD34" s="58">
        <f t="shared" si="17"/>
        <v>28.767719762555512</v>
      </c>
      <c r="AF34" s="24">
        <f t="shared" si="22"/>
        <v>50</v>
      </c>
      <c r="AG34" s="25">
        <f t="shared" si="20"/>
        <v>15555.452756104281</v>
      </c>
      <c r="AH34" s="30">
        <v>79768.795342603247</v>
      </c>
      <c r="AI34" s="58">
        <f t="shared" si="15"/>
        <v>6.1313915746488261</v>
      </c>
    </row>
    <row r="35" spans="1:35" x14ac:dyDescent="0.25">
      <c r="A35" s="21" t="s">
        <v>162</v>
      </c>
      <c r="B35" s="18">
        <f>IF(B17=0,0,(B17/100)*$B$44)</f>
        <v>0</v>
      </c>
      <c r="C35" s="1" t="s">
        <v>3</v>
      </c>
      <c r="E35" s="12" t="s">
        <v>97</v>
      </c>
      <c r="I35" s="22" t="s">
        <v>66</v>
      </c>
      <c r="J35" s="20">
        <f>F18*F12/$B$8</f>
        <v>3200.0000000000005</v>
      </c>
      <c r="K35" s="1" t="s">
        <v>44</v>
      </c>
      <c r="L35" s="9"/>
      <c r="N35" s="31">
        <f t="shared" si="6"/>
        <v>0</v>
      </c>
      <c r="O35" s="31"/>
      <c r="P35" s="35">
        <f t="shared" si="5"/>
        <v>0</v>
      </c>
      <c r="Q35" s="36">
        <f t="shared" si="0"/>
        <v>0</v>
      </c>
      <c r="R35" s="37">
        <f t="shared" si="1"/>
        <v>0</v>
      </c>
      <c r="S35" s="37">
        <f>IF(N35&gt;0,((#REF!/100)*($F$17/100)*#REF!*X35)/((1+($F$11/100))^N35),0)</f>
        <v>0</v>
      </c>
      <c r="T35" s="37"/>
      <c r="U35" s="35">
        <f t="shared" si="7"/>
        <v>0</v>
      </c>
      <c r="V35" s="34">
        <f t="shared" si="3"/>
        <v>0</v>
      </c>
      <c r="W35" s="19"/>
      <c r="X35" s="2">
        <f t="shared" si="4"/>
        <v>0</v>
      </c>
    </row>
    <row r="36" spans="1:35" x14ac:dyDescent="0.25">
      <c r="E36" s="22" t="s">
        <v>191</v>
      </c>
      <c r="F36" s="23">
        <f>F13/$B$8</f>
        <v>0.99264819927412606</v>
      </c>
      <c r="G36" s="1" t="s">
        <v>108</v>
      </c>
      <c r="L36" s="9"/>
      <c r="N36" s="31">
        <f t="shared" si="6"/>
        <v>0</v>
      </c>
      <c r="O36" s="31"/>
      <c r="P36" s="35">
        <f t="shared" si="5"/>
        <v>0</v>
      </c>
      <c r="Q36" s="36">
        <f t="shared" si="0"/>
        <v>0</v>
      </c>
      <c r="R36" s="37">
        <f t="shared" si="1"/>
        <v>0</v>
      </c>
      <c r="S36" s="37">
        <f>IF(N36&gt;0,((#REF!/100)*($F$17/100)*#REF!*X36)/((1+($F$11/100))^N36),0)</f>
        <v>0</v>
      </c>
      <c r="T36" s="37"/>
      <c r="U36" s="35">
        <f t="shared" si="7"/>
        <v>0</v>
      </c>
      <c r="V36" s="34">
        <f t="shared" si="3"/>
        <v>0</v>
      </c>
      <c r="W36" s="19"/>
      <c r="X36" s="2">
        <f t="shared" si="4"/>
        <v>0</v>
      </c>
      <c r="AA36" s="27" t="s">
        <v>66</v>
      </c>
      <c r="AB36" s="24"/>
      <c r="AC36" s="24"/>
      <c r="AD36" s="24"/>
      <c r="AF36" s="27" t="s">
        <v>84</v>
      </c>
      <c r="AG36" s="24"/>
      <c r="AH36" s="24"/>
      <c r="AI36" s="24"/>
    </row>
    <row r="37" spans="1:35" x14ac:dyDescent="0.25">
      <c r="B37" s="18"/>
      <c r="E37" s="22" t="s">
        <v>192</v>
      </c>
      <c r="F37" s="48">
        <f>F36*J9</f>
        <v>0.15882371188386019</v>
      </c>
      <c r="G37" s="1" t="s">
        <v>57</v>
      </c>
      <c r="L37" s="9"/>
      <c r="N37" s="31">
        <f t="shared" si="6"/>
        <v>0</v>
      </c>
      <c r="O37" s="31"/>
      <c r="P37" s="35">
        <f t="shared" si="5"/>
        <v>0</v>
      </c>
      <c r="Q37" s="36">
        <f t="shared" si="0"/>
        <v>0</v>
      </c>
      <c r="R37" s="37">
        <f t="shared" si="1"/>
        <v>0</v>
      </c>
      <c r="S37" s="37">
        <f>IF(N37&gt;0,((#REF!/100)*($F$17/100)*#REF!*X37)/((1+($F$11/100))^N37),0)</f>
        <v>0</v>
      </c>
      <c r="T37" s="37"/>
      <c r="U37" s="35">
        <f t="shared" si="7"/>
        <v>0</v>
      </c>
      <c r="V37" s="34">
        <f t="shared" si="3"/>
        <v>0</v>
      </c>
      <c r="W37" s="19"/>
      <c r="X37" s="2">
        <f t="shared" si="4"/>
        <v>0</v>
      </c>
      <c r="AA37" s="24" t="s">
        <v>76</v>
      </c>
      <c r="AB37" s="24" t="s">
        <v>128</v>
      </c>
      <c r="AC37" s="24" t="s">
        <v>72</v>
      </c>
      <c r="AD37" s="24" t="s">
        <v>80</v>
      </c>
      <c r="AF37" s="24" t="s">
        <v>76</v>
      </c>
      <c r="AG37" s="24" t="s">
        <v>83</v>
      </c>
      <c r="AH37" s="24" t="s">
        <v>72</v>
      </c>
      <c r="AI37" s="24" t="s">
        <v>80</v>
      </c>
    </row>
    <row r="38" spans="1:35" x14ac:dyDescent="0.25">
      <c r="A38" s="21"/>
      <c r="B38" s="18"/>
      <c r="E38" s="22" t="s">
        <v>109</v>
      </c>
      <c r="F38" s="46">
        <f>F37*F12</f>
        <v>5082.3587802835264</v>
      </c>
      <c r="G38" t="s">
        <v>44</v>
      </c>
      <c r="L38" s="9"/>
      <c r="N38" s="31">
        <f t="shared" si="6"/>
        <v>0</v>
      </c>
      <c r="O38" s="31"/>
      <c r="P38" s="35">
        <f t="shared" si="5"/>
        <v>0</v>
      </c>
      <c r="Q38" s="36">
        <f t="shared" si="0"/>
        <v>0</v>
      </c>
      <c r="R38" s="37">
        <f t="shared" si="1"/>
        <v>0</v>
      </c>
      <c r="S38" s="37">
        <f>IF(N38&gt;0,((#REF!/100)*($F$17/100)*#REF!*X38)/((1+($F$11/100))^N38),0)</f>
        <v>0</v>
      </c>
      <c r="T38" s="37"/>
      <c r="U38" s="35">
        <f t="shared" si="7"/>
        <v>0</v>
      </c>
      <c r="V38" s="34">
        <f t="shared" si="3"/>
        <v>0</v>
      </c>
      <c r="W38" s="19"/>
      <c r="X38" s="2">
        <f t="shared" si="4"/>
        <v>0</v>
      </c>
      <c r="AA38" s="24" t="s">
        <v>78</v>
      </c>
      <c r="AB38" s="28">
        <v>3200.0000000000005</v>
      </c>
      <c r="AC38" s="26">
        <f>V49</f>
        <v>75160.41593263844</v>
      </c>
      <c r="AD38" s="24"/>
      <c r="AF38" s="24" t="s">
        <v>78</v>
      </c>
      <c r="AG38" s="29">
        <v>32000</v>
      </c>
      <c r="AH38" s="30">
        <f>V49</f>
        <v>75160.41593263844</v>
      </c>
      <c r="AI38" s="24"/>
    </row>
    <row r="39" spans="1:35" x14ac:dyDescent="0.25">
      <c r="A39" s="21"/>
      <c r="B39" s="18"/>
      <c r="L39" s="9"/>
      <c r="N39" s="31">
        <f t="shared" si="6"/>
        <v>0</v>
      </c>
      <c r="O39" s="31"/>
      <c r="P39" s="35">
        <f t="shared" si="5"/>
        <v>0</v>
      </c>
      <c r="Q39" s="36">
        <f t="shared" si="0"/>
        <v>0</v>
      </c>
      <c r="R39" s="37">
        <f t="shared" si="1"/>
        <v>0</v>
      </c>
      <c r="S39" s="37">
        <f>IF(N39&gt;0,((#REF!/100)*($F$17/100)*#REF!*X39)/((1+($F$11/100))^N39),0)</f>
        <v>0</v>
      </c>
      <c r="T39" s="37"/>
      <c r="U39" s="35">
        <f t="shared" si="7"/>
        <v>0</v>
      </c>
      <c r="V39" s="34">
        <f t="shared" si="3"/>
        <v>0</v>
      </c>
      <c r="W39" s="19"/>
      <c r="X39" s="2">
        <f t="shared" si="4"/>
        <v>0</v>
      </c>
      <c r="AA39" s="24">
        <f t="shared" ref="AA39:AA42" si="23">AA40-10</f>
        <v>-50</v>
      </c>
      <c r="AB39" s="28">
        <f>$AB$38*(1+(AA39/100))</f>
        <v>1600.0000000000002</v>
      </c>
      <c r="AC39" s="30">
        <f t="dataTable" ref="AC39:AC49" dt2D="0" dtr="0" r1="J35" ca="1"/>
        <v>62374.644106950902</v>
      </c>
      <c r="AD39" s="58">
        <f>100*((AC39-$AC$44)/$AC$44)</f>
        <v>-17.011310630780198</v>
      </c>
      <c r="AF39" s="24">
        <f t="shared" ref="AF39:AF42" si="24">AF40-10</f>
        <v>-50</v>
      </c>
      <c r="AG39" s="29">
        <f t="shared" ref="AG39:AG49" si="25">$AG$38*(1+(AF39/100))</f>
        <v>16000</v>
      </c>
      <c r="AH39" s="30">
        <f t="dataTable" ref="AH39:AH49" dt2D="0" dtr="0" r1="F12" ca="1"/>
        <v>40752.706279078346</v>
      </c>
      <c r="AI39" s="58">
        <f>100*((AH39-$AH$44)/$AH$44)</f>
        <v>-45.779030393335717</v>
      </c>
    </row>
    <row r="40" spans="1:35" x14ac:dyDescent="0.25">
      <c r="B40" s="18"/>
      <c r="L40" s="9"/>
      <c r="N40" s="31">
        <f t="shared" si="6"/>
        <v>0</v>
      </c>
      <c r="O40" s="31"/>
      <c r="P40" s="35">
        <f t="shared" si="5"/>
        <v>0</v>
      </c>
      <c r="Q40" s="36">
        <f t="shared" si="0"/>
        <v>0</v>
      </c>
      <c r="R40" s="37">
        <f t="shared" si="1"/>
        <v>0</v>
      </c>
      <c r="S40" s="37">
        <f>IF(N40&gt;0,((#REF!/100)*($F$17/100)*#REF!*X40)/((1+($F$11/100))^N40),0)</f>
        <v>0</v>
      </c>
      <c r="T40" s="37"/>
      <c r="U40" s="35">
        <f t="shared" si="7"/>
        <v>0</v>
      </c>
      <c r="V40" s="34">
        <f t="shared" si="3"/>
        <v>0</v>
      </c>
      <c r="W40" s="19"/>
      <c r="X40" s="2">
        <f t="shared" si="4"/>
        <v>0</v>
      </c>
      <c r="AA40" s="24">
        <f t="shared" si="23"/>
        <v>-40</v>
      </c>
      <c r="AB40" s="28">
        <f t="shared" ref="AB40:AB49" si="26">$AB$38*(1+(AA40/100))</f>
        <v>1920.0000000000002</v>
      </c>
      <c r="AC40" s="30">
        <v>64931.798472088405</v>
      </c>
      <c r="AD40" s="58">
        <f t="shared" ref="AD40:AD49" si="27">100*((AC40-$AC$44)/$AC$44)</f>
        <v>-13.609048504624166</v>
      </c>
      <c r="AF40" s="24">
        <f t="shared" si="24"/>
        <v>-40</v>
      </c>
      <c r="AG40" s="29">
        <f t="shared" si="25"/>
        <v>19200</v>
      </c>
      <c r="AH40" s="30">
        <v>47634.248209790363</v>
      </c>
      <c r="AI40" s="58">
        <f t="shared" ref="AI40:AI49" si="28">100*((AH40-$AH$44)/$AH$44)</f>
        <v>-36.623224314668576</v>
      </c>
    </row>
    <row r="41" spans="1:35" x14ac:dyDescent="0.25">
      <c r="E41" s="38" t="s">
        <v>85</v>
      </c>
      <c r="F41" s="42">
        <f>F12*B5</f>
        <v>320000</v>
      </c>
      <c r="G41" s="39" t="s">
        <v>40</v>
      </c>
      <c r="L41" s="9"/>
      <c r="N41" s="31">
        <f t="shared" si="6"/>
        <v>0</v>
      </c>
      <c r="O41" s="31"/>
      <c r="P41" s="35">
        <f t="shared" si="5"/>
        <v>0</v>
      </c>
      <c r="Q41" s="36">
        <f t="shared" si="0"/>
        <v>0</v>
      </c>
      <c r="R41" s="37">
        <f t="shared" si="1"/>
        <v>0</v>
      </c>
      <c r="S41" s="37">
        <f>IF(N41&gt;0,((#REF!/100)*($F$17/100)*#REF!*X41)/((1+($F$11/100))^N41),0)</f>
        <v>0</v>
      </c>
      <c r="T41" s="37"/>
      <c r="U41" s="35">
        <f t="shared" si="7"/>
        <v>0</v>
      </c>
      <c r="V41" s="34">
        <f t="shared" si="3"/>
        <v>0</v>
      </c>
      <c r="W41" s="19"/>
      <c r="X41" s="2">
        <f t="shared" si="4"/>
        <v>0</v>
      </c>
      <c r="AA41" s="24">
        <f t="shared" si="23"/>
        <v>-30</v>
      </c>
      <c r="AB41" s="28">
        <f t="shared" si="26"/>
        <v>2240</v>
      </c>
      <c r="AC41" s="30">
        <v>67488.952837225908</v>
      </c>
      <c r="AD41" s="58">
        <f t="shared" si="27"/>
        <v>-10.206786378468131</v>
      </c>
      <c r="AF41" s="24">
        <f t="shared" si="24"/>
        <v>-30</v>
      </c>
      <c r="AG41" s="29">
        <f t="shared" si="25"/>
        <v>22400</v>
      </c>
      <c r="AH41" s="30">
        <v>54515.79014050238</v>
      </c>
      <c r="AI41" s="58">
        <f t="shared" si="28"/>
        <v>-27.467418236001436</v>
      </c>
    </row>
    <row r="42" spans="1:35" x14ac:dyDescent="0.25">
      <c r="A42" s="11" t="s">
        <v>12</v>
      </c>
      <c r="B42" s="19"/>
      <c r="C42" s="12"/>
      <c r="E42" s="22"/>
      <c r="F42" s="13"/>
      <c r="I42" s="12"/>
      <c r="L42" s="9"/>
      <c r="N42" s="31">
        <f t="shared" si="6"/>
        <v>0</v>
      </c>
      <c r="O42" s="31"/>
      <c r="P42" s="35">
        <f t="shared" si="5"/>
        <v>0</v>
      </c>
      <c r="Q42" s="36">
        <f t="shared" si="0"/>
        <v>0</v>
      </c>
      <c r="R42" s="37">
        <f t="shared" si="1"/>
        <v>0</v>
      </c>
      <c r="S42" s="37">
        <f>IF(N42&gt;0,((#REF!/100)*($F$17/100)*#REF!*X42)/((1+($F$11/100))^N42),0)</f>
        <v>0</v>
      </c>
      <c r="T42" s="37"/>
      <c r="U42" s="35">
        <f t="shared" si="7"/>
        <v>0</v>
      </c>
      <c r="V42" s="34">
        <f t="shared" si="3"/>
        <v>0</v>
      </c>
      <c r="W42" s="19"/>
      <c r="X42" s="2">
        <f t="shared" si="4"/>
        <v>0</v>
      </c>
      <c r="AA42" s="24">
        <f t="shared" si="23"/>
        <v>-20</v>
      </c>
      <c r="AB42" s="28">
        <f t="shared" si="26"/>
        <v>2560.0000000000005</v>
      </c>
      <c r="AC42" s="30">
        <v>70046.107202363433</v>
      </c>
      <c r="AD42" s="58">
        <f t="shared" si="27"/>
        <v>-6.8045242523120679</v>
      </c>
      <c r="AF42" s="24">
        <f t="shared" si="24"/>
        <v>-20</v>
      </c>
      <c r="AG42" s="29">
        <f t="shared" si="25"/>
        <v>25600</v>
      </c>
      <c r="AH42" s="30">
        <v>61397.332071214398</v>
      </c>
      <c r="AI42" s="58">
        <f t="shared" si="28"/>
        <v>-18.311612157334295</v>
      </c>
    </row>
    <row r="43" spans="1:35" x14ac:dyDescent="0.25">
      <c r="A43" s="22" t="s">
        <v>2</v>
      </c>
      <c r="B43" s="8">
        <f>J8/B8</f>
        <v>9677.4193548387102</v>
      </c>
      <c r="C43" s="1" t="s">
        <v>3</v>
      </c>
      <c r="I43" s="22"/>
      <c r="J43" s="20"/>
      <c r="L43" s="9"/>
      <c r="N43" s="31">
        <f t="shared" si="6"/>
        <v>0</v>
      </c>
      <c r="O43" s="31"/>
      <c r="P43" s="35">
        <f t="shared" si="5"/>
        <v>0</v>
      </c>
      <c r="Q43" s="36">
        <f t="shared" si="0"/>
        <v>0</v>
      </c>
      <c r="R43" s="37">
        <f t="shared" si="1"/>
        <v>0</v>
      </c>
      <c r="S43" s="37">
        <f>IF(N43&gt;0,((#REF!/100)*($F$17/100)*#REF!*X43)/((1+($F$11/100))^N43),0)</f>
        <v>0</v>
      </c>
      <c r="T43" s="37"/>
      <c r="U43" s="35">
        <f t="shared" si="7"/>
        <v>0</v>
      </c>
      <c r="V43" s="34">
        <f t="shared" si="3"/>
        <v>0</v>
      </c>
      <c r="W43" s="19"/>
      <c r="X43" s="2">
        <f t="shared" si="4"/>
        <v>0</v>
      </c>
      <c r="AA43" s="24">
        <f>AA44-10</f>
        <v>-10</v>
      </c>
      <c r="AB43" s="28">
        <f t="shared" si="26"/>
        <v>2880.0000000000005</v>
      </c>
      <c r="AC43" s="30">
        <v>72603.261567500944</v>
      </c>
      <c r="AD43" s="58">
        <f t="shared" si="27"/>
        <v>-3.4022621261560242</v>
      </c>
      <c r="AF43" s="24">
        <f>AF44-10</f>
        <v>-10</v>
      </c>
      <c r="AG43" s="29">
        <f t="shared" si="25"/>
        <v>28800</v>
      </c>
      <c r="AH43" s="30">
        <v>68278.874001926422</v>
      </c>
      <c r="AI43" s="58">
        <f t="shared" si="28"/>
        <v>-9.1558060786671422</v>
      </c>
    </row>
    <row r="44" spans="1:35" x14ac:dyDescent="0.25">
      <c r="A44" s="1" t="s">
        <v>114</v>
      </c>
      <c r="B44" s="10">
        <f>(1+(B13/100))*B43</f>
        <v>9677.4193548387102</v>
      </c>
      <c r="C44" s="39" t="s">
        <v>3</v>
      </c>
      <c r="L44" s="9"/>
      <c r="N44" s="31">
        <f t="shared" si="6"/>
        <v>0</v>
      </c>
      <c r="O44" s="31"/>
      <c r="P44" s="35">
        <f t="shared" si="5"/>
        <v>0</v>
      </c>
      <c r="Q44" s="36">
        <f t="shared" si="0"/>
        <v>0</v>
      </c>
      <c r="R44" s="37">
        <f t="shared" si="1"/>
        <v>0</v>
      </c>
      <c r="S44" s="37">
        <f>IF(N44&gt;0,((#REF!/100)*($F$17/100)*#REF!*X44)/((1+($F$11/100))^N44),0)</f>
        <v>0</v>
      </c>
      <c r="T44" s="37"/>
      <c r="U44" s="35">
        <f t="shared" si="7"/>
        <v>0</v>
      </c>
      <c r="V44" s="34">
        <f t="shared" si="3"/>
        <v>0</v>
      </c>
      <c r="W44" s="19"/>
      <c r="X44" s="2">
        <f t="shared" si="4"/>
        <v>0</v>
      </c>
      <c r="AA44" s="60">
        <v>0</v>
      </c>
      <c r="AB44" s="64">
        <f t="shared" si="26"/>
        <v>3200.0000000000005</v>
      </c>
      <c r="AC44" s="62">
        <v>75160.41593263844</v>
      </c>
      <c r="AD44" s="63">
        <f t="shared" si="27"/>
        <v>0</v>
      </c>
      <c r="AF44" s="60">
        <v>0</v>
      </c>
      <c r="AG44" s="61">
        <f t="shared" si="25"/>
        <v>32000</v>
      </c>
      <c r="AH44" s="62">
        <v>75160.41593263844</v>
      </c>
      <c r="AI44" s="63">
        <f t="shared" si="28"/>
        <v>0</v>
      </c>
    </row>
    <row r="45" spans="1:35" x14ac:dyDescent="0.25">
      <c r="A45" s="1" t="s">
        <v>169</v>
      </c>
      <c r="B45" s="78">
        <f>(1+B15/100)*B44</f>
        <v>10451.612903225807</v>
      </c>
      <c r="C45" s="1" t="s">
        <v>3</v>
      </c>
      <c r="L45" s="9"/>
      <c r="N45" s="31">
        <f t="shared" si="6"/>
        <v>0</v>
      </c>
      <c r="O45" s="31"/>
      <c r="P45" s="35">
        <f t="shared" si="5"/>
        <v>0</v>
      </c>
      <c r="Q45" s="36">
        <f t="shared" si="0"/>
        <v>0</v>
      </c>
      <c r="R45" s="37">
        <f t="shared" si="1"/>
        <v>0</v>
      </c>
      <c r="S45" s="37">
        <f>IF(N45&gt;0,((#REF!/100)*($F$17/100)*#REF!*X45)/((1+($F$11/100))^N45),0)</f>
        <v>0</v>
      </c>
      <c r="T45" s="37"/>
      <c r="U45" s="35">
        <f t="shared" si="7"/>
        <v>0</v>
      </c>
      <c r="V45" s="34">
        <f t="shared" si="3"/>
        <v>0</v>
      </c>
      <c r="W45" s="19"/>
      <c r="X45" s="2">
        <f t="shared" si="4"/>
        <v>0</v>
      </c>
      <c r="AA45" s="24">
        <f>AA44+10</f>
        <v>10</v>
      </c>
      <c r="AB45" s="28">
        <f t="shared" si="26"/>
        <v>3520.0000000000009</v>
      </c>
      <c r="AC45" s="30">
        <v>77717.57029777595</v>
      </c>
      <c r="AD45" s="58">
        <f t="shared" si="27"/>
        <v>3.4022621261560437</v>
      </c>
      <c r="AF45" s="24">
        <f>AF44+10</f>
        <v>10</v>
      </c>
      <c r="AG45" s="29">
        <f t="shared" si="25"/>
        <v>35200</v>
      </c>
      <c r="AH45" s="30">
        <v>82041.957863350457</v>
      </c>
      <c r="AI45" s="58">
        <f t="shared" si="28"/>
        <v>9.1558060786671422</v>
      </c>
    </row>
    <row r="46" spans="1:35" x14ac:dyDescent="0.25">
      <c r="A46" s="21" t="s">
        <v>95</v>
      </c>
      <c r="B46" s="78">
        <f>B44+(SUM(B33:B35))</f>
        <v>10370.301837402854</v>
      </c>
      <c r="C46" s="1" t="s">
        <v>3</v>
      </c>
      <c r="L46" s="9"/>
      <c r="N46" s="31">
        <f t="shared" si="6"/>
        <v>0</v>
      </c>
      <c r="O46" s="31"/>
      <c r="P46" s="35">
        <f t="shared" si="5"/>
        <v>0</v>
      </c>
      <c r="Q46" s="36">
        <f t="shared" si="0"/>
        <v>0</v>
      </c>
      <c r="R46" s="37">
        <f t="shared" si="1"/>
        <v>0</v>
      </c>
      <c r="S46" s="37">
        <f>IF(N46&gt;0,((#REF!/100)*($F$17/100)*#REF!*X46)/((1+($F$11/100))^N46),0)</f>
        <v>0</v>
      </c>
      <c r="T46" s="37"/>
      <c r="U46" s="35">
        <f t="shared" si="7"/>
        <v>0</v>
      </c>
      <c r="V46" s="34">
        <f t="shared" si="3"/>
        <v>0</v>
      </c>
      <c r="W46" s="19"/>
      <c r="X46" s="2">
        <f t="shared" si="4"/>
        <v>0</v>
      </c>
      <c r="AA46" s="24">
        <f t="shared" ref="AA46:AA49" si="29">AA45+10</f>
        <v>20</v>
      </c>
      <c r="AB46" s="28">
        <f t="shared" si="26"/>
        <v>3840.0000000000005</v>
      </c>
      <c r="AC46" s="30">
        <v>80274.724662913461</v>
      </c>
      <c r="AD46" s="58">
        <f t="shared" si="27"/>
        <v>6.8045242523120875</v>
      </c>
      <c r="AF46" s="24">
        <f t="shared" ref="AF46:AF49" si="30">AF45+10</f>
        <v>20</v>
      </c>
      <c r="AG46" s="29">
        <f t="shared" si="25"/>
        <v>38400</v>
      </c>
      <c r="AH46" s="30">
        <v>88923.49979406246</v>
      </c>
      <c r="AI46" s="58">
        <f t="shared" si="28"/>
        <v>18.311612157334263</v>
      </c>
    </row>
    <row r="47" spans="1:35" x14ac:dyDescent="0.25">
      <c r="A47" s="21" t="s">
        <v>188</v>
      </c>
      <c r="B47" s="59">
        <f>SUM(B31:B32)</f>
        <v>0</v>
      </c>
      <c r="C47" s="1" t="s">
        <v>3</v>
      </c>
      <c r="L47" s="9"/>
      <c r="N47" s="31">
        <f t="shared" si="6"/>
        <v>0</v>
      </c>
      <c r="O47" s="31"/>
      <c r="P47" s="35">
        <f t="shared" si="5"/>
        <v>0</v>
      </c>
      <c r="Q47" s="36">
        <f t="shared" si="0"/>
        <v>0</v>
      </c>
      <c r="R47" s="37">
        <f t="shared" si="1"/>
        <v>0</v>
      </c>
      <c r="S47" s="37">
        <f>IF(N47&gt;0,((#REF!/100)*($F$17/100)*#REF!*X47)/((1+($F$11/100))^N47),0)</f>
        <v>0</v>
      </c>
      <c r="T47" s="37"/>
      <c r="U47" s="35">
        <f t="shared" si="7"/>
        <v>0</v>
      </c>
      <c r="V47" s="34">
        <f t="shared" si="3"/>
        <v>0</v>
      </c>
      <c r="W47" s="19"/>
      <c r="X47" s="2">
        <f t="shared" si="4"/>
        <v>0</v>
      </c>
      <c r="AA47" s="24">
        <f t="shared" si="29"/>
        <v>30</v>
      </c>
      <c r="AB47" s="28">
        <f t="shared" si="26"/>
        <v>4160.0000000000009</v>
      </c>
      <c r="AC47" s="30">
        <v>82831.879028050957</v>
      </c>
      <c r="AD47" s="58">
        <f t="shared" si="27"/>
        <v>10.206786378468111</v>
      </c>
      <c r="AF47" s="24">
        <f t="shared" si="30"/>
        <v>30</v>
      </c>
      <c r="AG47" s="29">
        <f t="shared" si="25"/>
        <v>41600</v>
      </c>
      <c r="AH47" s="30">
        <v>95805.041724774477</v>
      </c>
      <c r="AI47" s="58">
        <f t="shared" si="28"/>
        <v>27.467418236001407</v>
      </c>
    </row>
    <row r="48" spans="1:35" x14ac:dyDescent="0.25">
      <c r="A48" s="21" t="s">
        <v>189</v>
      </c>
      <c r="B48" s="10">
        <f>SUM(B46:B47)</f>
        <v>10370.301837402854</v>
      </c>
      <c r="C48" s="1" t="s">
        <v>3</v>
      </c>
      <c r="L48" s="9"/>
      <c r="N48" s="31">
        <f t="shared" si="6"/>
        <v>0</v>
      </c>
      <c r="O48" s="31"/>
      <c r="P48" s="35">
        <f t="shared" si="5"/>
        <v>0</v>
      </c>
      <c r="Q48" s="36">
        <f t="shared" si="0"/>
        <v>0</v>
      </c>
      <c r="R48" s="37">
        <f t="shared" si="1"/>
        <v>0</v>
      </c>
      <c r="S48" s="37">
        <f>IF(N48&gt;0,((#REF!/100)*($F$17/100)*#REF!*X48)/((1+($F$11/100))^N48),0)</f>
        <v>0</v>
      </c>
      <c r="T48" s="37"/>
      <c r="U48" s="35">
        <f t="shared" si="7"/>
        <v>0</v>
      </c>
      <c r="V48" s="34">
        <f t="shared" si="3"/>
        <v>0</v>
      </c>
      <c r="W48" s="19"/>
      <c r="X48" s="2">
        <f t="shared" si="4"/>
        <v>0</v>
      </c>
      <c r="AA48" s="24">
        <f t="shared" si="29"/>
        <v>40</v>
      </c>
      <c r="AB48" s="28">
        <f t="shared" si="26"/>
        <v>4480</v>
      </c>
      <c r="AC48" s="30">
        <v>85389.033393188482</v>
      </c>
      <c r="AD48" s="58">
        <f t="shared" si="27"/>
        <v>13.609048504624175</v>
      </c>
      <c r="AF48" s="24">
        <f t="shared" si="30"/>
        <v>40</v>
      </c>
      <c r="AG48" s="29">
        <f t="shared" si="25"/>
        <v>44800</v>
      </c>
      <c r="AH48" s="30">
        <v>102686.58365548652</v>
      </c>
      <c r="AI48" s="58">
        <f t="shared" si="28"/>
        <v>36.62322431466859</v>
      </c>
    </row>
    <row r="49" spans="1:35" x14ac:dyDescent="0.25">
      <c r="B49" s="18"/>
      <c r="L49" s="9"/>
      <c r="N49" s="32" t="s">
        <v>73</v>
      </c>
      <c r="O49" s="34">
        <f>SUM(O8:O48)</f>
        <v>518.51509187014278</v>
      </c>
      <c r="P49" s="34">
        <f t="shared" ref="P49:T49" si="31">SUM(P8:P48)</f>
        <v>8698.2437280594459</v>
      </c>
      <c r="Q49" s="34">
        <f t="shared" si="31"/>
        <v>43243.87565574512</v>
      </c>
      <c r="R49" s="34">
        <f t="shared" si="31"/>
        <v>25721.777711260242</v>
      </c>
      <c r="S49" s="34">
        <f t="shared" si="31"/>
        <v>13.7857466004494</v>
      </c>
      <c r="T49" s="34">
        <f t="shared" si="31"/>
        <v>12.172557728672642</v>
      </c>
      <c r="U49" s="34">
        <f>SUM(U8:U48)</f>
        <v>-3047.9545586256245</v>
      </c>
      <c r="V49" s="34">
        <f>SUM(V8:V48)</f>
        <v>75160.41593263844</v>
      </c>
      <c r="W49" s="19"/>
      <c r="X49" s="19"/>
      <c r="AA49" s="24">
        <f t="shared" si="29"/>
        <v>50</v>
      </c>
      <c r="AB49" s="28">
        <f t="shared" si="26"/>
        <v>4800.0000000000009</v>
      </c>
      <c r="AC49" s="30">
        <v>87946.187758325963</v>
      </c>
      <c r="AD49" s="58">
        <f t="shared" si="27"/>
        <v>17.01131063078018</v>
      </c>
      <c r="AF49" s="24">
        <f t="shared" si="30"/>
        <v>50</v>
      </c>
      <c r="AG49" s="29">
        <f t="shared" si="25"/>
        <v>48000</v>
      </c>
      <c r="AH49" s="30">
        <v>109568.12558619853</v>
      </c>
      <c r="AI49" s="58">
        <f t="shared" si="28"/>
        <v>45.779030393335709</v>
      </c>
    </row>
    <row r="50" spans="1:35" x14ac:dyDescent="0.25">
      <c r="B50" s="18"/>
      <c r="L50" s="9"/>
      <c r="R50" s="10">
        <f>SUM(R49:T49)</f>
        <v>25747.736015589366</v>
      </c>
      <c r="Y50" s="10"/>
    </row>
    <row r="51" spans="1:35" x14ac:dyDescent="0.25">
      <c r="L51" s="9"/>
      <c r="AA51" s="114" t="s">
        <v>213</v>
      </c>
      <c r="AB51" s="115"/>
      <c r="AC51" s="115"/>
      <c r="AD51" s="115"/>
    </row>
    <row r="52" spans="1:35" x14ac:dyDescent="0.25">
      <c r="A52" s="7"/>
      <c r="L52" s="9"/>
      <c r="AA52" s="115" t="s">
        <v>76</v>
      </c>
      <c r="AB52" s="115" t="s">
        <v>213</v>
      </c>
      <c r="AC52" s="115" t="s">
        <v>72</v>
      </c>
      <c r="AD52" s="115" t="s">
        <v>80</v>
      </c>
    </row>
    <row r="53" spans="1:35" ht="15.75" thickBot="1" x14ac:dyDescent="0.3">
      <c r="A53" s="14"/>
      <c r="B53" s="15"/>
      <c r="C53" s="15"/>
      <c r="D53" s="15"/>
      <c r="E53" s="15"/>
      <c r="F53" s="15"/>
      <c r="G53" s="15"/>
      <c r="H53" s="15"/>
      <c r="I53" s="15"/>
      <c r="J53" s="15"/>
      <c r="K53" s="15"/>
      <c r="L53" s="16"/>
      <c r="O53" s="12" t="s">
        <v>102</v>
      </c>
      <c r="P53" s="12"/>
      <c r="Y53" s="68"/>
      <c r="AA53" s="24" t="s">
        <v>78</v>
      </c>
      <c r="AB53" s="28">
        <v>0.16</v>
      </c>
      <c r="AC53" s="26">
        <f>V49</f>
        <v>75160.41593263844</v>
      </c>
      <c r="AD53" s="24"/>
    </row>
    <row r="54" spans="1:35" x14ac:dyDescent="0.25">
      <c r="N54" s="50"/>
      <c r="O54" s="53" t="s">
        <v>103</v>
      </c>
      <c r="P54" s="54" t="s">
        <v>51</v>
      </c>
      <c r="Q54" s="50"/>
      <c r="R54" s="50"/>
      <c r="S54" s="50"/>
      <c r="T54" s="50"/>
      <c r="U54" s="50"/>
      <c r="Y54" s="68"/>
      <c r="AA54" s="24">
        <f t="shared" ref="AA54:AA57" si="32">AA55-10</f>
        <v>-50</v>
      </c>
      <c r="AB54" s="28">
        <f>$AB$53*(1-(AA54/100))</f>
        <v>0.24</v>
      </c>
      <c r="AC54" s="30">
        <f t="dataTable" ref="AC54:AC64" dt2D="0" dtr="0" r1="J9"/>
        <v>96782.353760510989</v>
      </c>
      <c r="AD54" s="58">
        <f>100*((AC54-$AC$59)/$AC$59)</f>
        <v>28.767719762555512</v>
      </c>
    </row>
    <row r="55" spans="1:35" x14ac:dyDescent="0.25">
      <c r="O55" s="1" t="s">
        <v>104</v>
      </c>
      <c r="P55" s="10">
        <f>SUM(O49:P49)</f>
        <v>9216.7588199295878</v>
      </c>
      <c r="Q55" s="1" t="s">
        <v>3</v>
      </c>
      <c r="R55" s="56">
        <f>P55/$F$41</f>
        <v>2.8802371312279963E-2</v>
      </c>
      <c r="S55" s="1" t="s">
        <v>57</v>
      </c>
      <c r="Y55" s="68"/>
      <c r="AA55" s="24">
        <f t="shared" si="32"/>
        <v>-40</v>
      </c>
      <c r="AB55" s="28">
        <f t="shared" ref="AB55:AB58" si="33">$AB$53*(1-(AA55/100))</f>
        <v>0.22399999999999998</v>
      </c>
      <c r="AC55" s="30">
        <v>92457.966194936482</v>
      </c>
      <c r="AD55" s="58">
        <f t="shared" ref="AD55:AD64" si="34">100*((AC55-$AC$59)/$AC$59)</f>
        <v>23.014175810044414</v>
      </c>
    </row>
    <row r="56" spans="1:35" x14ac:dyDescent="0.25">
      <c r="O56" s="1" t="s">
        <v>97</v>
      </c>
      <c r="P56" s="52">
        <f>SUM(Q49:Q49)</f>
        <v>43243.87565574512</v>
      </c>
      <c r="Q56" s="1" t="s">
        <v>3</v>
      </c>
      <c r="R56" s="56">
        <f>P56/$F$41</f>
        <v>0.13513711142420351</v>
      </c>
      <c r="S56" s="1" t="s">
        <v>57</v>
      </c>
      <c r="U56" s="51"/>
      <c r="Y56" s="68"/>
      <c r="AA56" s="24">
        <f t="shared" si="32"/>
        <v>-30</v>
      </c>
      <c r="AB56" s="28">
        <f t="shared" si="33"/>
        <v>0.20800000000000002</v>
      </c>
      <c r="AC56" s="30">
        <v>88133.578629361975</v>
      </c>
      <c r="AD56" s="58">
        <f t="shared" si="34"/>
        <v>17.260631857533316</v>
      </c>
    </row>
    <row r="57" spans="1:35" x14ac:dyDescent="0.25">
      <c r="O57" s="1" t="s">
        <v>115</v>
      </c>
      <c r="P57" s="52">
        <f>SUM(R49:S49)</f>
        <v>25735.563457860691</v>
      </c>
      <c r="Q57" s="1" t="s">
        <v>3</v>
      </c>
      <c r="R57" s="56">
        <f>P57/$F$41</f>
        <v>8.0423635805814658E-2</v>
      </c>
      <c r="S57" s="1" t="s">
        <v>57</v>
      </c>
      <c r="U57" s="51"/>
      <c r="Y57" s="68"/>
      <c r="AA57" s="24">
        <f t="shared" si="32"/>
        <v>-20</v>
      </c>
      <c r="AB57" s="28">
        <f t="shared" si="33"/>
        <v>0.192</v>
      </c>
      <c r="AC57" s="30">
        <v>83809.191063787439</v>
      </c>
      <c r="AD57" s="58">
        <f t="shared" si="34"/>
        <v>11.507087905022177</v>
      </c>
    </row>
    <row r="58" spans="1:35" x14ac:dyDescent="0.25">
      <c r="O58" s="1" t="s">
        <v>106</v>
      </c>
      <c r="P58" s="52">
        <f>U49</f>
        <v>-3047.9545586256245</v>
      </c>
      <c r="Q58" s="1" t="s">
        <v>3</v>
      </c>
      <c r="R58" s="56">
        <f>P58/$F$41</f>
        <v>-9.5248579957050768E-3</v>
      </c>
      <c r="S58" s="1" t="s">
        <v>57</v>
      </c>
      <c r="U58" s="51"/>
      <c r="Y58" s="68"/>
      <c r="AA58" s="24">
        <f>AA59-10</f>
        <v>-10</v>
      </c>
      <c r="AB58" s="28">
        <f t="shared" si="33"/>
        <v>0.17600000000000002</v>
      </c>
      <c r="AC58" s="30">
        <v>79484.803498212947</v>
      </c>
      <c r="AD58" s="58">
        <f t="shared" si="34"/>
        <v>5.7535439525110981</v>
      </c>
    </row>
    <row r="59" spans="1:35" x14ac:dyDescent="0.25">
      <c r="U59" s="51"/>
      <c r="Y59" s="68"/>
      <c r="AA59" s="60">
        <v>0</v>
      </c>
      <c r="AB59" s="64">
        <f t="shared" ref="AB59" si="35">$AB$53*(1+(AA59/100))</f>
        <v>0.16</v>
      </c>
      <c r="AC59" s="62">
        <v>75160.41593263844</v>
      </c>
      <c r="AD59" s="63">
        <f t="shared" si="34"/>
        <v>0</v>
      </c>
    </row>
    <row r="60" spans="1:35" x14ac:dyDescent="0.25">
      <c r="O60" s="12" t="s">
        <v>74</v>
      </c>
      <c r="P60" s="55">
        <f>SUM(P55:P58)</f>
        <v>75148.243374909769</v>
      </c>
      <c r="Q60" s="12" t="s">
        <v>3</v>
      </c>
      <c r="R60" s="57">
        <f>SUM(R55:R58)</f>
        <v>0.23483826054659307</v>
      </c>
      <c r="S60" s="12" t="s">
        <v>57</v>
      </c>
      <c r="T60" s="12"/>
      <c r="U60" s="51"/>
      <c r="Y60" s="68"/>
      <c r="AA60" s="24">
        <f>AA59+10</f>
        <v>10</v>
      </c>
      <c r="AB60" s="28">
        <f t="shared" ref="AB60:AB64" si="36">$AB$53*(1-(AA60/100))</f>
        <v>0.14400000000000002</v>
      </c>
      <c r="AC60" s="30">
        <v>70836.028367063933</v>
      </c>
      <c r="AD60" s="58">
        <f t="shared" si="34"/>
        <v>-5.7535439525110981</v>
      </c>
    </row>
    <row r="61" spans="1:35" x14ac:dyDescent="0.25">
      <c r="S61" s="51"/>
      <c r="T61" s="51"/>
      <c r="U61" s="51"/>
      <c r="Y61" s="68"/>
      <c r="AA61" s="24">
        <f t="shared" ref="AA61:AA64" si="37">AA60+10</f>
        <v>20</v>
      </c>
      <c r="AB61" s="28">
        <f t="shared" si="36"/>
        <v>0.128</v>
      </c>
      <c r="AC61" s="30">
        <v>66511.640801489411</v>
      </c>
      <c r="AD61" s="58">
        <f t="shared" si="34"/>
        <v>-11.507087905022216</v>
      </c>
    </row>
    <row r="62" spans="1:35" x14ac:dyDescent="0.25">
      <c r="P62" s="51"/>
      <c r="Q62" s="51"/>
      <c r="R62" s="51"/>
      <c r="S62" s="51"/>
      <c r="T62" s="51"/>
      <c r="U62" s="51"/>
      <c r="Y62" s="68"/>
      <c r="AA62" s="24">
        <f t="shared" si="37"/>
        <v>30</v>
      </c>
      <c r="AB62" s="28">
        <f t="shared" si="36"/>
        <v>0.11199999999999999</v>
      </c>
      <c r="AC62" s="30">
        <v>62187.253235914905</v>
      </c>
      <c r="AD62" s="58">
        <f t="shared" si="34"/>
        <v>-17.260631857533316</v>
      </c>
    </row>
    <row r="63" spans="1:35" x14ac:dyDescent="0.25">
      <c r="P63" s="51"/>
      <c r="Q63" s="51"/>
      <c r="R63" s="51"/>
      <c r="S63" s="51"/>
      <c r="T63" s="51"/>
      <c r="U63" s="51"/>
      <c r="Y63" s="68"/>
      <c r="AA63" s="24">
        <f t="shared" si="37"/>
        <v>40</v>
      </c>
      <c r="AB63" s="28">
        <f t="shared" si="36"/>
        <v>9.6000000000000002E-2</v>
      </c>
      <c r="AC63" s="30">
        <v>57862.865670340383</v>
      </c>
      <c r="AD63" s="58">
        <f t="shared" si="34"/>
        <v>-23.014175810044431</v>
      </c>
    </row>
    <row r="64" spans="1:35" x14ac:dyDescent="0.25">
      <c r="P64" s="51"/>
      <c r="Q64" s="51"/>
      <c r="R64" s="51"/>
      <c r="S64" s="51"/>
      <c r="T64" s="51"/>
      <c r="U64" s="51"/>
      <c r="Y64" s="68"/>
      <c r="AA64" s="24">
        <f t="shared" si="37"/>
        <v>50</v>
      </c>
      <c r="AB64" s="28">
        <f t="shared" si="36"/>
        <v>0.08</v>
      </c>
      <c r="AC64" s="30">
        <v>53538.478104765891</v>
      </c>
      <c r="AD64" s="58">
        <f t="shared" si="34"/>
        <v>-28.767719762555512</v>
      </c>
    </row>
    <row r="65" spans="16:25" x14ac:dyDescent="0.25">
      <c r="P65" s="51"/>
      <c r="Q65" s="51"/>
      <c r="R65" s="51"/>
      <c r="S65" s="51"/>
      <c r="T65" s="51"/>
      <c r="U65" s="51"/>
      <c r="Y65" s="68"/>
    </row>
    <row r="66" spans="16:25" x14ac:dyDescent="0.25">
      <c r="P66" s="51"/>
      <c r="Q66" s="51"/>
      <c r="R66" s="51"/>
      <c r="S66" s="51"/>
      <c r="T66" s="51"/>
      <c r="U66" s="51"/>
      <c r="Y66" s="68"/>
    </row>
    <row r="67" spans="16:25" x14ac:dyDescent="0.25">
      <c r="P67" s="51"/>
      <c r="Q67" s="51"/>
      <c r="R67" s="51"/>
      <c r="S67" s="51"/>
      <c r="T67" s="51"/>
      <c r="U67" s="51"/>
      <c r="Y67" s="68"/>
    </row>
    <row r="68" spans="16:25" x14ac:dyDescent="0.25">
      <c r="P68" s="51"/>
      <c r="Q68" s="51"/>
      <c r="R68" s="51"/>
      <c r="S68" s="51"/>
      <c r="T68" s="51"/>
      <c r="U68" s="51"/>
    </row>
    <row r="69" spans="16:25" x14ac:dyDescent="0.25">
      <c r="P69" s="51"/>
      <c r="Q69" s="51"/>
      <c r="R69" s="51"/>
      <c r="S69" s="51"/>
      <c r="T69" s="51"/>
      <c r="U69" s="51"/>
    </row>
    <row r="70" spans="16:25" x14ac:dyDescent="0.25">
      <c r="P70" s="51"/>
      <c r="Q70" s="51"/>
      <c r="R70" s="51"/>
      <c r="S70" s="51"/>
      <c r="T70" s="51"/>
      <c r="U70" s="51"/>
    </row>
    <row r="71" spans="16:25" x14ac:dyDescent="0.25">
      <c r="P71" s="51"/>
      <c r="Q71" s="51"/>
      <c r="R71" s="51"/>
      <c r="S71" s="51"/>
      <c r="T71" s="51"/>
      <c r="U71" s="51"/>
    </row>
    <row r="72" spans="16:25" x14ac:dyDescent="0.25">
      <c r="P72" s="51"/>
      <c r="Q72" s="51"/>
      <c r="R72" s="51"/>
      <c r="S72" s="51"/>
      <c r="T72" s="51"/>
      <c r="U72" s="51"/>
    </row>
    <row r="73" spans="16:25" x14ac:dyDescent="0.25">
      <c r="P73" s="51"/>
      <c r="Q73" s="51"/>
      <c r="R73" s="51"/>
      <c r="S73" s="51"/>
      <c r="T73" s="51"/>
      <c r="U73" s="51"/>
    </row>
    <row r="74" spans="16:25" x14ac:dyDescent="0.25">
      <c r="P74" s="51"/>
      <c r="Q74" s="51"/>
      <c r="R74" s="51"/>
      <c r="S74" s="51"/>
      <c r="T74" s="51"/>
      <c r="U74" s="51"/>
    </row>
    <row r="75" spans="16:25" x14ac:dyDescent="0.25">
      <c r="P75" s="51"/>
      <c r="Q75" s="51"/>
      <c r="R75" s="51"/>
      <c r="S75" s="51"/>
      <c r="T75" s="51"/>
      <c r="U75" s="51"/>
    </row>
    <row r="76" spans="16:25" x14ac:dyDescent="0.25">
      <c r="P76" s="51"/>
      <c r="Q76" s="51"/>
      <c r="R76" s="51"/>
      <c r="S76" s="51"/>
      <c r="T76" s="51"/>
      <c r="U76" s="51"/>
    </row>
    <row r="77" spans="16:25" x14ac:dyDescent="0.25">
      <c r="P77" s="51"/>
      <c r="Q77" s="51"/>
      <c r="R77" s="51"/>
      <c r="S77" s="51"/>
      <c r="T77" s="51"/>
      <c r="U77" s="51"/>
    </row>
    <row r="78" spans="16:25" x14ac:dyDescent="0.25">
      <c r="P78" s="51"/>
      <c r="Q78" s="51"/>
      <c r="R78" s="51"/>
      <c r="S78" s="51"/>
      <c r="T78" s="51"/>
      <c r="U78" s="51"/>
    </row>
    <row r="79" spans="16:25" x14ac:dyDescent="0.25">
      <c r="P79" s="51"/>
      <c r="Q79" s="51"/>
      <c r="R79" s="51"/>
      <c r="S79" s="51"/>
      <c r="T79" s="51"/>
      <c r="U79" s="51"/>
    </row>
    <row r="80" spans="16:25" x14ac:dyDescent="0.25">
      <c r="P80" s="51"/>
      <c r="Q80" s="51"/>
      <c r="R80" s="51"/>
      <c r="S80" s="51"/>
      <c r="T80" s="51"/>
      <c r="U80" s="51"/>
    </row>
    <row r="81" spans="16:21" x14ac:dyDescent="0.25">
      <c r="P81" s="51"/>
      <c r="Q81" s="51"/>
      <c r="R81" s="51"/>
      <c r="S81" s="51"/>
      <c r="T81" s="51"/>
      <c r="U81" s="51"/>
    </row>
    <row r="82" spans="16:21" x14ac:dyDescent="0.25">
      <c r="P82" s="51"/>
      <c r="Q82" s="51"/>
      <c r="R82" s="51"/>
      <c r="S82" s="51"/>
      <c r="T82" s="51"/>
      <c r="U82" s="51"/>
    </row>
    <row r="83" spans="16:21" x14ac:dyDescent="0.25">
      <c r="P83" s="51"/>
      <c r="Q83" s="51"/>
      <c r="R83" s="51"/>
      <c r="S83" s="51"/>
      <c r="T83" s="51"/>
      <c r="U83" s="51"/>
    </row>
    <row r="84" spans="16:21" x14ac:dyDescent="0.25">
      <c r="P84" s="51"/>
      <c r="Q84" s="51"/>
      <c r="R84" s="51"/>
      <c r="S84" s="51"/>
      <c r="T84" s="51"/>
      <c r="U84" s="51"/>
    </row>
    <row r="85" spans="16:21" x14ac:dyDescent="0.25">
      <c r="P85" s="51"/>
      <c r="Q85" s="51"/>
      <c r="R85" s="51"/>
      <c r="S85" s="51"/>
      <c r="T85" s="51"/>
      <c r="U85" s="51"/>
    </row>
    <row r="86" spans="16:21" x14ac:dyDescent="0.25">
      <c r="P86" s="51"/>
      <c r="Q86" s="51"/>
      <c r="R86" s="51"/>
      <c r="S86" s="51"/>
      <c r="T86" s="51"/>
      <c r="U86" s="51"/>
    </row>
    <row r="87" spans="16:21" x14ac:dyDescent="0.25">
      <c r="P87" s="51"/>
      <c r="Q87" s="51"/>
      <c r="R87" s="51"/>
      <c r="S87" s="51"/>
      <c r="T87" s="51"/>
      <c r="U87" s="51"/>
    </row>
    <row r="88" spans="16:21" x14ac:dyDescent="0.25">
      <c r="P88" s="51"/>
      <c r="Q88" s="51"/>
      <c r="R88" s="51"/>
      <c r="S88" s="51"/>
      <c r="T88" s="51"/>
      <c r="U88" s="51"/>
    </row>
    <row r="89" spans="16:21" x14ac:dyDescent="0.25">
      <c r="P89" s="51"/>
      <c r="Q89" s="51"/>
      <c r="R89" s="51"/>
      <c r="S89" s="51"/>
      <c r="T89" s="51"/>
      <c r="U89" s="51"/>
    </row>
    <row r="90" spans="16:21" x14ac:dyDescent="0.25">
      <c r="P90" s="51"/>
      <c r="Q90" s="51"/>
      <c r="R90" s="51"/>
      <c r="S90" s="51"/>
      <c r="T90" s="51"/>
      <c r="U90" s="51"/>
    </row>
    <row r="91" spans="16:21" x14ac:dyDescent="0.25">
      <c r="P91" s="51"/>
      <c r="Q91" s="51"/>
      <c r="R91" s="51"/>
      <c r="S91" s="51"/>
      <c r="T91" s="51"/>
      <c r="U91" s="51"/>
    </row>
    <row r="92" spans="16:21" x14ac:dyDescent="0.25">
      <c r="P92" s="51"/>
      <c r="Q92" s="51"/>
      <c r="R92" s="51"/>
      <c r="S92" s="51"/>
      <c r="T92" s="51"/>
      <c r="U92" s="51"/>
    </row>
    <row r="93" spans="16:21" x14ac:dyDescent="0.25">
      <c r="P93" s="51"/>
      <c r="Q93" s="51"/>
      <c r="R93" s="51"/>
      <c r="S93" s="51"/>
      <c r="T93" s="51"/>
      <c r="U93" s="51"/>
    </row>
    <row r="94" spans="16:21" x14ac:dyDescent="0.25">
      <c r="P94" s="51"/>
      <c r="Q94" s="51"/>
      <c r="R94" s="51"/>
      <c r="S94" s="51"/>
      <c r="T94" s="51"/>
      <c r="U94" s="51"/>
    </row>
    <row r="95" spans="16:21" x14ac:dyDescent="0.25">
      <c r="P95" s="51"/>
      <c r="Q95" s="51"/>
      <c r="R95" s="51"/>
      <c r="S95" s="51"/>
      <c r="T95" s="51"/>
      <c r="U95" s="51"/>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832B3-B3DE-408B-A7BD-50611F9D5A41}">
  <sheetPr>
    <tabColor theme="7"/>
  </sheetPr>
  <dimension ref="A1:AX95"/>
  <sheetViews>
    <sheetView topLeftCell="X42" zoomScale="55" zoomScaleNormal="55" workbookViewId="0">
      <selection activeCell="AB75" sqref="AB75:AB79"/>
    </sheetView>
  </sheetViews>
  <sheetFormatPr defaultColWidth="8.85546875" defaultRowHeight="15" x14ac:dyDescent="0.25"/>
  <cols>
    <col min="1" max="1" width="52.7109375" style="1" bestFit="1" customWidth="1"/>
    <col min="2" max="2" width="20.42578125" style="1" customWidth="1"/>
    <col min="3" max="3" width="16.28515625" style="1" bestFit="1" customWidth="1"/>
    <col min="4" max="4" width="8.85546875" style="1" customWidth="1"/>
    <col min="5" max="5" width="48" style="1" customWidth="1"/>
    <col min="6" max="6" width="17" style="1" customWidth="1"/>
    <col min="7" max="7" width="17.42578125" style="1" customWidth="1"/>
    <col min="8" max="8" width="19.28515625" style="1" customWidth="1"/>
    <col min="9" max="9" width="37.85546875" style="1" customWidth="1"/>
    <col min="10" max="10" width="17.7109375" style="1" customWidth="1"/>
    <col min="11" max="14" width="8.85546875" style="1" customWidth="1"/>
    <col min="15" max="15" width="20" style="1" customWidth="1"/>
    <col min="16" max="16" width="16.28515625" style="1" customWidth="1"/>
    <col min="17" max="17" width="25.28515625" style="1" customWidth="1"/>
    <col min="18" max="18" width="33.7109375" style="1" customWidth="1"/>
    <col min="19" max="19" width="16.5703125" style="1" bestFit="1" customWidth="1"/>
    <col min="20" max="20" width="11.140625" style="1" customWidth="1"/>
    <col min="21" max="23" width="31.28515625" style="1" customWidth="1"/>
    <col min="24" max="24" width="23.85546875" style="1" customWidth="1"/>
    <col min="25" max="25" width="13.42578125" style="1" bestFit="1" customWidth="1"/>
    <col min="26" max="26" width="13.42578125" style="1" customWidth="1"/>
    <col min="27" max="27" width="20.140625" style="1" bestFit="1" customWidth="1"/>
    <col min="28" max="28" width="19.28515625" style="1" bestFit="1" customWidth="1"/>
    <col min="29" max="29" width="12.85546875" style="1" customWidth="1"/>
    <col min="30" max="30" width="19" style="1" customWidth="1"/>
    <col min="31" max="31" width="4.7109375" style="1" customWidth="1"/>
    <col min="32" max="32" width="20.140625" style="1" bestFit="1" customWidth="1"/>
    <col min="33" max="33" width="19.28515625" style="1" bestFit="1" customWidth="1"/>
    <col min="34" max="34" width="11.28515625" style="1" bestFit="1" customWidth="1"/>
    <col min="35" max="35" width="17.85546875" style="1" bestFit="1" customWidth="1"/>
    <col min="36" max="37" width="8.85546875" style="1"/>
    <col min="38" max="38" width="17.5703125" style="1" bestFit="1" customWidth="1"/>
    <col min="39" max="39" width="9.7109375" style="1" bestFit="1" customWidth="1"/>
    <col min="40" max="40" width="15.5703125" style="1" bestFit="1" customWidth="1"/>
    <col min="41" max="41" width="8.85546875" style="1"/>
    <col min="42" max="43" width="12.7109375" style="1" bestFit="1" customWidth="1"/>
    <col min="44" max="16384" width="8.85546875" style="1"/>
  </cols>
  <sheetData>
    <row r="1" spans="1:31" x14ac:dyDescent="0.25">
      <c r="A1" s="12" t="s">
        <v>1</v>
      </c>
      <c r="B1" s="12" t="s">
        <v>149</v>
      </c>
      <c r="C1" s="12"/>
    </row>
    <row r="2" spans="1:31" x14ac:dyDescent="0.25">
      <c r="A2" s="12" t="s">
        <v>74</v>
      </c>
      <c r="B2" s="19">
        <f>Y49</f>
        <v>30556.121224120456</v>
      </c>
      <c r="C2" s="12" t="s">
        <v>3</v>
      </c>
    </row>
    <row r="3" spans="1:31" x14ac:dyDescent="0.25">
      <c r="B3" s="44">
        <f>B2/J34</f>
        <v>9.2594306739758964E-2</v>
      </c>
      <c r="C3" s="12" t="s">
        <v>57</v>
      </c>
      <c r="G3" s="94"/>
    </row>
    <row r="4" spans="1:31" x14ac:dyDescent="0.25">
      <c r="A4" s="12" t="s">
        <v>59</v>
      </c>
      <c r="G4" s="46"/>
      <c r="J4" s="95"/>
      <c r="N4" s="12" t="s">
        <v>79</v>
      </c>
      <c r="AA4" s="12" t="s">
        <v>75</v>
      </c>
    </row>
    <row r="5" spans="1:31" x14ac:dyDescent="0.25">
      <c r="A5" s="1" t="s">
        <v>36</v>
      </c>
      <c r="B5" s="2">
        <v>10</v>
      </c>
      <c r="C5" s="1" t="s">
        <v>37</v>
      </c>
      <c r="G5" s="46"/>
      <c r="J5" s="77"/>
    </row>
    <row r="6" spans="1:31" ht="15.75" thickBot="1" x14ac:dyDescent="0.3">
      <c r="B6" s="2"/>
      <c r="N6" s="1" t="s">
        <v>100</v>
      </c>
    </row>
    <row r="7" spans="1:31" x14ac:dyDescent="0.25">
      <c r="A7" s="3" t="s">
        <v>24</v>
      </c>
      <c r="B7" s="4"/>
      <c r="C7" s="4"/>
      <c r="D7" s="4"/>
      <c r="E7" s="4"/>
      <c r="F7" s="4"/>
      <c r="G7" s="4"/>
      <c r="H7" s="6"/>
      <c r="I7" s="5" t="s">
        <v>43</v>
      </c>
      <c r="J7" s="4"/>
      <c r="K7" s="4"/>
      <c r="L7" s="6"/>
      <c r="N7" s="31" t="s">
        <v>61</v>
      </c>
      <c r="O7" s="31" t="s">
        <v>65</v>
      </c>
      <c r="P7" s="31" t="s">
        <v>67</v>
      </c>
      <c r="Q7" s="31" t="s">
        <v>120</v>
      </c>
      <c r="R7" s="31" t="s">
        <v>121</v>
      </c>
      <c r="S7" s="31" t="s">
        <v>123</v>
      </c>
      <c r="T7" s="31" t="s">
        <v>70</v>
      </c>
      <c r="U7" s="31" t="s">
        <v>87</v>
      </c>
      <c r="V7" s="31" t="s">
        <v>165</v>
      </c>
      <c r="W7" s="31" t="s">
        <v>99</v>
      </c>
      <c r="X7" s="31" t="s">
        <v>101</v>
      </c>
      <c r="Y7" s="32" t="s">
        <v>72</v>
      </c>
      <c r="Z7" s="12"/>
      <c r="AA7" s="39" t="s">
        <v>113</v>
      </c>
      <c r="AB7" s="39"/>
      <c r="AC7" s="39"/>
    </row>
    <row r="8" spans="1:31" x14ac:dyDescent="0.25">
      <c r="A8" s="7" t="s">
        <v>0</v>
      </c>
      <c r="B8" s="81">
        <v>21276.42</v>
      </c>
      <c r="C8" s="1" t="s">
        <v>151</v>
      </c>
      <c r="H8" s="9"/>
      <c r="I8" s="22" t="s">
        <v>190</v>
      </c>
      <c r="J8" s="8">
        <v>249826350.96774188</v>
      </c>
      <c r="K8" s="1" t="s">
        <v>152</v>
      </c>
      <c r="L8" s="9"/>
      <c r="N8" s="31">
        <v>0</v>
      </c>
      <c r="O8" s="33">
        <f>F31</f>
        <v>5187.8592158288448</v>
      </c>
      <c r="P8" s="31"/>
      <c r="Q8" s="31"/>
      <c r="R8" s="31"/>
      <c r="S8" s="31"/>
      <c r="T8" s="31"/>
      <c r="U8" s="31"/>
      <c r="V8" s="37">
        <f>F16/B8</f>
        <v>4.9350407634367066</v>
      </c>
      <c r="W8" s="31"/>
      <c r="X8" s="31"/>
      <c r="Y8" s="34">
        <f t="shared" ref="Y8:Y48" si="0">SUM(O8:X8)</f>
        <v>5192.7942565922813</v>
      </c>
      <c r="Z8" s="19"/>
      <c r="AA8" s="39" t="s">
        <v>32</v>
      </c>
      <c r="AB8" s="72">
        <f>F36</f>
        <v>4.6248382011635419E-2</v>
      </c>
      <c r="AC8" s="39" t="s">
        <v>9</v>
      </c>
    </row>
    <row r="9" spans="1:31" x14ac:dyDescent="0.25">
      <c r="A9" s="7"/>
      <c r="F9" s="20"/>
      <c r="H9" s="9"/>
      <c r="I9" s="22" t="s">
        <v>10</v>
      </c>
      <c r="J9" s="13">
        <v>105</v>
      </c>
      <c r="K9" s="1" t="s">
        <v>9</v>
      </c>
      <c r="L9" s="9"/>
      <c r="N9" s="31">
        <v>1</v>
      </c>
      <c r="O9" s="31"/>
      <c r="P9" s="35">
        <f t="shared" ref="P9:P48" si="1">IF(N9&gt;0,IF(N9&lt;=$J$20,(($F$32+$F$33)/$J$20)/((1+($F$11/100))^N9),0),0)</f>
        <v>3191.635982892466</v>
      </c>
      <c r="Q9" s="36">
        <f>IF(N9&gt;0,($F$41*((1+($F$14/100))^(N9-1)))/((1+($F$11/100))^N9),0)</f>
        <v>204.85860488375423</v>
      </c>
      <c r="R9" s="37">
        <f t="shared" ref="R9:R48" si="2">IF(N9&gt;0,$F$40/((1+($F$11/100))^N9),0)</f>
        <v>0</v>
      </c>
      <c r="S9" s="37">
        <f t="shared" ref="S9:S48" si="3">IF(N9&gt;0,$J$37/((1+($F$11/100))^N9),0)</f>
        <v>792.5551685171971</v>
      </c>
      <c r="T9" s="37">
        <f>IF(N9&gt;0,$J$44/((1+($F$11/100))^N9),0)</f>
        <v>0</v>
      </c>
      <c r="U9" s="37">
        <f t="shared" ref="U9:U48" si="4">IF(AND(MOD(N9,$J$31)=0,N9&gt;0),$B$44/((1+($F$11/100))^N9),0)</f>
        <v>0</v>
      </c>
      <c r="V9" s="37">
        <v>0</v>
      </c>
      <c r="W9" s="37">
        <f t="shared" ref="W9:W48" si="5">IF(N9&gt;0,$J$32/((1+($F$11/100))^N9),0)</f>
        <v>0</v>
      </c>
      <c r="X9" s="35">
        <f t="shared" ref="X9:X48" si="6">IF(N9=$B$5,((((1-$J$15/100)^N9)*$B$45+((1-$J$16/100)^N9)*$B$46)/((1+($F$11/100))^N9))*-1,0)</f>
        <v>0</v>
      </c>
      <c r="Y9" s="34">
        <f t="shared" si="0"/>
        <v>4189.049756293417</v>
      </c>
      <c r="Z9" s="19"/>
      <c r="AA9" s="39" t="s">
        <v>38</v>
      </c>
      <c r="AB9" s="40">
        <f>B46</f>
        <v>4410</v>
      </c>
      <c r="AC9" s="39" t="s">
        <v>3</v>
      </c>
      <c r="AE9" s="2"/>
    </row>
    <row r="10" spans="1:31" x14ac:dyDescent="0.25">
      <c r="A10" s="11" t="s">
        <v>42</v>
      </c>
      <c r="E10" s="12" t="s">
        <v>45</v>
      </c>
      <c r="H10" s="9"/>
      <c r="I10" s="22" t="s">
        <v>28</v>
      </c>
      <c r="J10" s="8">
        <v>42</v>
      </c>
      <c r="K10" s="1" t="s">
        <v>29</v>
      </c>
      <c r="L10" s="9"/>
      <c r="N10" s="31">
        <f>IF((N9+1)&gt;$B$5,,IF(N9=0,,N9+1))</f>
        <v>2</v>
      </c>
      <c r="O10" s="31"/>
      <c r="P10" s="35">
        <f t="shared" si="1"/>
        <v>3060.0536748729305</v>
      </c>
      <c r="Q10" s="36">
        <f t="shared" ref="Q10:Q48" si="7">IF(N10&gt;0,($F$41*((1+($F$14/100))^(N10-1)))/((1+($F$11/100))^N10),0)</f>
        <v>198.37698075991543</v>
      </c>
      <c r="R10" s="37">
        <f t="shared" si="2"/>
        <v>0</v>
      </c>
      <c r="S10" s="37">
        <f t="shared" si="3"/>
        <v>759.88031497334339</v>
      </c>
      <c r="T10" s="37">
        <f t="shared" ref="T10:T48" si="8">IF(N10&gt;0,$J$44/((1+($F$11/100))^N10),0)</f>
        <v>0</v>
      </c>
      <c r="U10" s="37">
        <f t="shared" si="4"/>
        <v>0</v>
      </c>
      <c r="V10" s="37">
        <v>0</v>
      </c>
      <c r="W10" s="37">
        <f t="shared" si="5"/>
        <v>0</v>
      </c>
      <c r="X10" s="35">
        <f t="shared" si="6"/>
        <v>0</v>
      </c>
      <c r="Y10" s="34">
        <f t="shared" si="0"/>
        <v>4018.3109706061896</v>
      </c>
      <c r="Z10" s="19"/>
      <c r="AA10" s="39" t="s">
        <v>189</v>
      </c>
      <c r="AB10" s="73">
        <f>B51</f>
        <v>17292.864052762816</v>
      </c>
      <c r="AC10" s="39" t="s">
        <v>3</v>
      </c>
      <c r="AE10" s="2"/>
    </row>
    <row r="11" spans="1:31" x14ac:dyDescent="0.25">
      <c r="A11" s="21" t="s">
        <v>187</v>
      </c>
      <c r="B11" s="1">
        <v>0</v>
      </c>
      <c r="C11" s="1" t="s">
        <v>4</v>
      </c>
      <c r="E11" s="22" t="s">
        <v>46</v>
      </c>
      <c r="F11" s="1">
        <v>4.3</v>
      </c>
      <c r="G11" s="1" t="s">
        <v>4</v>
      </c>
      <c r="H11" s="9"/>
      <c r="I11" s="22" t="s">
        <v>25</v>
      </c>
      <c r="J11" s="97">
        <v>536</v>
      </c>
      <c r="K11" s="1" t="s">
        <v>156</v>
      </c>
      <c r="L11" s="9"/>
      <c r="N11" s="31">
        <f t="shared" ref="N11:N48" si="9">IF((N10+1)&gt;$B$5,,IF(N10=0,,N10+1))</f>
        <v>3</v>
      </c>
      <c r="O11" s="31"/>
      <c r="P11" s="35">
        <f t="shared" si="1"/>
        <v>2933.896140817767</v>
      </c>
      <c r="Q11" s="36">
        <f t="shared" si="7"/>
        <v>192.10043199186444</v>
      </c>
      <c r="R11" s="37">
        <f t="shared" si="2"/>
        <v>0</v>
      </c>
      <c r="S11" s="37">
        <f t="shared" si="3"/>
        <v>728.55255510387678</v>
      </c>
      <c r="T11" s="37">
        <f t="shared" si="8"/>
        <v>0</v>
      </c>
      <c r="U11" s="37">
        <f t="shared" si="4"/>
        <v>0</v>
      </c>
      <c r="V11" s="37">
        <v>0</v>
      </c>
      <c r="W11" s="37">
        <f t="shared" si="5"/>
        <v>0</v>
      </c>
      <c r="X11" s="35">
        <f t="shared" si="6"/>
        <v>0</v>
      </c>
      <c r="Y11" s="34">
        <f t="shared" si="0"/>
        <v>3854.5491279135081</v>
      </c>
      <c r="Z11" s="19"/>
      <c r="AA11" s="39" t="s">
        <v>111</v>
      </c>
      <c r="AB11" s="74">
        <f>F12</f>
        <v>33000</v>
      </c>
      <c r="AC11" s="39" t="s">
        <v>35</v>
      </c>
      <c r="AE11" s="2"/>
    </row>
    <row r="12" spans="1:31" x14ac:dyDescent="0.25">
      <c r="A12" s="21" t="s">
        <v>5</v>
      </c>
      <c r="B12" s="1">
        <v>0</v>
      </c>
      <c r="C12" s="1" t="s">
        <v>4</v>
      </c>
      <c r="E12" s="22" t="s">
        <v>89</v>
      </c>
      <c r="F12" s="77">
        <v>33000</v>
      </c>
      <c r="G12" s="1" t="s">
        <v>35</v>
      </c>
      <c r="H12" s="9"/>
      <c r="I12" s="38" t="s">
        <v>30</v>
      </c>
      <c r="J12" s="42">
        <v>300</v>
      </c>
      <c r="K12" s="39" t="s">
        <v>31</v>
      </c>
      <c r="L12" s="9"/>
      <c r="N12" s="31">
        <f t="shared" si="9"/>
        <v>4</v>
      </c>
      <c r="O12" s="31"/>
      <c r="P12" s="35">
        <f t="shared" si="1"/>
        <v>2812.9397323276767</v>
      </c>
      <c r="Q12" s="36">
        <f t="shared" si="7"/>
        <v>186.02247009758685</v>
      </c>
      <c r="R12" s="37">
        <f t="shared" si="2"/>
        <v>0</v>
      </c>
      <c r="S12" s="37">
        <f t="shared" si="3"/>
        <v>698.5163519692012</v>
      </c>
      <c r="T12" s="37">
        <f t="shared" si="8"/>
        <v>0</v>
      </c>
      <c r="U12" s="37">
        <f t="shared" si="4"/>
        <v>3726.5019752117323</v>
      </c>
      <c r="V12" s="37">
        <v>0</v>
      </c>
      <c r="W12" s="37">
        <f t="shared" si="5"/>
        <v>0</v>
      </c>
      <c r="X12" s="35">
        <f t="shared" si="6"/>
        <v>0</v>
      </c>
      <c r="Y12" s="34">
        <f t="shared" si="0"/>
        <v>7423.9805296061968</v>
      </c>
      <c r="Z12" s="19"/>
      <c r="AA12" s="79" t="s">
        <v>66</v>
      </c>
      <c r="AB12" s="73">
        <f>J41</f>
        <v>821.69999999999982</v>
      </c>
      <c r="AC12" s="39" t="s">
        <v>44</v>
      </c>
      <c r="AE12" s="2"/>
    </row>
    <row r="13" spans="1:31" x14ac:dyDescent="0.25">
      <c r="A13" s="1" t="s">
        <v>167</v>
      </c>
      <c r="B13" s="1">
        <v>0</v>
      </c>
      <c r="C13" s="1" t="s">
        <v>4</v>
      </c>
      <c r="E13" s="22" t="s">
        <v>32</v>
      </c>
      <c r="F13" s="77">
        <v>984</v>
      </c>
      <c r="G13" s="1" t="s">
        <v>158</v>
      </c>
      <c r="H13" s="9"/>
      <c r="I13" s="38" t="s">
        <v>71</v>
      </c>
      <c r="J13" s="39">
        <v>30</v>
      </c>
      <c r="K13" s="39" t="s">
        <v>22</v>
      </c>
      <c r="L13" s="9"/>
      <c r="N13" s="31">
        <f t="shared" si="9"/>
        <v>5</v>
      </c>
      <c r="O13" s="31"/>
      <c r="P13" s="35">
        <f t="shared" si="1"/>
        <v>2696.9700214071686</v>
      </c>
      <c r="Q13" s="36">
        <f t="shared" si="7"/>
        <v>180.13681188740435</v>
      </c>
      <c r="R13" s="37">
        <f t="shared" si="2"/>
        <v>0</v>
      </c>
      <c r="S13" s="37">
        <f t="shared" si="3"/>
        <v>669.7184582638555</v>
      </c>
      <c r="T13" s="37">
        <f t="shared" si="8"/>
        <v>0</v>
      </c>
      <c r="U13" s="37">
        <f t="shared" si="4"/>
        <v>0</v>
      </c>
      <c r="V13" s="37">
        <f>IF(N13&gt;0,($F$16/$B$8)/((1+($F$11/100))^N13),0)</f>
        <v>3.9982431527530049</v>
      </c>
      <c r="W13" s="37">
        <f t="shared" si="5"/>
        <v>0</v>
      </c>
      <c r="X13" s="35">
        <f t="shared" si="6"/>
        <v>0</v>
      </c>
      <c r="Y13" s="34">
        <f t="shared" si="0"/>
        <v>3550.8235347111813</v>
      </c>
      <c r="Z13" s="19"/>
      <c r="AA13" s="105" t="s">
        <v>186</v>
      </c>
      <c r="AB13" s="107">
        <f>J26</f>
        <v>150</v>
      </c>
      <c r="AC13" s="105" t="s">
        <v>177</v>
      </c>
      <c r="AE13" s="2"/>
    </row>
    <row r="14" spans="1:31" x14ac:dyDescent="0.25">
      <c r="A14" s="21" t="s">
        <v>6</v>
      </c>
      <c r="B14" s="1">
        <v>7</v>
      </c>
      <c r="C14" s="1" t="s">
        <v>4</v>
      </c>
      <c r="E14" s="22" t="s">
        <v>68</v>
      </c>
      <c r="F14" s="77">
        <v>1</v>
      </c>
      <c r="G14" s="1" t="s">
        <v>69</v>
      </c>
      <c r="H14" s="9"/>
      <c r="I14" s="38" t="s">
        <v>153</v>
      </c>
      <c r="J14" s="40">
        <v>20</v>
      </c>
      <c r="K14" s="39" t="s">
        <v>4</v>
      </c>
      <c r="L14" s="9"/>
      <c r="N14" s="31">
        <f t="shared" si="9"/>
        <v>6</v>
      </c>
      <c r="O14" s="31"/>
      <c r="P14" s="35">
        <f t="shared" si="1"/>
        <v>0</v>
      </c>
      <c r="Q14" s="36">
        <f t="shared" si="7"/>
        <v>174.43737296862741</v>
      </c>
      <c r="R14" s="37">
        <f t="shared" si="2"/>
        <v>0</v>
      </c>
      <c r="S14" s="37">
        <f t="shared" si="3"/>
        <v>642.10782192124213</v>
      </c>
      <c r="T14" s="37">
        <f t="shared" si="8"/>
        <v>0</v>
      </c>
      <c r="U14" s="37">
        <f t="shared" si="4"/>
        <v>0</v>
      </c>
      <c r="V14" s="37">
        <v>0</v>
      </c>
      <c r="W14" s="37">
        <f t="shared" si="5"/>
        <v>0</v>
      </c>
      <c r="X14" s="35">
        <f t="shared" si="6"/>
        <v>0</v>
      </c>
      <c r="Y14" s="34">
        <f t="shared" si="0"/>
        <v>816.54519488986955</v>
      </c>
      <c r="Z14" s="19"/>
      <c r="AA14" s="105" t="s">
        <v>213</v>
      </c>
      <c r="AB14" s="100">
        <f>J17</f>
        <v>0.14000000000000001</v>
      </c>
      <c r="AC14" s="105" t="s">
        <v>33</v>
      </c>
      <c r="AE14" s="2"/>
    </row>
    <row r="15" spans="1:31" x14ac:dyDescent="0.25">
      <c r="A15" s="21" t="s">
        <v>157</v>
      </c>
      <c r="B15" s="1">
        <v>3</v>
      </c>
      <c r="C15" s="1" t="s">
        <v>4</v>
      </c>
      <c r="E15" s="22" t="s">
        <v>27</v>
      </c>
      <c r="F15" s="77">
        <v>0</v>
      </c>
      <c r="G15" s="1" t="s">
        <v>160</v>
      </c>
      <c r="H15" s="9"/>
      <c r="I15" s="38" t="s">
        <v>91</v>
      </c>
      <c r="J15" s="39">
        <v>7.08</v>
      </c>
      <c r="K15" s="39" t="s">
        <v>23</v>
      </c>
      <c r="L15" s="9"/>
      <c r="N15" s="31">
        <f t="shared" si="9"/>
        <v>7</v>
      </c>
      <c r="O15" s="31"/>
      <c r="P15" s="35">
        <f t="shared" si="1"/>
        <v>0</v>
      </c>
      <c r="Q15" s="36">
        <f t="shared" si="7"/>
        <v>168.91826145571787</v>
      </c>
      <c r="R15" s="37">
        <f t="shared" si="2"/>
        <v>0</v>
      </c>
      <c r="S15" s="37">
        <f t="shared" si="3"/>
        <v>615.63549561001173</v>
      </c>
      <c r="T15" s="37">
        <f t="shared" si="8"/>
        <v>0</v>
      </c>
      <c r="U15" s="37">
        <f t="shared" si="4"/>
        <v>0</v>
      </c>
      <c r="V15" s="37">
        <v>0</v>
      </c>
      <c r="W15" s="37">
        <f t="shared" si="5"/>
        <v>0</v>
      </c>
      <c r="X15" s="35">
        <f t="shared" si="6"/>
        <v>0</v>
      </c>
      <c r="Y15" s="34">
        <f t="shared" si="0"/>
        <v>784.55375706572954</v>
      </c>
      <c r="Z15" s="19"/>
      <c r="AE15" s="2"/>
    </row>
    <row r="16" spans="1:31" x14ac:dyDescent="0.25">
      <c r="A16" s="21" t="s">
        <v>197</v>
      </c>
      <c r="B16" s="77">
        <v>219000</v>
      </c>
      <c r="C16" s="1" t="s">
        <v>150</v>
      </c>
      <c r="E16" s="22" t="s">
        <v>165</v>
      </c>
      <c r="F16" s="2">
        <v>105000</v>
      </c>
      <c r="G16" s="1" t="s">
        <v>164</v>
      </c>
      <c r="H16" s="9"/>
      <c r="I16" s="38" t="s">
        <v>92</v>
      </c>
      <c r="J16" s="39">
        <v>11</v>
      </c>
      <c r="K16" s="39" t="s">
        <v>23</v>
      </c>
      <c r="L16" s="9"/>
      <c r="N16" s="31">
        <f t="shared" si="9"/>
        <v>8</v>
      </c>
      <c r="O16" s="31"/>
      <c r="P16" s="35">
        <f t="shared" si="1"/>
        <v>0</v>
      </c>
      <c r="Q16" s="36">
        <f t="shared" si="7"/>
        <v>163.57377187945829</v>
      </c>
      <c r="R16" s="37">
        <f t="shared" si="2"/>
        <v>0</v>
      </c>
      <c r="S16" s="37">
        <f t="shared" si="3"/>
        <v>590.25454996166025</v>
      </c>
      <c r="T16" s="37">
        <f t="shared" si="8"/>
        <v>0</v>
      </c>
      <c r="U16" s="37">
        <f t="shared" si="4"/>
        <v>3148.9380887203952</v>
      </c>
      <c r="V16" s="37">
        <v>0</v>
      </c>
      <c r="W16" s="37">
        <f t="shared" si="5"/>
        <v>0</v>
      </c>
      <c r="X16" s="35">
        <f t="shared" si="6"/>
        <v>0</v>
      </c>
      <c r="Y16" s="34">
        <f t="shared" si="0"/>
        <v>3902.7664105615136</v>
      </c>
      <c r="Z16" s="19"/>
      <c r="AE16" s="2"/>
    </row>
    <row r="17" spans="1:50" x14ac:dyDescent="0.25">
      <c r="A17" s="21" t="s">
        <v>162</v>
      </c>
      <c r="B17" s="1">
        <v>0</v>
      </c>
      <c r="C17" s="1" t="s">
        <v>4</v>
      </c>
      <c r="E17" s="22" t="s">
        <v>163</v>
      </c>
      <c r="F17" s="77">
        <v>0</v>
      </c>
      <c r="G17" s="1" t="s">
        <v>164</v>
      </c>
      <c r="H17" s="9"/>
      <c r="I17" s="22" t="s">
        <v>34</v>
      </c>
      <c r="J17" s="13">
        <f>J10/J12</f>
        <v>0.14000000000000001</v>
      </c>
      <c r="K17" s="1" t="s">
        <v>33</v>
      </c>
      <c r="L17" s="9"/>
      <c r="N17" s="31">
        <f t="shared" si="9"/>
        <v>9</v>
      </c>
      <c r="O17" s="31"/>
      <c r="P17" s="35">
        <f t="shared" si="1"/>
        <v>0</v>
      </c>
      <c r="Q17" s="36">
        <f t="shared" si="7"/>
        <v>158.39837928883313</v>
      </c>
      <c r="R17" s="37">
        <f t="shared" si="2"/>
        <v>0</v>
      </c>
      <c r="S17" s="37">
        <f t="shared" si="3"/>
        <v>565.91999037551329</v>
      </c>
      <c r="T17" s="37">
        <f t="shared" si="8"/>
        <v>0</v>
      </c>
      <c r="U17" s="37">
        <f t="shared" si="4"/>
        <v>0</v>
      </c>
      <c r="V17" s="37">
        <v>0</v>
      </c>
      <c r="W17" s="37">
        <f t="shared" si="5"/>
        <v>0</v>
      </c>
      <c r="X17" s="35">
        <f t="shared" si="6"/>
        <v>0</v>
      </c>
      <c r="Y17" s="34">
        <f t="shared" si="0"/>
        <v>724.31836966434639</v>
      </c>
      <c r="Z17" s="19"/>
      <c r="AE17" s="2"/>
    </row>
    <row r="18" spans="1:50" x14ac:dyDescent="0.25">
      <c r="E18" s="22" t="s">
        <v>159</v>
      </c>
      <c r="F18" s="77">
        <v>200000</v>
      </c>
      <c r="G18" s="1" t="s">
        <v>155</v>
      </c>
      <c r="H18" s="9"/>
      <c r="J18" s="77"/>
      <c r="L18" s="9"/>
      <c r="N18" s="31">
        <f t="shared" si="9"/>
        <v>10</v>
      </c>
      <c r="O18" s="31"/>
      <c r="P18" s="35">
        <f t="shared" si="1"/>
        <v>0</v>
      </c>
      <c r="Q18" s="36">
        <f t="shared" si="7"/>
        <v>153.38673353952203</v>
      </c>
      <c r="R18" s="37">
        <f t="shared" si="2"/>
        <v>0</v>
      </c>
      <c r="S18" s="37">
        <f t="shared" si="3"/>
        <v>542.58867725360813</v>
      </c>
      <c r="T18" s="37">
        <f t="shared" si="8"/>
        <v>0</v>
      </c>
      <c r="U18" s="37">
        <f t="shared" si="4"/>
        <v>0</v>
      </c>
      <c r="V18" s="37">
        <f>IF(N18&gt;0,($F$16/$B$8)/((1+($F$11/100))^N18),0)</f>
        <v>3.2392738124829297</v>
      </c>
      <c r="W18" s="37">
        <f t="shared" si="5"/>
        <v>0</v>
      </c>
      <c r="X18" s="35">
        <f t="shared" si="6"/>
        <v>-4600.7853683893936</v>
      </c>
      <c r="Y18" s="34">
        <f t="shared" si="0"/>
        <v>-3901.5706837837806</v>
      </c>
      <c r="Z18" s="19"/>
      <c r="AE18" s="2"/>
    </row>
    <row r="19" spans="1:50" x14ac:dyDescent="0.25">
      <c r="A19" s="21"/>
      <c r="E19" s="22" t="s">
        <v>86</v>
      </c>
      <c r="F19" s="77">
        <v>0</v>
      </c>
      <c r="G19" s="1" t="s">
        <v>155</v>
      </c>
      <c r="H19" s="9"/>
      <c r="I19" s="12" t="s">
        <v>18</v>
      </c>
      <c r="L19" s="9"/>
      <c r="N19" s="31">
        <f t="shared" si="9"/>
        <v>0</v>
      </c>
      <c r="O19" s="31"/>
      <c r="P19" s="35">
        <f t="shared" si="1"/>
        <v>0</v>
      </c>
      <c r="Q19" s="36">
        <f t="shared" si="7"/>
        <v>0</v>
      </c>
      <c r="R19" s="37">
        <f t="shared" si="2"/>
        <v>0</v>
      </c>
      <c r="S19" s="37">
        <f t="shared" si="3"/>
        <v>0</v>
      </c>
      <c r="T19" s="37">
        <f t="shared" si="8"/>
        <v>0</v>
      </c>
      <c r="U19" s="37">
        <f t="shared" si="4"/>
        <v>0</v>
      </c>
      <c r="V19" s="37"/>
      <c r="W19" s="37">
        <f t="shared" si="5"/>
        <v>0</v>
      </c>
      <c r="X19" s="35">
        <f t="shared" si="6"/>
        <v>0</v>
      </c>
      <c r="Y19" s="34">
        <f t="shared" si="0"/>
        <v>0</v>
      </c>
      <c r="Z19" s="19"/>
      <c r="AE19" s="2"/>
    </row>
    <row r="20" spans="1:50" x14ac:dyDescent="0.25">
      <c r="A20" s="21"/>
      <c r="E20" s="22" t="s">
        <v>88</v>
      </c>
      <c r="F20" s="77">
        <v>0</v>
      </c>
      <c r="G20" s="1" t="s">
        <v>161</v>
      </c>
      <c r="H20" s="9"/>
      <c r="I20" s="22" t="s">
        <v>19</v>
      </c>
      <c r="J20" s="1">
        <v>5</v>
      </c>
      <c r="K20" s="1" t="s">
        <v>22</v>
      </c>
      <c r="L20" s="9"/>
      <c r="N20" s="31">
        <f>IF((N19+1)&gt;$B$5,,IF(N19=0,,N19+1))</f>
        <v>0</v>
      </c>
      <c r="O20" s="31"/>
      <c r="P20" s="35">
        <f t="shared" si="1"/>
        <v>0</v>
      </c>
      <c r="Q20" s="36">
        <f t="shared" si="7"/>
        <v>0</v>
      </c>
      <c r="R20" s="37">
        <f t="shared" si="2"/>
        <v>0</v>
      </c>
      <c r="S20" s="37">
        <f t="shared" si="3"/>
        <v>0</v>
      </c>
      <c r="T20" s="37">
        <f t="shared" si="8"/>
        <v>0</v>
      </c>
      <c r="U20" s="37">
        <f t="shared" si="4"/>
        <v>0</v>
      </c>
      <c r="V20" s="37"/>
      <c r="W20" s="37">
        <f t="shared" si="5"/>
        <v>0</v>
      </c>
      <c r="X20" s="35">
        <f t="shared" si="6"/>
        <v>0</v>
      </c>
      <c r="Y20" s="34">
        <f t="shared" si="0"/>
        <v>0</v>
      </c>
      <c r="Z20" s="19"/>
    </row>
    <row r="21" spans="1:50" x14ac:dyDescent="0.25">
      <c r="A21" s="21"/>
      <c r="E21" s="22" t="s">
        <v>66</v>
      </c>
      <c r="F21" s="77">
        <v>529.78285799999992</v>
      </c>
      <c r="G21" s="1" t="s">
        <v>168</v>
      </c>
      <c r="H21" s="9"/>
      <c r="I21" s="22" t="s">
        <v>20</v>
      </c>
      <c r="J21" s="1">
        <v>30</v>
      </c>
      <c r="K21" s="1" t="s">
        <v>21</v>
      </c>
      <c r="L21" s="9"/>
      <c r="N21" s="31">
        <f t="shared" si="9"/>
        <v>0</v>
      </c>
      <c r="O21" s="31"/>
      <c r="P21" s="35">
        <f t="shared" si="1"/>
        <v>0</v>
      </c>
      <c r="Q21" s="36">
        <f t="shared" si="7"/>
        <v>0</v>
      </c>
      <c r="R21" s="37">
        <f t="shared" si="2"/>
        <v>0</v>
      </c>
      <c r="S21" s="37">
        <f t="shared" si="3"/>
        <v>0</v>
      </c>
      <c r="T21" s="37">
        <f t="shared" si="8"/>
        <v>0</v>
      </c>
      <c r="U21" s="37">
        <f t="shared" si="4"/>
        <v>0</v>
      </c>
      <c r="V21" s="37"/>
      <c r="W21" s="37">
        <f t="shared" si="5"/>
        <v>0</v>
      </c>
      <c r="X21" s="35">
        <f t="shared" si="6"/>
        <v>0</v>
      </c>
      <c r="Y21" s="34">
        <f t="shared" si="0"/>
        <v>0</v>
      </c>
      <c r="Z21" s="19"/>
      <c r="AA21" s="27" t="s">
        <v>32</v>
      </c>
      <c r="AB21" s="24"/>
      <c r="AC21" s="24"/>
      <c r="AD21" s="24"/>
      <c r="AF21" s="27" t="s">
        <v>2</v>
      </c>
      <c r="AG21" s="24"/>
      <c r="AH21" s="24"/>
      <c r="AI21" s="24"/>
      <c r="AK21" s="133" t="s">
        <v>201</v>
      </c>
      <c r="AL21" s="133" t="s">
        <v>203</v>
      </c>
      <c r="AM21" s="133" t="s">
        <v>204</v>
      </c>
      <c r="AN21" s="133" t="s">
        <v>38</v>
      </c>
      <c r="AO21" s="133" t="s">
        <v>205</v>
      </c>
      <c r="AP21" s="133" t="s">
        <v>206</v>
      </c>
      <c r="AQ21" s="141" t="str">
        <f>AA66</f>
        <v>Energy Efficiency</v>
      </c>
    </row>
    <row r="22" spans="1:50" x14ac:dyDescent="0.25">
      <c r="E22" s="22" t="s">
        <v>39</v>
      </c>
      <c r="F22" s="91">
        <v>7.5</v>
      </c>
      <c r="G22" s="1" t="s">
        <v>23</v>
      </c>
      <c r="H22" s="9"/>
      <c r="L22" s="9"/>
      <c r="N22" s="31">
        <f t="shared" si="9"/>
        <v>0</v>
      </c>
      <c r="O22" s="31"/>
      <c r="P22" s="35">
        <f t="shared" si="1"/>
        <v>0</v>
      </c>
      <c r="Q22" s="36">
        <f t="shared" si="7"/>
        <v>0</v>
      </c>
      <c r="R22" s="37">
        <f t="shared" si="2"/>
        <v>0</v>
      </c>
      <c r="S22" s="37">
        <f t="shared" si="3"/>
        <v>0</v>
      </c>
      <c r="T22" s="37">
        <f t="shared" si="8"/>
        <v>0</v>
      </c>
      <c r="U22" s="37">
        <f t="shared" si="4"/>
        <v>0</v>
      </c>
      <c r="V22" s="37"/>
      <c r="W22" s="37">
        <f t="shared" si="5"/>
        <v>0</v>
      </c>
      <c r="X22" s="35">
        <f t="shared" si="6"/>
        <v>0</v>
      </c>
      <c r="Y22" s="34">
        <f t="shared" si="0"/>
        <v>0</v>
      </c>
      <c r="Z22" s="19"/>
      <c r="AA22" s="24" t="s">
        <v>76</v>
      </c>
      <c r="AB22" s="24" t="s">
        <v>81</v>
      </c>
      <c r="AC22" s="24" t="s">
        <v>72</v>
      </c>
      <c r="AD22" s="24" t="s">
        <v>80</v>
      </c>
      <c r="AF22" s="24" t="s">
        <v>76</v>
      </c>
      <c r="AG22" s="24" t="s">
        <v>77</v>
      </c>
      <c r="AH22" s="24" t="s">
        <v>72</v>
      </c>
      <c r="AI22" s="24" t="s">
        <v>80</v>
      </c>
      <c r="AK22" s="134">
        <v>-50</v>
      </c>
      <c r="AL22" s="135">
        <f>AI24</f>
        <v>-32.535796383166755</v>
      </c>
      <c r="AM22" s="135">
        <f>AD24</f>
        <v>-2.9130166844399956</v>
      </c>
      <c r="AN22" s="136">
        <f t="shared" ref="AN22:AN32" si="10">AD39</f>
        <v>-7.4010802828268192</v>
      </c>
      <c r="AO22" s="136">
        <f t="shared" ref="AO22:AO32" si="11">AI39</f>
        <v>-26.278123749610355</v>
      </c>
      <c r="AP22" s="136">
        <f>AD54</f>
        <v>-10.744644084679074</v>
      </c>
      <c r="AQ22" s="142">
        <f>AD69</f>
        <v>2.9130166844400076</v>
      </c>
    </row>
    <row r="23" spans="1:50" x14ac:dyDescent="0.25">
      <c r="H23" s="9"/>
      <c r="I23" s="12" t="s">
        <v>172</v>
      </c>
      <c r="L23" s="106"/>
      <c r="N23" s="31">
        <f t="shared" si="9"/>
        <v>0</v>
      </c>
      <c r="O23" s="31"/>
      <c r="P23" s="35">
        <f t="shared" si="1"/>
        <v>0</v>
      </c>
      <c r="Q23" s="36">
        <f t="shared" si="7"/>
        <v>0</v>
      </c>
      <c r="R23" s="37">
        <f t="shared" si="2"/>
        <v>0</v>
      </c>
      <c r="S23" s="37">
        <f t="shared" si="3"/>
        <v>0</v>
      </c>
      <c r="T23" s="37">
        <f t="shared" si="8"/>
        <v>0</v>
      </c>
      <c r="U23" s="37">
        <f t="shared" si="4"/>
        <v>0</v>
      </c>
      <c r="V23" s="37"/>
      <c r="W23" s="37">
        <f t="shared" si="5"/>
        <v>0</v>
      </c>
      <c r="X23" s="35">
        <f t="shared" si="6"/>
        <v>0</v>
      </c>
      <c r="Y23" s="34">
        <f t="shared" si="0"/>
        <v>0</v>
      </c>
      <c r="Z23" s="19"/>
      <c r="AA23" s="24" t="s">
        <v>110</v>
      </c>
      <c r="AB23" s="28">
        <v>4.6248382011635419E-2</v>
      </c>
      <c r="AC23" s="26">
        <f>Y49</f>
        <v>30556.121224120456</v>
      </c>
      <c r="AD23" s="24"/>
      <c r="AF23" s="24" t="s">
        <v>110</v>
      </c>
      <c r="AG23" s="29">
        <v>17292.864052762816</v>
      </c>
      <c r="AH23" s="30">
        <f>Y49</f>
        <v>30556.121224120456</v>
      </c>
      <c r="AI23" s="24"/>
      <c r="AK23" s="134">
        <v>-40</v>
      </c>
      <c r="AL23" s="135">
        <f>AI25</f>
        <v>-26.028637106533392</v>
      </c>
      <c r="AM23" s="135">
        <f t="shared" ref="AM23:AM32" si="12">AD25</f>
        <v>-2.330413347552013</v>
      </c>
      <c r="AN23" s="136">
        <f t="shared" si="10"/>
        <v>-5.9208642262614619</v>
      </c>
      <c r="AO23" s="136">
        <f t="shared" si="11"/>
        <v>-23.121727486889291</v>
      </c>
      <c r="AP23" s="136">
        <f t="shared" ref="AP23:AP32" si="13">AD55</f>
        <v>-8.5957152677432642</v>
      </c>
      <c r="AQ23" s="142">
        <f t="shared" ref="AQ23:AQ32" si="14">AD70</f>
        <v>2.3304133475519775</v>
      </c>
      <c r="AR23" s="68"/>
      <c r="AS23" s="68"/>
      <c r="AT23" s="68"/>
      <c r="AU23" s="68"/>
      <c r="AV23" s="68"/>
      <c r="AW23" s="68"/>
      <c r="AX23" s="68"/>
    </row>
    <row r="24" spans="1:50" x14ac:dyDescent="0.25">
      <c r="A24" s="7"/>
      <c r="H24" s="9"/>
      <c r="I24" s="1" t="s">
        <v>173</v>
      </c>
      <c r="J24" s="60" t="s">
        <v>132</v>
      </c>
      <c r="L24" s="106"/>
      <c r="N24" s="31">
        <f t="shared" si="9"/>
        <v>0</v>
      </c>
      <c r="O24" s="31"/>
      <c r="P24" s="35">
        <f t="shared" si="1"/>
        <v>0</v>
      </c>
      <c r="Q24" s="36">
        <f t="shared" si="7"/>
        <v>0</v>
      </c>
      <c r="R24" s="37">
        <f t="shared" si="2"/>
        <v>0</v>
      </c>
      <c r="S24" s="37">
        <f t="shared" si="3"/>
        <v>0</v>
      </c>
      <c r="T24" s="37">
        <f t="shared" si="8"/>
        <v>0</v>
      </c>
      <c r="U24" s="37">
        <f t="shared" si="4"/>
        <v>0</v>
      </c>
      <c r="V24" s="37"/>
      <c r="W24" s="37">
        <f t="shared" si="5"/>
        <v>0</v>
      </c>
      <c r="X24" s="35">
        <f t="shared" si="6"/>
        <v>0</v>
      </c>
      <c r="Y24" s="34">
        <f t="shared" si="0"/>
        <v>0</v>
      </c>
      <c r="Z24" s="19"/>
      <c r="AA24" s="24">
        <f t="shared" ref="AA24:AA27" si="15">AA25-10</f>
        <v>-50</v>
      </c>
      <c r="AB24" s="28">
        <f t="shared" ref="AB24:AB28" si="16">$AB$23*(1+(AA24/100))</f>
        <v>2.312419100581771E-2</v>
      </c>
      <c r="AC24" s="30">
        <f t="dataTable" ref="AC24:AC34" dt2D="0" dtr="0" r1="F36" ca="1"/>
        <v>29666.016314744116</v>
      </c>
      <c r="AD24" s="58">
        <f>100*((AC24-$AC$29)/$AC$29)</f>
        <v>-2.9130166844399956</v>
      </c>
      <c r="AF24" s="24">
        <f t="shared" ref="AF24:AF27" si="17">AF25-10</f>
        <v>-50</v>
      </c>
      <c r="AG24" s="29">
        <f t="shared" ref="AG24:AG34" si="18">$AG$23*(1+(AF24/100))</f>
        <v>8646.4320263814079</v>
      </c>
      <c r="AH24" s="30">
        <f t="dataTable" ref="AH24:AH34" dt2D="0" dtr="0" r1="B51" ca="1"/>
        <v>20614.443840047024</v>
      </c>
      <c r="AI24" s="58">
        <f t="shared" ref="AI24:AI34" si="19">100*((AH24-$AH$29)/$AH$29)</f>
        <v>-32.535796383166755</v>
      </c>
      <c r="AK24" s="134">
        <v>-30</v>
      </c>
      <c r="AL24" s="135">
        <f t="shared" ref="AL24:AL32" si="20">AI26</f>
        <v>-19.521477829900032</v>
      </c>
      <c r="AM24" s="135">
        <f t="shared" si="12"/>
        <v>-1.7478100106640069</v>
      </c>
      <c r="AN24" s="136">
        <f t="shared" si="10"/>
        <v>-4.4406481696960824</v>
      </c>
      <c r="AO24" s="136">
        <f t="shared" si="11"/>
        <v>-19.484874071485869</v>
      </c>
      <c r="AP24" s="136">
        <f t="shared" si="13"/>
        <v>-6.4467864508074664</v>
      </c>
      <c r="AQ24" s="142">
        <f t="shared" si="14"/>
        <v>1.7478100106639711</v>
      </c>
      <c r="AR24" s="68"/>
      <c r="AS24" s="68"/>
      <c r="AT24" s="68"/>
      <c r="AU24" s="68"/>
      <c r="AV24" s="68"/>
      <c r="AW24" s="68"/>
      <c r="AX24" s="68"/>
    </row>
    <row r="25" spans="1:50" x14ac:dyDescent="0.25">
      <c r="A25" s="7"/>
      <c r="H25" s="9"/>
      <c r="I25" s="105" t="s">
        <v>174</v>
      </c>
      <c r="J25" s="105">
        <v>1.3</v>
      </c>
      <c r="K25" s="105" t="s">
        <v>175</v>
      </c>
      <c r="L25" s="106"/>
      <c r="N25" s="31">
        <f t="shared" si="9"/>
        <v>0</v>
      </c>
      <c r="O25" s="31"/>
      <c r="P25" s="35">
        <f t="shared" si="1"/>
        <v>0</v>
      </c>
      <c r="Q25" s="36">
        <f t="shared" si="7"/>
        <v>0</v>
      </c>
      <c r="R25" s="37">
        <f t="shared" si="2"/>
        <v>0</v>
      </c>
      <c r="S25" s="37">
        <f t="shared" si="3"/>
        <v>0</v>
      </c>
      <c r="T25" s="37">
        <f t="shared" si="8"/>
        <v>0</v>
      </c>
      <c r="U25" s="37">
        <f t="shared" si="4"/>
        <v>0</v>
      </c>
      <c r="V25" s="37"/>
      <c r="W25" s="37">
        <f t="shared" si="5"/>
        <v>0</v>
      </c>
      <c r="X25" s="35">
        <f t="shared" si="6"/>
        <v>0</v>
      </c>
      <c r="Y25" s="34">
        <f t="shared" si="0"/>
        <v>0</v>
      </c>
      <c r="Z25" s="19"/>
      <c r="AA25" s="24">
        <f t="shared" si="15"/>
        <v>-40</v>
      </c>
      <c r="AB25" s="28">
        <f t="shared" si="16"/>
        <v>2.774902920698125E-2</v>
      </c>
      <c r="AC25" s="30">
        <v>29844.037296619379</v>
      </c>
      <c r="AD25" s="58">
        <f t="shared" ref="AD25:AD34" si="21">100*((AC25-$AC$29)/$AC$29)</f>
        <v>-2.330413347552013</v>
      </c>
      <c r="AF25" s="24">
        <f t="shared" si="17"/>
        <v>-40</v>
      </c>
      <c r="AG25" s="29">
        <f t="shared" si="18"/>
        <v>10375.71843165769</v>
      </c>
      <c r="AH25" s="30">
        <v>22602.779316861714</v>
      </c>
      <c r="AI25" s="58">
        <f t="shared" si="19"/>
        <v>-26.028637106533392</v>
      </c>
      <c r="AK25" s="134">
        <v>-20</v>
      </c>
      <c r="AL25" s="135">
        <f t="shared" si="20"/>
        <v>-13.014318553266696</v>
      </c>
      <c r="AM25" s="135">
        <f t="shared" si="12"/>
        <v>-1.1652066737760007</v>
      </c>
      <c r="AN25" s="136">
        <f t="shared" si="10"/>
        <v>-2.9604321131307252</v>
      </c>
      <c r="AO25" s="136">
        <f t="shared" si="11"/>
        <v>-16.753341917662041</v>
      </c>
      <c r="AP25" s="136">
        <f t="shared" si="13"/>
        <v>-4.2978576338716561</v>
      </c>
      <c r="AQ25" s="142">
        <f t="shared" si="14"/>
        <v>1.1652066737759887</v>
      </c>
      <c r="AR25" s="68"/>
      <c r="AS25" s="68"/>
      <c r="AT25" s="68"/>
      <c r="AU25" s="68"/>
      <c r="AV25" s="68"/>
      <c r="AW25" s="68"/>
      <c r="AX25" s="68"/>
    </row>
    <row r="26" spans="1:50" ht="15.75" thickBot="1" x14ac:dyDescent="0.3">
      <c r="A26" s="14"/>
      <c r="B26" s="15"/>
      <c r="C26" s="15"/>
      <c r="D26" s="15"/>
      <c r="E26" s="15"/>
      <c r="F26" s="15"/>
      <c r="G26" s="15"/>
      <c r="H26" s="16"/>
      <c r="I26" s="102" t="s">
        <v>176</v>
      </c>
      <c r="J26" s="103">
        <f>J12/2</f>
        <v>150</v>
      </c>
      <c r="K26" s="102" t="s">
        <v>177</v>
      </c>
      <c r="L26" s="104"/>
      <c r="N26" s="31">
        <f t="shared" si="9"/>
        <v>0</v>
      </c>
      <c r="O26" s="31"/>
      <c r="P26" s="35">
        <f t="shared" si="1"/>
        <v>0</v>
      </c>
      <c r="Q26" s="36">
        <f t="shared" si="7"/>
        <v>0</v>
      </c>
      <c r="R26" s="37">
        <f t="shared" si="2"/>
        <v>0</v>
      </c>
      <c r="S26" s="37">
        <f t="shared" si="3"/>
        <v>0</v>
      </c>
      <c r="T26" s="37">
        <f t="shared" si="8"/>
        <v>0</v>
      </c>
      <c r="U26" s="37">
        <f t="shared" si="4"/>
        <v>0</v>
      </c>
      <c r="V26" s="37"/>
      <c r="W26" s="37">
        <f t="shared" si="5"/>
        <v>0</v>
      </c>
      <c r="X26" s="35">
        <f t="shared" si="6"/>
        <v>0</v>
      </c>
      <c r="Y26" s="34">
        <f t="shared" si="0"/>
        <v>0</v>
      </c>
      <c r="Z26" s="19"/>
      <c r="AA26" s="24">
        <f t="shared" si="15"/>
        <v>-30</v>
      </c>
      <c r="AB26" s="28">
        <f t="shared" si="16"/>
        <v>3.2373867408144789E-2</v>
      </c>
      <c r="AC26" s="30">
        <v>30022.058278494649</v>
      </c>
      <c r="AD26" s="58">
        <f t="shared" si="21"/>
        <v>-1.7478100106640069</v>
      </c>
      <c r="AF26" s="24">
        <f t="shared" si="17"/>
        <v>-30</v>
      </c>
      <c r="AG26" s="29">
        <f t="shared" si="18"/>
        <v>12105.004836933971</v>
      </c>
      <c r="AH26" s="30">
        <v>24591.114793676403</v>
      </c>
      <c r="AI26" s="58">
        <f t="shared" si="19"/>
        <v>-19.521477829900032</v>
      </c>
      <c r="AK26" s="134">
        <v>-10</v>
      </c>
      <c r="AL26" s="135">
        <f t="shared" si="20"/>
        <v>-6.5071592766333355</v>
      </c>
      <c r="AM26" s="135">
        <f t="shared" si="12"/>
        <v>-0.58260333688800625</v>
      </c>
      <c r="AN26" s="136">
        <f t="shared" si="10"/>
        <v>-1.4802160565653686</v>
      </c>
      <c r="AO26" s="136">
        <f t="shared" si="11"/>
        <v>-4.0665351509049454</v>
      </c>
      <c r="AP26" s="136">
        <f t="shared" si="13"/>
        <v>-2.1489288169358338</v>
      </c>
      <c r="AQ26" s="142">
        <f t="shared" si="14"/>
        <v>0.58260333688800625</v>
      </c>
      <c r="AR26" s="68"/>
      <c r="AS26" s="68"/>
      <c r="AT26" s="68"/>
      <c r="AU26" s="68"/>
      <c r="AV26" s="68"/>
      <c r="AW26" s="68"/>
      <c r="AX26" s="68"/>
    </row>
    <row r="27" spans="1:50" x14ac:dyDescent="0.25">
      <c r="J27" s="2"/>
      <c r="N27" s="31">
        <f t="shared" si="9"/>
        <v>0</v>
      </c>
      <c r="O27" s="31"/>
      <c r="P27" s="35">
        <f t="shared" si="1"/>
        <v>0</v>
      </c>
      <c r="Q27" s="36">
        <f t="shared" si="7"/>
        <v>0</v>
      </c>
      <c r="R27" s="37">
        <f t="shared" si="2"/>
        <v>0</v>
      </c>
      <c r="S27" s="37">
        <f t="shared" si="3"/>
        <v>0</v>
      </c>
      <c r="T27" s="37">
        <f t="shared" si="8"/>
        <v>0</v>
      </c>
      <c r="U27" s="37">
        <f t="shared" si="4"/>
        <v>0</v>
      </c>
      <c r="V27" s="37"/>
      <c r="W27" s="37">
        <f t="shared" si="5"/>
        <v>0</v>
      </c>
      <c r="X27" s="35">
        <f t="shared" si="6"/>
        <v>0</v>
      </c>
      <c r="Y27" s="34">
        <f t="shared" si="0"/>
        <v>0</v>
      </c>
      <c r="Z27" s="19"/>
      <c r="AA27" s="24">
        <f t="shared" si="15"/>
        <v>-20</v>
      </c>
      <c r="AB27" s="28">
        <f t="shared" si="16"/>
        <v>3.699870560930834E-2</v>
      </c>
      <c r="AC27" s="30">
        <v>30200.079260369919</v>
      </c>
      <c r="AD27" s="58">
        <f t="shared" si="21"/>
        <v>-1.1652066737760007</v>
      </c>
      <c r="AF27" s="24">
        <f t="shared" si="17"/>
        <v>-20</v>
      </c>
      <c r="AG27" s="29">
        <f t="shared" si="18"/>
        <v>13834.291242210253</v>
      </c>
      <c r="AH27" s="30">
        <v>26579.450270491085</v>
      </c>
      <c r="AI27" s="58">
        <f t="shared" si="19"/>
        <v>-13.014318553266696</v>
      </c>
      <c r="AK27" s="134">
        <v>0</v>
      </c>
      <c r="AL27" s="135">
        <f t="shared" si="20"/>
        <v>0</v>
      </c>
      <c r="AM27" s="135">
        <f t="shared" si="12"/>
        <v>0</v>
      </c>
      <c r="AN27" s="136">
        <f t="shared" si="10"/>
        <v>0</v>
      </c>
      <c r="AO27" s="136">
        <f t="shared" si="11"/>
        <v>0</v>
      </c>
      <c r="AP27" s="136">
        <f t="shared" si="13"/>
        <v>0</v>
      </c>
      <c r="AQ27" s="142">
        <f t="shared" si="14"/>
        <v>0</v>
      </c>
      <c r="AR27" s="68"/>
      <c r="AS27" s="68"/>
      <c r="AT27" s="68"/>
      <c r="AU27" s="68"/>
      <c r="AV27" s="68"/>
      <c r="AW27" s="68"/>
      <c r="AX27" s="68"/>
    </row>
    <row r="28" spans="1:50" x14ac:dyDescent="0.25">
      <c r="A28" s="12" t="s">
        <v>60</v>
      </c>
      <c r="J28" s="2"/>
      <c r="N28" s="31">
        <f t="shared" si="9"/>
        <v>0</v>
      </c>
      <c r="O28" s="31"/>
      <c r="P28" s="35">
        <f t="shared" si="1"/>
        <v>0</v>
      </c>
      <c r="Q28" s="36">
        <f t="shared" si="7"/>
        <v>0</v>
      </c>
      <c r="R28" s="37">
        <f t="shared" si="2"/>
        <v>0</v>
      </c>
      <c r="S28" s="37">
        <f t="shared" si="3"/>
        <v>0</v>
      </c>
      <c r="T28" s="37">
        <f t="shared" si="8"/>
        <v>0</v>
      </c>
      <c r="U28" s="37">
        <f t="shared" si="4"/>
        <v>0</v>
      </c>
      <c r="V28" s="37"/>
      <c r="W28" s="37">
        <f t="shared" si="5"/>
        <v>0</v>
      </c>
      <c r="X28" s="35">
        <f t="shared" si="6"/>
        <v>0</v>
      </c>
      <c r="Y28" s="34">
        <f t="shared" si="0"/>
        <v>0</v>
      </c>
      <c r="Z28" s="19"/>
      <c r="AA28" s="24">
        <f>AA29-10</f>
        <v>-10</v>
      </c>
      <c r="AB28" s="28">
        <f t="shared" si="16"/>
        <v>4.1623543810471876E-2</v>
      </c>
      <c r="AC28" s="30">
        <v>30378.100242245186</v>
      </c>
      <c r="AD28" s="58">
        <f t="shared" si="21"/>
        <v>-0.58260333688800625</v>
      </c>
      <c r="AF28" s="24">
        <f>AF29-10</f>
        <v>-10</v>
      </c>
      <c r="AG28" s="29">
        <f t="shared" si="18"/>
        <v>15563.577647486534</v>
      </c>
      <c r="AH28" s="30">
        <v>28567.785747305774</v>
      </c>
      <c r="AI28" s="58">
        <f t="shared" si="19"/>
        <v>-6.5071592766333355</v>
      </c>
      <c r="AK28" s="134">
        <v>10</v>
      </c>
      <c r="AL28" s="135">
        <f t="shared" si="20"/>
        <v>6.5071592766333595</v>
      </c>
      <c r="AM28" s="135">
        <f t="shared" si="12"/>
        <v>0.58260333688800625</v>
      </c>
      <c r="AN28" s="136">
        <f t="shared" si="10"/>
        <v>1.4802160565653448</v>
      </c>
      <c r="AO28" s="136">
        <f t="shared" si="11"/>
        <v>2.7315321538238284</v>
      </c>
      <c r="AP28" s="136">
        <f t="shared" si="13"/>
        <v>2.1489288169358223</v>
      </c>
      <c r="AQ28" s="142">
        <f t="shared" si="14"/>
        <v>-0.58260333688800625</v>
      </c>
      <c r="AR28" s="68"/>
      <c r="AS28" s="68"/>
      <c r="AT28" s="68"/>
      <c r="AU28" s="68"/>
      <c r="AV28" s="68"/>
      <c r="AW28" s="68"/>
      <c r="AX28" s="68"/>
    </row>
    <row r="29" spans="1:50" ht="15.75" thickBot="1" x14ac:dyDescent="0.3">
      <c r="J29" s="2"/>
      <c r="N29" s="31">
        <f t="shared" si="9"/>
        <v>0</v>
      </c>
      <c r="O29" s="31"/>
      <c r="P29" s="35">
        <f t="shared" si="1"/>
        <v>0</v>
      </c>
      <c r="Q29" s="36">
        <f t="shared" si="7"/>
        <v>0</v>
      </c>
      <c r="R29" s="37">
        <f t="shared" si="2"/>
        <v>0</v>
      </c>
      <c r="S29" s="37">
        <f t="shared" si="3"/>
        <v>0</v>
      </c>
      <c r="T29" s="37">
        <f t="shared" si="8"/>
        <v>0</v>
      </c>
      <c r="U29" s="37">
        <f t="shared" si="4"/>
        <v>0</v>
      </c>
      <c r="V29" s="37"/>
      <c r="W29" s="37">
        <f t="shared" si="5"/>
        <v>0</v>
      </c>
      <c r="X29" s="35">
        <f t="shared" si="6"/>
        <v>0</v>
      </c>
      <c r="Y29" s="34">
        <f t="shared" si="0"/>
        <v>0</v>
      </c>
      <c r="Z29" s="19"/>
      <c r="AA29" s="60">
        <v>0</v>
      </c>
      <c r="AB29" s="64">
        <f>$AB$23*(1+(AA29/100))</f>
        <v>4.6248382011635419E-2</v>
      </c>
      <c r="AC29" s="62">
        <v>30556.121224120456</v>
      </c>
      <c r="AD29" s="63">
        <f t="shared" si="21"/>
        <v>0</v>
      </c>
      <c r="AF29" s="60">
        <v>0</v>
      </c>
      <c r="AG29" s="61">
        <f t="shared" si="18"/>
        <v>17292.864052762816</v>
      </c>
      <c r="AH29" s="62">
        <v>30556.121224120456</v>
      </c>
      <c r="AI29" s="63">
        <f t="shared" si="19"/>
        <v>0</v>
      </c>
      <c r="AK29" s="134">
        <v>20</v>
      </c>
      <c r="AL29" s="135">
        <f t="shared" si="20"/>
        <v>13.014318553266696</v>
      </c>
      <c r="AM29" s="135">
        <f t="shared" si="12"/>
        <v>1.1652066737759887</v>
      </c>
      <c r="AN29" s="136">
        <f t="shared" si="10"/>
        <v>2.9604321131307372</v>
      </c>
      <c r="AO29" s="136">
        <f t="shared" si="11"/>
        <v>5.4630643076476328</v>
      </c>
      <c r="AP29" s="136">
        <f t="shared" si="13"/>
        <v>4.2978576338716445</v>
      </c>
      <c r="AQ29" s="142">
        <f t="shared" si="14"/>
        <v>-1.1652066737760007</v>
      </c>
      <c r="AR29" s="68"/>
      <c r="AS29" s="68"/>
      <c r="AT29" s="68"/>
      <c r="AU29" s="68"/>
      <c r="AV29" s="68"/>
      <c r="AW29" s="68"/>
      <c r="AX29" s="68"/>
    </row>
    <row r="30" spans="1:50" x14ac:dyDescent="0.25">
      <c r="A30" s="3" t="s">
        <v>11</v>
      </c>
      <c r="B30" s="4"/>
      <c r="C30" s="4"/>
      <c r="D30" s="4"/>
      <c r="E30" s="5" t="s">
        <v>96</v>
      </c>
      <c r="F30" s="4"/>
      <c r="G30" s="4"/>
      <c r="H30" s="4"/>
      <c r="I30" s="5" t="s">
        <v>126</v>
      </c>
      <c r="J30" s="17"/>
      <c r="K30" s="4"/>
      <c r="L30" s="6"/>
      <c r="N30" s="31">
        <f t="shared" si="9"/>
        <v>0</v>
      </c>
      <c r="O30" s="31"/>
      <c r="P30" s="35">
        <f t="shared" si="1"/>
        <v>0</v>
      </c>
      <c r="Q30" s="36">
        <f t="shared" si="7"/>
        <v>0</v>
      </c>
      <c r="R30" s="37">
        <f t="shared" si="2"/>
        <v>0</v>
      </c>
      <c r="S30" s="37">
        <f t="shared" si="3"/>
        <v>0</v>
      </c>
      <c r="T30" s="37">
        <f t="shared" si="8"/>
        <v>0</v>
      </c>
      <c r="U30" s="37">
        <f t="shared" si="4"/>
        <v>0</v>
      </c>
      <c r="V30" s="37"/>
      <c r="W30" s="37">
        <f t="shared" si="5"/>
        <v>0</v>
      </c>
      <c r="X30" s="35">
        <f t="shared" si="6"/>
        <v>0</v>
      </c>
      <c r="Y30" s="34">
        <f t="shared" si="0"/>
        <v>0</v>
      </c>
      <c r="Z30" s="19"/>
      <c r="AA30" s="24">
        <f>AA29+10</f>
        <v>10</v>
      </c>
      <c r="AB30" s="28">
        <f t="shared" ref="AB30:AB34" si="22">$AB$23*(1+(AA30/100))</f>
        <v>5.0873220212798963E-2</v>
      </c>
      <c r="AC30" s="30">
        <v>30734.142205995726</v>
      </c>
      <c r="AD30" s="58">
        <f t="shared" si="21"/>
        <v>0.58260333688800625</v>
      </c>
      <c r="AF30" s="24">
        <f>AF29+10</f>
        <v>10</v>
      </c>
      <c r="AG30" s="29">
        <f t="shared" si="18"/>
        <v>19022.150458039097</v>
      </c>
      <c r="AH30" s="30">
        <v>32544.456700935145</v>
      </c>
      <c r="AI30" s="58">
        <f t="shared" si="19"/>
        <v>6.5071592766333595</v>
      </c>
      <c r="AK30" s="134">
        <v>30</v>
      </c>
      <c r="AL30" s="135">
        <f t="shared" si="20"/>
        <v>19.521477829900032</v>
      </c>
      <c r="AM30" s="135">
        <f t="shared" si="12"/>
        <v>1.7478100106639711</v>
      </c>
      <c r="AN30" s="136">
        <f t="shared" si="10"/>
        <v>4.44064816969607</v>
      </c>
      <c r="AO30" s="136">
        <f t="shared" si="11"/>
        <v>19.504889146558632</v>
      </c>
      <c r="AP30" s="136">
        <f t="shared" si="13"/>
        <v>6.4467864508074415</v>
      </c>
      <c r="AQ30" s="142">
        <f t="shared" si="14"/>
        <v>-1.7478100106640069</v>
      </c>
      <c r="AR30" s="68"/>
      <c r="AS30" s="68"/>
      <c r="AT30" s="68"/>
      <c r="AU30" s="68"/>
      <c r="AV30" s="68"/>
      <c r="AW30" s="68"/>
      <c r="AX30" s="68"/>
    </row>
    <row r="31" spans="1:50" x14ac:dyDescent="0.25">
      <c r="A31" s="21" t="s">
        <v>187</v>
      </c>
      <c r="B31" s="18">
        <f>IF(B11=0,0,-(B11/100)*$B$49)</f>
        <v>0</v>
      </c>
      <c r="C31" s="1" t="s">
        <v>3</v>
      </c>
      <c r="E31" s="22" t="s">
        <v>62</v>
      </c>
      <c r="F31" s="10">
        <f>(J21/100)*B51</f>
        <v>5187.8592158288448</v>
      </c>
      <c r="G31" s="1" t="s">
        <v>3</v>
      </c>
      <c r="I31" s="38" t="s">
        <v>98</v>
      </c>
      <c r="J31" s="45">
        <f>ROUNDDOWN(J11/(F12/J12),0)</f>
        <v>4</v>
      </c>
      <c r="K31" s="39" t="s">
        <v>22</v>
      </c>
      <c r="L31" s="9"/>
      <c r="N31" s="31">
        <f t="shared" si="9"/>
        <v>0</v>
      </c>
      <c r="O31" s="31"/>
      <c r="P31" s="35">
        <f t="shared" si="1"/>
        <v>0</v>
      </c>
      <c r="Q31" s="36">
        <f t="shared" si="7"/>
        <v>0</v>
      </c>
      <c r="R31" s="37">
        <f t="shared" si="2"/>
        <v>0</v>
      </c>
      <c r="S31" s="37">
        <f t="shared" si="3"/>
        <v>0</v>
      </c>
      <c r="T31" s="37">
        <f t="shared" si="8"/>
        <v>0</v>
      </c>
      <c r="U31" s="37">
        <f t="shared" si="4"/>
        <v>0</v>
      </c>
      <c r="V31" s="37"/>
      <c r="W31" s="37">
        <f t="shared" si="5"/>
        <v>0</v>
      </c>
      <c r="X31" s="35">
        <f t="shared" si="6"/>
        <v>0</v>
      </c>
      <c r="Y31" s="34">
        <f t="shared" si="0"/>
        <v>0</v>
      </c>
      <c r="Z31" s="19"/>
      <c r="AA31" s="24">
        <f t="shared" ref="AA31:AA34" si="23">AA30+10</f>
        <v>20</v>
      </c>
      <c r="AB31" s="28">
        <f t="shared" si="22"/>
        <v>5.5498058413962499E-2</v>
      </c>
      <c r="AC31" s="30">
        <v>30912.163187870989</v>
      </c>
      <c r="AD31" s="58">
        <f t="shared" si="21"/>
        <v>1.1652066737759887</v>
      </c>
      <c r="AF31" s="24">
        <f t="shared" ref="AF31:AF34" si="24">AF30+10</f>
        <v>20</v>
      </c>
      <c r="AG31" s="29">
        <f t="shared" si="18"/>
        <v>20751.436863315379</v>
      </c>
      <c r="AH31" s="30">
        <v>34532.792177749827</v>
      </c>
      <c r="AI31" s="58">
        <f t="shared" si="19"/>
        <v>13.014318553266696</v>
      </c>
      <c r="AK31" s="134">
        <v>40</v>
      </c>
      <c r="AL31" s="135">
        <f t="shared" si="20"/>
        <v>26.028637106533392</v>
      </c>
      <c r="AM31" s="135">
        <f t="shared" si="12"/>
        <v>2.3304133475519775</v>
      </c>
      <c r="AN31" s="136">
        <f t="shared" si="10"/>
        <v>5.9208642262614504</v>
      </c>
      <c r="AO31" s="136">
        <f t="shared" si="11"/>
        <v>22.236421300382446</v>
      </c>
      <c r="AP31" s="136">
        <f t="shared" si="13"/>
        <v>8.5957152677432411</v>
      </c>
      <c r="AQ31" s="142">
        <f t="shared" si="14"/>
        <v>-2.330413347552013</v>
      </c>
      <c r="AR31" s="68"/>
      <c r="AS31" s="68"/>
      <c r="AT31" s="68"/>
      <c r="AU31" s="68"/>
      <c r="AV31" s="68"/>
      <c r="AW31" s="68"/>
      <c r="AX31" s="68"/>
    </row>
    <row r="32" spans="1:50" x14ac:dyDescent="0.25">
      <c r="A32" s="21" t="s">
        <v>5</v>
      </c>
      <c r="B32" s="18">
        <f>IF(B12=0,0,-(B12/100)*$B$49)</f>
        <v>0</v>
      </c>
      <c r="C32" s="1" t="s">
        <v>3</v>
      </c>
      <c r="E32" s="22" t="s">
        <v>63</v>
      </c>
      <c r="F32" s="18">
        <f>B51-F31</f>
        <v>12105.004836933971</v>
      </c>
      <c r="G32" s="1" t="s">
        <v>3</v>
      </c>
      <c r="I32" s="38" t="s">
        <v>27</v>
      </c>
      <c r="J32" s="100">
        <f>IF(J24="Yes",SUM(F50:F51),0)</f>
        <v>0</v>
      </c>
      <c r="K32" s="39" t="s">
        <v>44</v>
      </c>
      <c r="L32" s="9"/>
      <c r="N32" s="31">
        <f t="shared" si="9"/>
        <v>0</v>
      </c>
      <c r="O32" s="31"/>
      <c r="P32" s="35">
        <f t="shared" si="1"/>
        <v>0</v>
      </c>
      <c r="Q32" s="36">
        <f t="shared" si="7"/>
        <v>0</v>
      </c>
      <c r="R32" s="37">
        <f t="shared" si="2"/>
        <v>0</v>
      </c>
      <c r="S32" s="37">
        <f t="shared" si="3"/>
        <v>0</v>
      </c>
      <c r="T32" s="37">
        <f t="shared" si="8"/>
        <v>0</v>
      </c>
      <c r="U32" s="37">
        <f t="shared" si="4"/>
        <v>0</v>
      </c>
      <c r="V32" s="37"/>
      <c r="W32" s="37">
        <f t="shared" si="5"/>
        <v>0</v>
      </c>
      <c r="X32" s="35">
        <f t="shared" si="6"/>
        <v>0</v>
      </c>
      <c r="Y32" s="34">
        <f t="shared" si="0"/>
        <v>0</v>
      </c>
      <c r="Z32" s="19"/>
      <c r="AA32" s="24">
        <f t="shared" si="23"/>
        <v>30</v>
      </c>
      <c r="AB32" s="28">
        <f t="shared" si="22"/>
        <v>6.0122896615126049E-2</v>
      </c>
      <c r="AC32" s="30">
        <v>31090.184169746251</v>
      </c>
      <c r="AD32" s="58">
        <f t="shared" si="21"/>
        <v>1.7478100106639711</v>
      </c>
      <c r="AF32" s="24">
        <f t="shared" si="24"/>
        <v>30</v>
      </c>
      <c r="AG32" s="29">
        <f t="shared" si="18"/>
        <v>22480.723268591661</v>
      </c>
      <c r="AH32" s="30">
        <v>36521.127654564509</v>
      </c>
      <c r="AI32" s="58">
        <f t="shared" si="19"/>
        <v>19.521477829900032</v>
      </c>
      <c r="AK32" s="134">
        <v>50</v>
      </c>
      <c r="AL32" s="135">
        <f t="shared" si="20"/>
        <v>32.535796383166726</v>
      </c>
      <c r="AM32" s="135">
        <f t="shared" si="12"/>
        <v>2.9130166844400076</v>
      </c>
      <c r="AN32" s="136">
        <f t="shared" si="10"/>
        <v>7.4010802828267952</v>
      </c>
      <c r="AO32" s="136">
        <f t="shared" si="11"/>
        <v>24.967953454206313</v>
      </c>
      <c r="AP32" s="136">
        <f t="shared" si="13"/>
        <v>10.744644084679097</v>
      </c>
      <c r="AQ32" s="142">
        <f t="shared" si="14"/>
        <v>-2.9130166844399956</v>
      </c>
      <c r="AR32" s="68"/>
      <c r="AS32" s="68"/>
      <c r="AT32" s="68"/>
      <c r="AU32" s="68"/>
      <c r="AV32" s="68"/>
      <c r="AW32" s="68"/>
      <c r="AX32" s="68"/>
    </row>
    <row r="33" spans="1:50" x14ac:dyDescent="0.25">
      <c r="A33" s="21" t="s">
        <v>6</v>
      </c>
      <c r="B33" s="18">
        <f>IF(B14=0,0,(B14/100)*$B$47)</f>
        <v>1130.6354838709676</v>
      </c>
      <c r="C33" s="1" t="s">
        <v>3</v>
      </c>
      <c r="E33" s="22" t="s">
        <v>64</v>
      </c>
      <c r="F33" s="10">
        <f>F32*(F22/100)*J20</f>
        <v>4539.3768138502392</v>
      </c>
      <c r="G33" s="1" t="s">
        <v>3</v>
      </c>
      <c r="L33" s="9"/>
      <c r="N33" s="31">
        <f t="shared" si="9"/>
        <v>0</v>
      </c>
      <c r="O33" s="31"/>
      <c r="P33" s="35">
        <f t="shared" si="1"/>
        <v>0</v>
      </c>
      <c r="Q33" s="36">
        <f t="shared" si="7"/>
        <v>0</v>
      </c>
      <c r="R33" s="37">
        <f t="shared" si="2"/>
        <v>0</v>
      </c>
      <c r="S33" s="37">
        <f t="shared" si="3"/>
        <v>0</v>
      </c>
      <c r="T33" s="37">
        <f t="shared" si="8"/>
        <v>0</v>
      </c>
      <c r="U33" s="37">
        <f t="shared" si="4"/>
        <v>0</v>
      </c>
      <c r="V33" s="37"/>
      <c r="W33" s="37">
        <f t="shared" si="5"/>
        <v>0</v>
      </c>
      <c r="X33" s="35">
        <f t="shared" si="6"/>
        <v>0</v>
      </c>
      <c r="Y33" s="34">
        <f t="shared" si="0"/>
        <v>0</v>
      </c>
      <c r="Z33" s="19"/>
      <c r="AA33" s="24">
        <f t="shared" si="23"/>
        <v>40</v>
      </c>
      <c r="AB33" s="28">
        <f t="shared" si="22"/>
        <v>6.4747734816289579E-2</v>
      </c>
      <c r="AC33" s="30">
        <v>31268.205151621522</v>
      </c>
      <c r="AD33" s="58">
        <f t="shared" si="21"/>
        <v>2.3304133475519775</v>
      </c>
      <c r="AF33" s="24">
        <f t="shared" si="24"/>
        <v>40</v>
      </c>
      <c r="AG33" s="29">
        <f t="shared" si="18"/>
        <v>24210.009673867942</v>
      </c>
      <c r="AH33" s="30">
        <v>38509.463131379198</v>
      </c>
      <c r="AI33" s="58">
        <f t="shared" si="19"/>
        <v>26.028637106533392</v>
      </c>
      <c r="AK33" s="66"/>
      <c r="AL33" s="75"/>
      <c r="AM33" s="67"/>
      <c r="AN33" s="76"/>
      <c r="AP33" s="68"/>
      <c r="AQ33" s="68"/>
      <c r="AR33" s="68"/>
      <c r="AS33" s="68"/>
      <c r="AT33" s="68"/>
      <c r="AU33" s="68"/>
      <c r="AV33" s="68"/>
      <c r="AW33" s="68"/>
      <c r="AX33" s="68"/>
    </row>
    <row r="34" spans="1:50" x14ac:dyDescent="0.25">
      <c r="A34" s="21" t="s">
        <v>197</v>
      </c>
      <c r="B34" s="18">
        <f>IF(B16=0,0,(B16/B8))</f>
        <v>10.293085020882273</v>
      </c>
      <c r="C34" s="1" t="s">
        <v>3</v>
      </c>
      <c r="F34" s="46"/>
      <c r="I34" s="38" t="s">
        <v>85</v>
      </c>
      <c r="J34" s="42">
        <f>F12*B5</f>
        <v>330000</v>
      </c>
      <c r="K34" s="39" t="s">
        <v>40</v>
      </c>
      <c r="L34" s="9"/>
      <c r="N34" s="31">
        <f t="shared" si="9"/>
        <v>0</v>
      </c>
      <c r="O34" s="31"/>
      <c r="P34" s="35">
        <f t="shared" si="1"/>
        <v>0</v>
      </c>
      <c r="Q34" s="36">
        <f t="shared" si="7"/>
        <v>0</v>
      </c>
      <c r="R34" s="37">
        <f t="shared" si="2"/>
        <v>0</v>
      </c>
      <c r="S34" s="37">
        <f t="shared" si="3"/>
        <v>0</v>
      </c>
      <c r="T34" s="37">
        <f t="shared" si="8"/>
        <v>0</v>
      </c>
      <c r="U34" s="37">
        <f t="shared" si="4"/>
        <v>0</v>
      </c>
      <c r="V34" s="37"/>
      <c r="W34" s="37">
        <f t="shared" si="5"/>
        <v>0</v>
      </c>
      <c r="X34" s="35">
        <f t="shared" si="6"/>
        <v>0</v>
      </c>
      <c r="Y34" s="34">
        <f t="shared" si="0"/>
        <v>0</v>
      </c>
      <c r="Z34" s="19"/>
      <c r="AA34" s="24">
        <f t="shared" si="23"/>
        <v>50</v>
      </c>
      <c r="AB34" s="28">
        <f t="shared" si="22"/>
        <v>6.9372573017453129E-2</v>
      </c>
      <c r="AC34" s="30">
        <v>31446.226133496799</v>
      </c>
      <c r="AD34" s="58">
        <f t="shared" si="21"/>
        <v>2.9130166844400076</v>
      </c>
      <c r="AF34" s="24">
        <f t="shared" si="24"/>
        <v>50</v>
      </c>
      <c r="AG34" s="29">
        <f t="shared" si="18"/>
        <v>25939.296079144224</v>
      </c>
      <c r="AH34" s="30">
        <v>40497.79860819388</v>
      </c>
      <c r="AI34" s="58">
        <f t="shared" si="19"/>
        <v>32.535796383166726</v>
      </c>
      <c r="AK34" s="66"/>
      <c r="AL34" s="75"/>
      <c r="AM34" s="67"/>
      <c r="AN34" s="76"/>
      <c r="AP34" s="68"/>
      <c r="AQ34" s="68"/>
      <c r="AR34" s="68"/>
      <c r="AS34" s="68"/>
      <c r="AT34" s="68"/>
      <c r="AU34" s="68"/>
      <c r="AV34" s="68"/>
      <c r="AW34" s="68"/>
      <c r="AX34" s="68"/>
    </row>
    <row r="35" spans="1:50" x14ac:dyDescent="0.25">
      <c r="A35" s="21" t="s">
        <v>162</v>
      </c>
      <c r="B35" s="18">
        <f>IF(B17=0,0,(B17/100)*$B$47)</f>
        <v>0</v>
      </c>
      <c r="C35" s="1" t="s">
        <v>3</v>
      </c>
      <c r="E35" s="12" t="s">
        <v>97</v>
      </c>
      <c r="L35" s="9"/>
      <c r="N35" s="31">
        <f t="shared" si="9"/>
        <v>0</v>
      </c>
      <c r="O35" s="31"/>
      <c r="P35" s="35">
        <f t="shared" si="1"/>
        <v>0</v>
      </c>
      <c r="Q35" s="36">
        <f t="shared" si="7"/>
        <v>0</v>
      </c>
      <c r="R35" s="37">
        <f t="shared" si="2"/>
        <v>0</v>
      </c>
      <c r="S35" s="37">
        <f t="shared" si="3"/>
        <v>0</v>
      </c>
      <c r="T35" s="37">
        <f t="shared" si="8"/>
        <v>0</v>
      </c>
      <c r="U35" s="37">
        <f t="shared" si="4"/>
        <v>0</v>
      </c>
      <c r="V35" s="37"/>
      <c r="W35" s="37">
        <f t="shared" si="5"/>
        <v>0</v>
      </c>
      <c r="X35" s="35">
        <f t="shared" si="6"/>
        <v>0</v>
      </c>
      <c r="Y35" s="34">
        <f t="shared" si="0"/>
        <v>0</v>
      </c>
      <c r="Z35" s="19"/>
    </row>
    <row r="36" spans="1:50" x14ac:dyDescent="0.25">
      <c r="B36" s="18"/>
      <c r="E36" s="22" t="s">
        <v>32</v>
      </c>
      <c r="F36" s="23">
        <f>F13/$B$8</f>
        <v>4.6248382011635419E-2</v>
      </c>
      <c r="G36" s="1" t="s">
        <v>9</v>
      </c>
      <c r="L36" s="9"/>
      <c r="N36" s="31">
        <f t="shared" si="9"/>
        <v>0</v>
      </c>
      <c r="O36" s="31"/>
      <c r="P36" s="35">
        <f t="shared" si="1"/>
        <v>0</v>
      </c>
      <c r="Q36" s="36">
        <f t="shared" si="7"/>
        <v>0</v>
      </c>
      <c r="R36" s="37">
        <f t="shared" si="2"/>
        <v>0</v>
      </c>
      <c r="S36" s="37">
        <f t="shared" si="3"/>
        <v>0</v>
      </c>
      <c r="T36" s="37">
        <f t="shared" si="8"/>
        <v>0</v>
      </c>
      <c r="U36" s="37">
        <f t="shared" si="4"/>
        <v>0</v>
      </c>
      <c r="V36" s="37"/>
      <c r="W36" s="37">
        <f t="shared" si="5"/>
        <v>0</v>
      </c>
      <c r="X36" s="35">
        <f t="shared" si="6"/>
        <v>0</v>
      </c>
      <c r="Y36" s="34">
        <f t="shared" si="0"/>
        <v>0</v>
      </c>
      <c r="Z36" s="19"/>
      <c r="AA36" s="27" t="s">
        <v>38</v>
      </c>
      <c r="AB36" s="24"/>
      <c r="AC36" s="24"/>
      <c r="AD36" s="24"/>
      <c r="AF36" s="27" t="s">
        <v>84</v>
      </c>
      <c r="AG36" s="24"/>
      <c r="AH36" s="24"/>
      <c r="AI36" s="24"/>
    </row>
    <row r="37" spans="1:50" x14ac:dyDescent="0.25">
      <c r="E37" s="38" t="s">
        <v>41</v>
      </c>
      <c r="F37" s="41">
        <f>(F20/((1-J14%)*J10))/B8</f>
        <v>0</v>
      </c>
      <c r="G37" s="39" t="s">
        <v>9</v>
      </c>
      <c r="I37" s="12" t="s">
        <v>90</v>
      </c>
      <c r="J37" s="47">
        <f>SUM(J38:J41)</f>
        <v>826.63504076343656</v>
      </c>
      <c r="K37" s="12" t="s">
        <v>44</v>
      </c>
      <c r="L37" s="9"/>
      <c r="N37" s="31">
        <f t="shared" si="9"/>
        <v>0</v>
      </c>
      <c r="O37" s="31"/>
      <c r="P37" s="35">
        <f t="shared" si="1"/>
        <v>0</v>
      </c>
      <c r="Q37" s="36">
        <f t="shared" si="7"/>
        <v>0</v>
      </c>
      <c r="R37" s="37">
        <f t="shared" si="2"/>
        <v>0</v>
      </c>
      <c r="S37" s="37">
        <f t="shared" si="3"/>
        <v>0</v>
      </c>
      <c r="T37" s="37">
        <f t="shared" si="8"/>
        <v>0</v>
      </c>
      <c r="U37" s="37">
        <f t="shared" si="4"/>
        <v>0</v>
      </c>
      <c r="V37" s="37"/>
      <c r="W37" s="37">
        <f t="shared" si="5"/>
        <v>0</v>
      </c>
      <c r="X37" s="35">
        <f t="shared" si="6"/>
        <v>0</v>
      </c>
      <c r="Y37" s="34">
        <f t="shared" si="0"/>
        <v>0</v>
      </c>
      <c r="Z37" s="19"/>
      <c r="AA37" s="24" t="s">
        <v>76</v>
      </c>
      <c r="AB37" s="24" t="s">
        <v>82</v>
      </c>
      <c r="AC37" s="24" t="s">
        <v>72</v>
      </c>
      <c r="AD37" s="24" t="s">
        <v>80</v>
      </c>
      <c r="AF37" s="24" t="s">
        <v>76</v>
      </c>
      <c r="AG37" s="24" t="s">
        <v>83</v>
      </c>
      <c r="AH37" s="24" t="s">
        <v>72</v>
      </c>
      <c r="AI37" s="24" t="s">
        <v>80</v>
      </c>
    </row>
    <row r="38" spans="1:50" x14ac:dyDescent="0.25">
      <c r="A38" s="21"/>
      <c r="B38" s="18"/>
      <c r="E38" s="22" t="s">
        <v>58</v>
      </c>
      <c r="F38" s="48">
        <f>F36*J17</f>
        <v>6.4747734816289594E-3</v>
      </c>
      <c r="G38" s="1" t="s">
        <v>57</v>
      </c>
      <c r="I38" s="22" t="str">
        <f>E17</f>
        <v>Inspection Fee</v>
      </c>
      <c r="J38" s="13">
        <f>F17/$B$8</f>
        <v>0</v>
      </c>
      <c r="K38" s="1" t="s">
        <v>44</v>
      </c>
      <c r="L38" s="9"/>
      <c r="N38" s="31">
        <f t="shared" si="9"/>
        <v>0</v>
      </c>
      <c r="O38" s="31"/>
      <c r="P38" s="35">
        <f t="shared" si="1"/>
        <v>0</v>
      </c>
      <c r="Q38" s="36">
        <f t="shared" si="7"/>
        <v>0</v>
      </c>
      <c r="R38" s="37">
        <f t="shared" si="2"/>
        <v>0</v>
      </c>
      <c r="S38" s="37">
        <f t="shared" si="3"/>
        <v>0</v>
      </c>
      <c r="T38" s="37">
        <f t="shared" si="8"/>
        <v>0</v>
      </c>
      <c r="U38" s="37">
        <f t="shared" si="4"/>
        <v>0</v>
      </c>
      <c r="V38" s="37"/>
      <c r="W38" s="37">
        <f t="shared" si="5"/>
        <v>0</v>
      </c>
      <c r="X38" s="35">
        <f t="shared" si="6"/>
        <v>0</v>
      </c>
      <c r="Y38" s="34">
        <f t="shared" si="0"/>
        <v>0</v>
      </c>
      <c r="Z38" s="19"/>
      <c r="AA38" s="24" t="s">
        <v>110</v>
      </c>
      <c r="AB38" s="25">
        <v>4410</v>
      </c>
      <c r="AC38" s="26">
        <f>Y49</f>
        <v>30556.121224120456</v>
      </c>
      <c r="AD38" s="24"/>
      <c r="AF38" s="24" t="s">
        <v>110</v>
      </c>
      <c r="AG38" s="29">
        <v>33000</v>
      </c>
      <c r="AH38" s="30">
        <f>Y49</f>
        <v>30556.121224120456</v>
      </c>
      <c r="AI38" s="24"/>
    </row>
    <row r="39" spans="1:50" x14ac:dyDescent="0.25">
      <c r="A39" s="21"/>
      <c r="B39" s="18"/>
      <c r="I39" s="22" t="s">
        <v>86</v>
      </c>
      <c r="J39" s="13">
        <f>F19/$B$8</f>
        <v>0</v>
      </c>
      <c r="K39" s="1" t="s">
        <v>44</v>
      </c>
      <c r="L39" s="9"/>
      <c r="N39" s="31">
        <f t="shared" si="9"/>
        <v>0</v>
      </c>
      <c r="O39" s="31"/>
      <c r="P39" s="35">
        <f t="shared" si="1"/>
        <v>0</v>
      </c>
      <c r="Q39" s="36">
        <f t="shared" si="7"/>
        <v>0</v>
      </c>
      <c r="R39" s="37">
        <f t="shared" si="2"/>
        <v>0</v>
      </c>
      <c r="S39" s="37">
        <f t="shared" si="3"/>
        <v>0</v>
      </c>
      <c r="T39" s="37">
        <f t="shared" si="8"/>
        <v>0</v>
      </c>
      <c r="U39" s="37">
        <f t="shared" si="4"/>
        <v>0</v>
      </c>
      <c r="V39" s="37"/>
      <c r="W39" s="37">
        <f t="shared" si="5"/>
        <v>0</v>
      </c>
      <c r="X39" s="35">
        <f t="shared" si="6"/>
        <v>0</v>
      </c>
      <c r="Y39" s="34">
        <f t="shared" si="0"/>
        <v>0</v>
      </c>
      <c r="Z39" s="19"/>
      <c r="AA39" s="24">
        <f t="shared" ref="AA39:AA42" si="25">AA40-10</f>
        <v>-50</v>
      </c>
      <c r="AB39" s="25">
        <f t="shared" ref="AB39:AB49" si="26">$AB$38*(1+(AA39/100))</f>
        <v>2205</v>
      </c>
      <c r="AC39" s="30">
        <f t="dataTable" ref="AC39:AC49" dt2D="0" dtr="0" r1="B46" ca="1"/>
        <v>28294.638161005416</v>
      </c>
      <c r="AD39" s="58">
        <f>100*((AC39-$AC$44)/$AC$44)</f>
        <v>-7.4010802828268192</v>
      </c>
      <c r="AF39" s="24">
        <f t="shared" ref="AF39:AF42" si="27">AF40-10</f>
        <v>-50</v>
      </c>
      <c r="AG39" s="29">
        <f t="shared" ref="AG39:AG49" si="28">$AG$38*(1+(AF39/100))</f>
        <v>16500</v>
      </c>
      <c r="AH39" s="30">
        <f t="dataTable" ref="AH39:AH49" dt2D="0" dtr="0" r1="F12" ca="1"/>
        <v>22526.545875765129</v>
      </c>
      <c r="AI39" s="58">
        <f>100*((AH39-$AH$44)/$AH$44)</f>
        <v>-26.278123749610355</v>
      </c>
    </row>
    <row r="40" spans="1:50" x14ac:dyDescent="0.25">
      <c r="B40" s="18"/>
      <c r="E40" s="22" t="s">
        <v>93</v>
      </c>
      <c r="F40" s="13">
        <f>F37*F12*J17</f>
        <v>0</v>
      </c>
      <c r="G40" s="1" t="s">
        <v>44</v>
      </c>
      <c r="I40" s="38" t="str">
        <f>E16</f>
        <v>Licensing Fee</v>
      </c>
      <c r="J40" s="49">
        <f>F16/$B$8</f>
        <v>4.9350407634367066</v>
      </c>
      <c r="K40" s="39" t="s">
        <v>44</v>
      </c>
      <c r="L40" s="9"/>
      <c r="N40" s="31">
        <f t="shared" si="9"/>
        <v>0</v>
      </c>
      <c r="O40" s="31"/>
      <c r="P40" s="35">
        <f t="shared" si="1"/>
        <v>0</v>
      </c>
      <c r="Q40" s="36">
        <f t="shared" si="7"/>
        <v>0</v>
      </c>
      <c r="R40" s="37">
        <f t="shared" si="2"/>
        <v>0</v>
      </c>
      <c r="S40" s="37">
        <f t="shared" si="3"/>
        <v>0</v>
      </c>
      <c r="T40" s="37">
        <f t="shared" si="8"/>
        <v>0</v>
      </c>
      <c r="U40" s="37">
        <f t="shared" si="4"/>
        <v>0</v>
      </c>
      <c r="V40" s="37"/>
      <c r="W40" s="37">
        <f t="shared" si="5"/>
        <v>0</v>
      </c>
      <c r="X40" s="35">
        <f t="shared" si="6"/>
        <v>0</v>
      </c>
      <c r="Y40" s="34">
        <f t="shared" si="0"/>
        <v>0</v>
      </c>
      <c r="Z40" s="19"/>
      <c r="AA40" s="24">
        <f t="shared" si="25"/>
        <v>-40</v>
      </c>
      <c r="AB40" s="25">
        <f t="shared" si="26"/>
        <v>2646</v>
      </c>
      <c r="AC40" s="30">
        <v>28746.934773628422</v>
      </c>
      <c r="AD40" s="58">
        <f t="shared" ref="AD40:AD49" si="29">100*((AC40-$AC$29)/$AC$29)</f>
        <v>-5.9208642262614619</v>
      </c>
      <c r="AF40" s="24">
        <f t="shared" si="27"/>
        <v>-40</v>
      </c>
      <c r="AG40" s="29">
        <f t="shared" si="28"/>
        <v>19800</v>
      </c>
      <c r="AH40" s="30">
        <v>23491.018144115784</v>
      </c>
      <c r="AI40" s="58">
        <f t="shared" ref="AI40:AI43" si="30">100*((AH40-$AH$44)/$AH$44)</f>
        <v>-23.121727486889291</v>
      </c>
    </row>
    <row r="41" spans="1:50" x14ac:dyDescent="0.25">
      <c r="E41" s="22" t="s">
        <v>94</v>
      </c>
      <c r="F41" s="46">
        <f>F38*F12</f>
        <v>213.66752489375565</v>
      </c>
      <c r="G41" t="s">
        <v>44</v>
      </c>
      <c r="I41" s="22" t="s">
        <v>66</v>
      </c>
      <c r="J41" s="20">
        <f>F21*F12/B8</f>
        <v>821.69999999999982</v>
      </c>
      <c r="K41" s="1" t="s">
        <v>44</v>
      </c>
      <c r="L41" s="9"/>
      <c r="N41" s="31">
        <f t="shared" si="9"/>
        <v>0</v>
      </c>
      <c r="O41" s="31"/>
      <c r="P41" s="35">
        <f t="shared" si="1"/>
        <v>0</v>
      </c>
      <c r="Q41" s="36">
        <f t="shared" si="7"/>
        <v>0</v>
      </c>
      <c r="R41" s="37">
        <f t="shared" si="2"/>
        <v>0</v>
      </c>
      <c r="S41" s="37">
        <f t="shared" si="3"/>
        <v>0</v>
      </c>
      <c r="T41" s="37">
        <f t="shared" si="8"/>
        <v>0</v>
      </c>
      <c r="U41" s="37">
        <f t="shared" si="4"/>
        <v>0</v>
      </c>
      <c r="V41" s="37"/>
      <c r="W41" s="37">
        <f t="shared" si="5"/>
        <v>0</v>
      </c>
      <c r="X41" s="35">
        <f t="shared" si="6"/>
        <v>0</v>
      </c>
      <c r="Y41" s="34">
        <f t="shared" si="0"/>
        <v>0</v>
      </c>
      <c r="Z41" s="19"/>
      <c r="AA41" s="24">
        <f t="shared" si="25"/>
        <v>-30</v>
      </c>
      <c r="AB41" s="25">
        <f t="shared" si="26"/>
        <v>3087</v>
      </c>
      <c r="AC41" s="30">
        <v>29199.231386251435</v>
      </c>
      <c r="AD41" s="58">
        <f t="shared" si="29"/>
        <v>-4.4406481696960824</v>
      </c>
      <c r="AF41" s="24">
        <f t="shared" si="27"/>
        <v>-30</v>
      </c>
      <c r="AG41" s="29">
        <f t="shared" si="28"/>
        <v>23100</v>
      </c>
      <c r="AH41" s="30">
        <v>24602.299482470018</v>
      </c>
      <c r="AI41" s="58">
        <f t="shared" si="30"/>
        <v>-19.484874071485869</v>
      </c>
    </row>
    <row r="42" spans="1:50" x14ac:dyDescent="0.25">
      <c r="A42" s="11" t="s">
        <v>12</v>
      </c>
      <c r="B42" s="19"/>
      <c r="C42" s="12"/>
      <c r="L42" s="9"/>
      <c r="N42" s="31">
        <f t="shared" si="9"/>
        <v>0</v>
      </c>
      <c r="O42" s="31"/>
      <c r="P42" s="35">
        <f t="shared" si="1"/>
        <v>0</v>
      </c>
      <c r="Q42" s="36">
        <f t="shared" si="7"/>
        <v>0</v>
      </c>
      <c r="R42" s="37">
        <f t="shared" si="2"/>
        <v>0</v>
      </c>
      <c r="S42" s="37">
        <f t="shared" si="3"/>
        <v>0</v>
      </c>
      <c r="T42" s="37">
        <f t="shared" si="8"/>
        <v>0</v>
      </c>
      <c r="U42" s="37">
        <f t="shared" si="4"/>
        <v>0</v>
      </c>
      <c r="V42" s="37"/>
      <c r="W42" s="37">
        <f t="shared" si="5"/>
        <v>0</v>
      </c>
      <c r="X42" s="35">
        <f t="shared" si="6"/>
        <v>0</v>
      </c>
      <c r="Y42" s="34">
        <f t="shared" si="0"/>
        <v>0</v>
      </c>
      <c r="Z42" s="19"/>
      <c r="AA42" s="24">
        <f t="shared" si="25"/>
        <v>-20</v>
      </c>
      <c r="AB42" s="25">
        <f t="shared" si="26"/>
        <v>3528</v>
      </c>
      <c r="AC42" s="30">
        <v>29651.527998874441</v>
      </c>
      <c r="AD42" s="58">
        <f t="shared" si="29"/>
        <v>-2.9604321131307252</v>
      </c>
      <c r="AF42" s="24">
        <f t="shared" si="27"/>
        <v>-20</v>
      </c>
      <c r="AG42" s="29">
        <f t="shared" si="28"/>
        <v>26400</v>
      </c>
      <c r="AH42" s="30">
        <v>25436.949758668256</v>
      </c>
      <c r="AI42" s="58">
        <f t="shared" si="30"/>
        <v>-16.753341917662041</v>
      </c>
    </row>
    <row r="43" spans="1:50" x14ac:dyDescent="0.25">
      <c r="A43" s="22" t="s">
        <v>2</v>
      </c>
      <c r="B43" s="8">
        <f>J8/B8</f>
        <v>11741.935483870966</v>
      </c>
      <c r="C43" s="1" t="s">
        <v>3</v>
      </c>
      <c r="I43" s="12"/>
      <c r="L43" s="9"/>
      <c r="N43" s="31">
        <f t="shared" si="9"/>
        <v>0</v>
      </c>
      <c r="O43" s="31"/>
      <c r="P43" s="35">
        <f t="shared" si="1"/>
        <v>0</v>
      </c>
      <c r="Q43" s="36">
        <f t="shared" si="7"/>
        <v>0</v>
      </c>
      <c r="R43" s="37">
        <f t="shared" si="2"/>
        <v>0</v>
      </c>
      <c r="S43" s="37">
        <f t="shared" si="3"/>
        <v>0</v>
      </c>
      <c r="T43" s="37">
        <f t="shared" si="8"/>
        <v>0</v>
      </c>
      <c r="U43" s="37">
        <f t="shared" si="4"/>
        <v>0</v>
      </c>
      <c r="V43" s="37"/>
      <c r="W43" s="37">
        <f t="shared" si="5"/>
        <v>0</v>
      </c>
      <c r="X43" s="35">
        <f t="shared" si="6"/>
        <v>0</v>
      </c>
      <c r="Y43" s="34">
        <f t="shared" si="0"/>
        <v>0</v>
      </c>
      <c r="Z43" s="19"/>
      <c r="AA43" s="24">
        <f>AA44-10</f>
        <v>-10</v>
      </c>
      <c r="AB43" s="25">
        <f t="shared" si="26"/>
        <v>3969</v>
      </c>
      <c r="AC43" s="30">
        <v>30103.824611497446</v>
      </c>
      <c r="AD43" s="58">
        <f t="shared" si="29"/>
        <v>-1.4802160565653686</v>
      </c>
      <c r="AF43" s="24">
        <f>AF44-10</f>
        <v>-10</v>
      </c>
      <c r="AG43" s="29">
        <f t="shared" si="28"/>
        <v>29700</v>
      </c>
      <c r="AH43" s="30">
        <v>29313.545813788471</v>
      </c>
      <c r="AI43" s="58">
        <f t="shared" si="30"/>
        <v>-4.0665351509049454</v>
      </c>
    </row>
    <row r="44" spans="1:50" x14ac:dyDescent="0.25">
      <c r="A44" s="38" t="s">
        <v>116</v>
      </c>
      <c r="B44" s="42">
        <f>IF(J24="No",J9*J10,0)</f>
        <v>4410</v>
      </c>
      <c r="C44" s="39" t="s">
        <v>3</v>
      </c>
      <c r="E44" s="108" t="s">
        <v>178</v>
      </c>
      <c r="F44" s="105"/>
      <c r="G44" s="105"/>
      <c r="I44" s="22"/>
      <c r="J44" s="20"/>
      <c r="L44" s="9"/>
      <c r="N44" s="31">
        <f t="shared" si="9"/>
        <v>0</v>
      </c>
      <c r="O44" s="31"/>
      <c r="P44" s="35">
        <f t="shared" si="1"/>
        <v>0</v>
      </c>
      <c r="Q44" s="36">
        <f t="shared" si="7"/>
        <v>0</v>
      </c>
      <c r="R44" s="37">
        <f t="shared" si="2"/>
        <v>0</v>
      </c>
      <c r="S44" s="37">
        <f t="shared" si="3"/>
        <v>0</v>
      </c>
      <c r="T44" s="37">
        <f t="shared" si="8"/>
        <v>0</v>
      </c>
      <c r="U44" s="37">
        <f t="shared" si="4"/>
        <v>0</v>
      </c>
      <c r="V44" s="37"/>
      <c r="W44" s="37">
        <f t="shared" si="5"/>
        <v>0</v>
      </c>
      <c r="X44" s="35">
        <f t="shared" si="6"/>
        <v>0</v>
      </c>
      <c r="Y44" s="34">
        <f t="shared" si="0"/>
        <v>0</v>
      </c>
      <c r="Z44" s="19"/>
      <c r="AA44" s="60">
        <v>0</v>
      </c>
      <c r="AB44" s="65">
        <f>$AB$38*(1+(AA44/100))</f>
        <v>4410</v>
      </c>
      <c r="AC44" s="62">
        <v>30556.121224120456</v>
      </c>
      <c r="AD44" s="63">
        <f t="shared" si="29"/>
        <v>0</v>
      </c>
      <c r="AF44" s="60">
        <v>0</v>
      </c>
      <c r="AG44" s="61">
        <f t="shared" si="28"/>
        <v>33000</v>
      </c>
      <c r="AH44" s="62">
        <v>30556.121224120456</v>
      </c>
      <c r="AI44" s="63">
        <f>100*((AH44-$AH$44)/$AH$44)</f>
        <v>0</v>
      </c>
    </row>
    <row r="45" spans="1:50" x14ac:dyDescent="0.25">
      <c r="A45" s="21" t="s">
        <v>118</v>
      </c>
      <c r="B45" s="10">
        <f>(1+(B13/100))*B43</f>
        <v>11741.935483870966</v>
      </c>
      <c r="C45" s="1" t="s">
        <v>3</v>
      </c>
      <c r="E45" s="113" t="s">
        <v>183</v>
      </c>
      <c r="F45" s="109">
        <f>((1+(B13/100))*J9*J10)*(1+(B14%+B15%))</f>
        <v>4851</v>
      </c>
      <c r="G45" s="105" t="s">
        <v>3</v>
      </c>
      <c r="L45" s="9"/>
      <c r="N45" s="31">
        <f t="shared" si="9"/>
        <v>0</v>
      </c>
      <c r="O45" s="31"/>
      <c r="P45" s="35">
        <f t="shared" si="1"/>
        <v>0</v>
      </c>
      <c r="Q45" s="36">
        <f t="shared" si="7"/>
        <v>0</v>
      </c>
      <c r="R45" s="37">
        <f t="shared" si="2"/>
        <v>0</v>
      </c>
      <c r="S45" s="37">
        <f t="shared" si="3"/>
        <v>0</v>
      </c>
      <c r="T45" s="37">
        <f t="shared" si="8"/>
        <v>0</v>
      </c>
      <c r="U45" s="37">
        <f t="shared" si="4"/>
        <v>0</v>
      </c>
      <c r="V45" s="37"/>
      <c r="W45" s="37">
        <f t="shared" si="5"/>
        <v>0</v>
      </c>
      <c r="X45" s="35">
        <f t="shared" si="6"/>
        <v>0</v>
      </c>
      <c r="Y45" s="34">
        <f t="shared" si="0"/>
        <v>0</v>
      </c>
      <c r="Z45" s="19"/>
      <c r="AA45" s="24">
        <f>AA44+10</f>
        <v>10</v>
      </c>
      <c r="AB45" s="25">
        <f t="shared" si="26"/>
        <v>4851</v>
      </c>
      <c r="AC45" s="30">
        <v>31008.417836743458</v>
      </c>
      <c r="AD45" s="58">
        <f t="shared" si="29"/>
        <v>1.4802160565653448</v>
      </c>
      <c r="AF45" s="24">
        <f>AF44+10</f>
        <v>10</v>
      </c>
      <c r="AG45" s="29">
        <f t="shared" si="28"/>
        <v>36300</v>
      </c>
      <c r="AH45" s="30">
        <v>31390.771500318693</v>
      </c>
      <c r="AI45" s="58">
        <f t="shared" ref="AI45:AI49" si="31">100*((AH45-$AH$44)/$AH$44)</f>
        <v>2.7315321538238284</v>
      </c>
    </row>
    <row r="46" spans="1:50" x14ac:dyDescent="0.25">
      <c r="A46" s="21" t="s">
        <v>119</v>
      </c>
      <c r="B46" s="59">
        <f>(1+(B13/100))*B44</f>
        <v>4410</v>
      </c>
      <c r="C46" s="1" t="s">
        <v>3</v>
      </c>
      <c r="E46" s="105" t="s">
        <v>184</v>
      </c>
      <c r="F46" s="109">
        <f>((J21%)*F45)+(((1-J21%)*F45)*(1+(F22%*J20)))</f>
        <v>6124.3874999999998</v>
      </c>
      <c r="G46" s="105" t="s">
        <v>3</v>
      </c>
      <c r="L46" s="9"/>
      <c r="N46" s="31">
        <f t="shared" si="9"/>
        <v>0</v>
      </c>
      <c r="O46" s="31"/>
      <c r="P46" s="35">
        <f t="shared" si="1"/>
        <v>0</v>
      </c>
      <c r="Q46" s="36">
        <f t="shared" si="7"/>
        <v>0</v>
      </c>
      <c r="R46" s="37">
        <f t="shared" si="2"/>
        <v>0</v>
      </c>
      <c r="S46" s="37">
        <f t="shared" si="3"/>
        <v>0</v>
      </c>
      <c r="T46" s="37">
        <f t="shared" si="8"/>
        <v>0</v>
      </c>
      <c r="U46" s="37">
        <f t="shared" si="4"/>
        <v>0</v>
      </c>
      <c r="V46" s="37"/>
      <c r="W46" s="37">
        <f t="shared" si="5"/>
        <v>0</v>
      </c>
      <c r="X46" s="35">
        <f t="shared" si="6"/>
        <v>0</v>
      </c>
      <c r="Y46" s="34">
        <f t="shared" si="0"/>
        <v>0</v>
      </c>
      <c r="Z46" s="19"/>
      <c r="AA46" s="24">
        <f t="shared" ref="AA46:AA49" si="32">AA45+10</f>
        <v>20</v>
      </c>
      <c r="AB46" s="25">
        <f t="shared" si="26"/>
        <v>5292</v>
      </c>
      <c r="AC46" s="30">
        <v>31460.714449366475</v>
      </c>
      <c r="AD46" s="58">
        <f t="shared" si="29"/>
        <v>2.9604321131307372</v>
      </c>
      <c r="AF46" s="24">
        <f t="shared" ref="AF46:AF49" si="33">AF45+10</f>
        <v>20</v>
      </c>
      <c r="AG46" s="29">
        <f t="shared" si="28"/>
        <v>39600</v>
      </c>
      <c r="AH46" s="30">
        <v>32225.421776516923</v>
      </c>
      <c r="AI46" s="58">
        <f t="shared" si="31"/>
        <v>5.4630643076476328</v>
      </c>
    </row>
    <row r="47" spans="1:50" x14ac:dyDescent="0.25">
      <c r="A47" s="1" t="s">
        <v>114</v>
      </c>
      <c r="B47" s="10">
        <f>B45+B46</f>
        <v>16151.935483870966</v>
      </c>
      <c r="C47" s="1" t="s">
        <v>3</v>
      </c>
      <c r="E47" s="105" t="s">
        <v>98</v>
      </c>
      <c r="F47" s="109">
        <f>J12*J11</f>
        <v>160800</v>
      </c>
      <c r="G47" s="105" t="s">
        <v>40</v>
      </c>
      <c r="L47" s="9"/>
      <c r="N47" s="31">
        <f t="shared" si="9"/>
        <v>0</v>
      </c>
      <c r="O47" s="31"/>
      <c r="P47" s="35">
        <f t="shared" si="1"/>
        <v>0</v>
      </c>
      <c r="Q47" s="36">
        <f t="shared" si="7"/>
        <v>0</v>
      </c>
      <c r="R47" s="37">
        <f t="shared" si="2"/>
        <v>0</v>
      </c>
      <c r="S47" s="37">
        <f t="shared" si="3"/>
        <v>0</v>
      </c>
      <c r="T47" s="37">
        <f t="shared" si="8"/>
        <v>0</v>
      </c>
      <c r="U47" s="37">
        <f t="shared" si="4"/>
        <v>0</v>
      </c>
      <c r="V47" s="37"/>
      <c r="W47" s="37">
        <f t="shared" si="5"/>
        <v>0</v>
      </c>
      <c r="X47" s="35">
        <f t="shared" si="6"/>
        <v>0</v>
      </c>
      <c r="Y47" s="34">
        <f t="shared" si="0"/>
        <v>0</v>
      </c>
      <c r="Z47" s="19"/>
      <c r="AA47" s="24">
        <f t="shared" si="32"/>
        <v>30</v>
      </c>
      <c r="AB47" s="25">
        <f t="shared" si="26"/>
        <v>5733</v>
      </c>
      <c r="AC47" s="30">
        <v>31913.011061989473</v>
      </c>
      <c r="AD47" s="58">
        <f t="shared" si="29"/>
        <v>4.44064816969607</v>
      </c>
      <c r="AF47" s="24">
        <f t="shared" si="33"/>
        <v>30</v>
      </c>
      <c r="AG47" s="29">
        <f t="shared" si="28"/>
        <v>42900</v>
      </c>
      <c r="AH47" s="30">
        <v>36516.058796373225</v>
      </c>
      <c r="AI47" s="58">
        <f t="shared" si="31"/>
        <v>19.504889146558632</v>
      </c>
    </row>
    <row r="48" spans="1:50" x14ac:dyDescent="0.25">
      <c r="A48" s="1" t="s">
        <v>169</v>
      </c>
      <c r="B48" s="78">
        <f>(1+B15/100)*B47</f>
        <v>16636.493548387094</v>
      </c>
      <c r="C48" s="1" t="s">
        <v>3</v>
      </c>
      <c r="E48" s="105" t="s">
        <v>179</v>
      </c>
      <c r="F48" s="110">
        <f>(F46/F47)*J25</f>
        <v>4.9513083022388063E-2</v>
      </c>
      <c r="G48" s="105" t="s">
        <v>57</v>
      </c>
      <c r="L48" s="9"/>
      <c r="N48" s="31">
        <f t="shared" si="9"/>
        <v>0</v>
      </c>
      <c r="O48" s="31"/>
      <c r="P48" s="35">
        <f t="shared" si="1"/>
        <v>0</v>
      </c>
      <c r="Q48" s="36">
        <f t="shared" si="7"/>
        <v>0</v>
      </c>
      <c r="R48" s="37">
        <f t="shared" si="2"/>
        <v>0</v>
      </c>
      <c r="S48" s="37">
        <f t="shared" si="3"/>
        <v>0</v>
      </c>
      <c r="T48" s="37">
        <f t="shared" si="8"/>
        <v>0</v>
      </c>
      <c r="U48" s="37">
        <f t="shared" si="4"/>
        <v>0</v>
      </c>
      <c r="V48" s="37"/>
      <c r="W48" s="37">
        <f t="shared" si="5"/>
        <v>0</v>
      </c>
      <c r="X48" s="35">
        <f t="shared" si="6"/>
        <v>0</v>
      </c>
      <c r="Y48" s="34">
        <f t="shared" si="0"/>
        <v>0</v>
      </c>
      <c r="Z48" s="19"/>
      <c r="AA48" s="24">
        <f t="shared" si="32"/>
        <v>40</v>
      </c>
      <c r="AB48" s="25">
        <f t="shared" si="26"/>
        <v>6174</v>
      </c>
      <c r="AC48" s="30">
        <v>32365.307674612486</v>
      </c>
      <c r="AD48" s="58">
        <f t="shared" si="29"/>
        <v>5.9208642262614504</v>
      </c>
      <c r="AF48" s="24">
        <f t="shared" si="33"/>
        <v>40</v>
      </c>
      <c r="AG48" s="29">
        <f t="shared" si="28"/>
        <v>46200</v>
      </c>
      <c r="AH48" s="30">
        <v>37350.709072571459</v>
      </c>
      <c r="AI48" s="58">
        <f t="shared" si="31"/>
        <v>22.236421300382446</v>
      </c>
    </row>
    <row r="49" spans="1:35" x14ac:dyDescent="0.25">
      <c r="A49" s="21" t="s">
        <v>117</v>
      </c>
      <c r="B49" s="18">
        <f>SUM(B33:B35)+SUM(B47)</f>
        <v>17292.864052762816</v>
      </c>
      <c r="C49" s="1" t="s">
        <v>3</v>
      </c>
      <c r="E49" s="105" t="s">
        <v>180</v>
      </c>
      <c r="F49" s="107">
        <f>J26*365</f>
        <v>54750</v>
      </c>
      <c r="G49" s="105" t="s">
        <v>35</v>
      </c>
      <c r="L49" s="9"/>
      <c r="N49" s="32" t="s">
        <v>73</v>
      </c>
      <c r="O49" s="34">
        <f>SUM(O8:O48)</f>
        <v>5187.8592158288448</v>
      </c>
      <c r="P49" s="34">
        <f t="shared" ref="P49:W49" si="34">SUM(P8:P48)</f>
        <v>14695.495552318011</v>
      </c>
      <c r="Q49" s="34">
        <f t="shared" si="34"/>
        <v>1780.209818752684</v>
      </c>
      <c r="R49" s="34">
        <f t="shared" si="34"/>
        <v>0</v>
      </c>
      <c r="S49" s="34">
        <f t="shared" si="34"/>
        <v>6605.7293839495096</v>
      </c>
      <c r="T49" s="34">
        <f t="shared" si="34"/>
        <v>0</v>
      </c>
      <c r="U49" s="34">
        <f t="shared" si="34"/>
        <v>6875.4400639321275</v>
      </c>
      <c r="V49" s="34">
        <f t="shared" si="34"/>
        <v>12.172557728672642</v>
      </c>
      <c r="W49" s="34">
        <f t="shared" si="34"/>
        <v>0</v>
      </c>
      <c r="X49" s="34">
        <f>SUM(X8:X48)</f>
        <v>-4600.7853683893936</v>
      </c>
      <c r="Y49" s="34">
        <f>SUM(Y8:Y48)</f>
        <v>30556.121224120456</v>
      </c>
      <c r="Z49" s="19"/>
      <c r="AA49" s="24">
        <f t="shared" si="32"/>
        <v>50</v>
      </c>
      <c r="AB49" s="25">
        <f t="shared" si="26"/>
        <v>6615</v>
      </c>
      <c r="AC49" s="30">
        <v>32817.604287235488</v>
      </c>
      <c r="AD49" s="58">
        <f t="shared" si="29"/>
        <v>7.4010802828267952</v>
      </c>
      <c r="AF49" s="24">
        <f t="shared" si="33"/>
        <v>50</v>
      </c>
      <c r="AG49" s="29">
        <f t="shared" si="28"/>
        <v>49500</v>
      </c>
      <c r="AH49" s="30">
        <v>38185.359348769707</v>
      </c>
      <c r="AI49" s="58">
        <f t="shared" si="31"/>
        <v>24.967953454206313</v>
      </c>
    </row>
    <row r="50" spans="1:35" x14ac:dyDescent="0.25">
      <c r="A50" s="21" t="s">
        <v>188</v>
      </c>
      <c r="B50" s="18">
        <f>SUM(B31:B32)</f>
        <v>0</v>
      </c>
      <c r="C50" s="1" t="s">
        <v>3</v>
      </c>
      <c r="E50" s="105" t="s">
        <v>181</v>
      </c>
      <c r="F50" s="111">
        <f>F48*F49</f>
        <v>2710.8412954757464</v>
      </c>
      <c r="G50" s="112" t="s">
        <v>44</v>
      </c>
      <c r="L50" s="9"/>
      <c r="P50" s="18"/>
      <c r="S50" s="10">
        <f>S49+T49+V49</f>
        <v>6617.9019416781821</v>
      </c>
      <c r="Y50" s="10"/>
      <c r="Z50" s="10"/>
    </row>
    <row r="51" spans="1:35" x14ac:dyDescent="0.25">
      <c r="A51" s="21" t="s">
        <v>189</v>
      </c>
      <c r="B51" s="18">
        <f>SUM(B49:B50)</f>
        <v>17292.864052762816</v>
      </c>
      <c r="C51" s="1" t="s">
        <v>3</v>
      </c>
      <c r="E51" s="105" t="s">
        <v>182</v>
      </c>
      <c r="F51" s="107">
        <f>IF(F12&gt;F49,(F12-F49)*F48,0)</f>
        <v>0</v>
      </c>
      <c r="G51" s="112" t="s">
        <v>44</v>
      </c>
      <c r="L51" s="9"/>
      <c r="AA51" s="27" t="s">
        <v>66</v>
      </c>
      <c r="AB51" s="24"/>
      <c r="AC51" s="24"/>
      <c r="AD51" s="24"/>
      <c r="AF51" s="114" t="s">
        <v>176</v>
      </c>
      <c r="AG51" s="115"/>
      <c r="AH51" s="115"/>
      <c r="AI51" s="115"/>
    </row>
    <row r="52" spans="1:35" x14ac:dyDescent="0.25">
      <c r="L52" s="9"/>
      <c r="AA52" s="24" t="s">
        <v>76</v>
      </c>
      <c r="AB52" s="24" t="s">
        <v>66</v>
      </c>
      <c r="AC52" s="24" t="s">
        <v>72</v>
      </c>
      <c r="AD52" s="24" t="s">
        <v>80</v>
      </c>
      <c r="AF52" s="115" t="s">
        <v>76</v>
      </c>
      <c r="AG52" s="115" t="s">
        <v>185</v>
      </c>
      <c r="AH52" s="115" t="s">
        <v>72</v>
      </c>
      <c r="AI52" s="115" t="s">
        <v>80</v>
      </c>
    </row>
    <row r="53" spans="1:35" ht="15.75" thickBot="1" x14ac:dyDescent="0.3">
      <c r="A53" s="14"/>
      <c r="B53" s="15"/>
      <c r="C53" s="15"/>
      <c r="D53" s="15"/>
      <c r="E53" s="15"/>
      <c r="F53" s="15"/>
      <c r="G53" s="15"/>
      <c r="H53" s="15"/>
      <c r="I53" s="15"/>
      <c r="J53" s="15"/>
      <c r="K53" s="15"/>
      <c r="L53" s="16"/>
      <c r="O53" s="12" t="s">
        <v>102</v>
      </c>
      <c r="P53" s="12"/>
      <c r="AA53" s="24" t="s">
        <v>110</v>
      </c>
      <c r="AB53" s="29">
        <v>821.69999999999982</v>
      </c>
      <c r="AC53" s="30">
        <f>Y49</f>
        <v>30556.121224120456</v>
      </c>
      <c r="AD53" s="24"/>
      <c r="AF53" s="115" t="s">
        <v>110</v>
      </c>
      <c r="AG53" s="116">
        <v>150</v>
      </c>
      <c r="AH53" s="117">
        <f>Y49</f>
        <v>30556.121224120456</v>
      </c>
      <c r="AI53" s="115"/>
    </row>
    <row r="54" spans="1:35" x14ac:dyDescent="0.25">
      <c r="N54" s="50"/>
      <c r="O54" s="53" t="s">
        <v>103</v>
      </c>
      <c r="P54" s="54" t="s">
        <v>51</v>
      </c>
      <c r="Q54" s="50"/>
      <c r="R54" s="50"/>
      <c r="S54" s="50"/>
      <c r="T54" s="50"/>
      <c r="U54" s="50"/>
      <c r="V54" s="50"/>
      <c r="W54" s="70"/>
      <c r="Y54" s="68"/>
      <c r="Z54" s="68"/>
      <c r="AA54" s="24">
        <f t="shared" ref="AA54:AA57" si="35">AA55-10</f>
        <v>-50</v>
      </c>
      <c r="AB54" s="29">
        <f>$AB$53*(1+(AA54/100))</f>
        <v>410.84999999999991</v>
      </c>
      <c r="AC54" s="30">
        <f t="dataTable" ref="AC54:AC64" dt2D="0" dtr="0" r1="J41" ca="1"/>
        <v>27272.97475250563</v>
      </c>
      <c r="AD54" s="58">
        <f>100*((AC54-$AC$59)/$AC$59)</f>
        <v>-10.744644084679074</v>
      </c>
      <c r="AF54" s="115">
        <f t="shared" ref="AF54:AF56" si="36">AF55-20</f>
        <v>-100</v>
      </c>
      <c r="AG54" s="116">
        <f>$AG$53*(1+(AF54/100))</f>
        <v>0</v>
      </c>
      <c r="AH54" s="117">
        <f t="dataTable" ref="AH54:AH64" dt2D="0" dtr="0" r1="J26" ca="1"/>
        <v>30556.121224120456</v>
      </c>
      <c r="AI54" s="58">
        <f>100*((AH54-$AH$59)/$AH$59)</f>
        <v>0</v>
      </c>
    </row>
    <row r="55" spans="1:35" x14ac:dyDescent="0.25">
      <c r="O55" s="1" t="s">
        <v>104</v>
      </c>
      <c r="P55" s="10">
        <f>SUM(O49:P49)</f>
        <v>19883.354768146855</v>
      </c>
      <c r="Q55" s="1" t="s">
        <v>3</v>
      </c>
      <c r="R55" s="56">
        <f>P55/$J$34</f>
        <v>6.025259020650562E-2</v>
      </c>
      <c r="S55" s="1" t="s">
        <v>57</v>
      </c>
      <c r="W55" s="70"/>
      <c r="Y55" s="68"/>
      <c r="Z55" s="68"/>
      <c r="AA55" s="24">
        <f t="shared" si="35"/>
        <v>-40</v>
      </c>
      <c r="AB55" s="29">
        <f t="shared" ref="AB55:AB64" si="37">$AB$53*(1+(AA55/100))</f>
        <v>493.01999999999987</v>
      </c>
      <c r="AC55" s="30">
        <v>27929.604046828594</v>
      </c>
      <c r="AD55" s="58">
        <f t="shared" ref="AD55:AD64" si="38">100*((AC55-$AC$59)/$AC$59)</f>
        <v>-8.5957152677432642</v>
      </c>
      <c r="AF55" s="115">
        <f t="shared" si="36"/>
        <v>-80</v>
      </c>
      <c r="AG55" s="116">
        <f t="shared" ref="AG55:AG64" si="39">$AG$53*(1+(AF55/100))</f>
        <v>29.999999999999993</v>
      </c>
      <c r="AH55" s="117">
        <v>30556.121224120456</v>
      </c>
      <c r="AI55" s="58">
        <f t="shared" ref="AI55:AI64" si="40">100*((AH55-$AH$59)/$AH$59)</f>
        <v>0</v>
      </c>
    </row>
    <row r="56" spans="1:35" x14ac:dyDescent="0.25">
      <c r="O56" s="1" t="s">
        <v>97</v>
      </c>
      <c r="P56" s="52">
        <f>SUM(Q49:R49)</f>
        <v>1780.209818752684</v>
      </c>
      <c r="Q56" s="1" t="s">
        <v>3</v>
      </c>
      <c r="R56" s="56">
        <f>P56/$J$34</f>
        <v>5.3945752083414669E-3</v>
      </c>
      <c r="S56" s="1" t="s">
        <v>57</v>
      </c>
      <c r="U56" s="51"/>
      <c r="V56" s="51"/>
      <c r="W56" s="70"/>
      <c r="Y56" s="68"/>
      <c r="Z56" s="68"/>
      <c r="AA56" s="24">
        <f t="shared" si="35"/>
        <v>-30</v>
      </c>
      <c r="AB56" s="29">
        <f t="shared" si="37"/>
        <v>575.18999999999983</v>
      </c>
      <c r="AC56" s="30">
        <v>28586.233341151554</v>
      </c>
      <c r="AD56" s="58">
        <f t="shared" si="38"/>
        <v>-6.4467864508074664</v>
      </c>
      <c r="AF56" s="115">
        <f t="shared" si="36"/>
        <v>-60</v>
      </c>
      <c r="AG56" s="116">
        <f t="shared" si="39"/>
        <v>60</v>
      </c>
      <c r="AH56" s="117">
        <v>30556.121224120456</v>
      </c>
      <c r="AI56" s="58">
        <f t="shared" si="40"/>
        <v>0</v>
      </c>
    </row>
    <row r="57" spans="1:35" x14ac:dyDescent="0.25">
      <c r="O57" s="1" t="s">
        <v>115</v>
      </c>
      <c r="P57" s="52">
        <f>SUM(S49:T49)</f>
        <v>6605.7293839495096</v>
      </c>
      <c r="Q57" s="1" t="s">
        <v>3</v>
      </c>
      <c r="R57" s="56">
        <f>P57/$J$34</f>
        <v>2.0017361769543968E-2</v>
      </c>
      <c r="S57" s="1" t="s">
        <v>57</v>
      </c>
      <c r="U57" s="51"/>
      <c r="V57" s="51"/>
      <c r="W57" s="70"/>
      <c r="Y57" s="68"/>
      <c r="Z57" s="68"/>
      <c r="AA57" s="24">
        <f t="shared" si="35"/>
        <v>-20</v>
      </c>
      <c r="AB57" s="29">
        <f t="shared" si="37"/>
        <v>657.3599999999999</v>
      </c>
      <c r="AC57" s="30">
        <v>29242.862635474517</v>
      </c>
      <c r="AD57" s="58">
        <f t="shared" si="38"/>
        <v>-4.2978576338716561</v>
      </c>
      <c r="AF57" s="115">
        <f>AF58-20</f>
        <v>-40</v>
      </c>
      <c r="AG57" s="116">
        <f t="shared" si="39"/>
        <v>90</v>
      </c>
      <c r="AH57" s="117">
        <v>30556.121224120456</v>
      </c>
      <c r="AI57" s="58">
        <f t="shared" si="40"/>
        <v>0</v>
      </c>
    </row>
    <row r="58" spans="1:35" x14ac:dyDescent="0.25">
      <c r="O58" s="1" t="s">
        <v>105</v>
      </c>
      <c r="P58" s="52">
        <f>SUM(U49:W49)</f>
        <v>6887.6126216608</v>
      </c>
      <c r="Q58" s="1" t="s">
        <v>3</v>
      </c>
      <c r="R58" s="56">
        <f>P58/$J$34</f>
        <v>2.087155339897212E-2</v>
      </c>
      <c r="S58" s="1" t="s">
        <v>57</v>
      </c>
      <c r="U58" s="51"/>
      <c r="V58" s="51"/>
      <c r="W58" s="70"/>
      <c r="Y58" s="68"/>
      <c r="Z58" s="68"/>
      <c r="AA58" s="24">
        <f>AA59-10</f>
        <v>-10</v>
      </c>
      <c r="AB58" s="29">
        <f t="shared" si="37"/>
        <v>739.52999999999986</v>
      </c>
      <c r="AC58" s="30">
        <v>29899.491929797485</v>
      </c>
      <c r="AD58" s="58">
        <f t="shared" si="38"/>
        <v>-2.1489288169358338</v>
      </c>
      <c r="AF58" s="115">
        <f>AF59-20</f>
        <v>-20</v>
      </c>
      <c r="AG58" s="116">
        <f t="shared" si="39"/>
        <v>120</v>
      </c>
      <c r="AH58" s="117">
        <v>30556.121224120456</v>
      </c>
      <c r="AI58" s="58">
        <f t="shared" si="40"/>
        <v>0</v>
      </c>
    </row>
    <row r="59" spans="1:35" x14ac:dyDescent="0.25">
      <c r="O59" s="1" t="s">
        <v>106</v>
      </c>
      <c r="P59" s="52">
        <f>X49</f>
        <v>-4600.7853683893936</v>
      </c>
      <c r="Q59" s="1" t="s">
        <v>3</v>
      </c>
      <c r="R59" s="56">
        <f>P59/$J$34</f>
        <v>-1.3941773843604222E-2</v>
      </c>
      <c r="S59" s="1" t="s">
        <v>57</v>
      </c>
      <c r="U59" s="51"/>
      <c r="V59" s="51"/>
      <c r="W59" s="70"/>
      <c r="Y59" s="68"/>
      <c r="Z59" s="68"/>
      <c r="AA59" s="60">
        <v>0</v>
      </c>
      <c r="AB59" s="61">
        <f t="shared" si="37"/>
        <v>821.69999999999982</v>
      </c>
      <c r="AC59" s="62">
        <v>30556.121224120456</v>
      </c>
      <c r="AD59" s="63">
        <f t="shared" si="38"/>
        <v>0</v>
      </c>
      <c r="AF59" s="118">
        <v>0</v>
      </c>
      <c r="AG59" s="119">
        <f t="shared" si="39"/>
        <v>150</v>
      </c>
      <c r="AH59" s="120">
        <v>30556.121224120456</v>
      </c>
      <c r="AI59" s="63">
        <f t="shared" si="40"/>
        <v>0</v>
      </c>
    </row>
    <row r="60" spans="1:35" x14ac:dyDescent="0.25">
      <c r="O60" s="12" t="s">
        <v>74</v>
      </c>
      <c r="P60" s="55">
        <f>SUM(P55:P59)</f>
        <v>30556.121224120456</v>
      </c>
      <c r="Q60" s="12" t="s">
        <v>3</v>
      </c>
      <c r="R60" s="57">
        <f>SUM(R55:R59)</f>
        <v>9.259430673975895E-2</v>
      </c>
      <c r="S60" s="12" t="s">
        <v>57</v>
      </c>
      <c r="T60" s="12"/>
      <c r="U60" s="51"/>
      <c r="V60" s="51"/>
      <c r="W60" s="70"/>
      <c r="Y60" s="68"/>
      <c r="Z60" s="68"/>
      <c r="AA60" s="24">
        <f>AA59+10</f>
        <v>10</v>
      </c>
      <c r="AB60" s="29">
        <f t="shared" si="37"/>
        <v>903.86999999999989</v>
      </c>
      <c r="AC60" s="30">
        <v>31212.750518443423</v>
      </c>
      <c r="AD60" s="58">
        <f t="shared" si="38"/>
        <v>2.1489288169358223</v>
      </c>
      <c r="AF60" s="115">
        <f>AF59+20</f>
        <v>20</v>
      </c>
      <c r="AG60" s="116">
        <f t="shared" si="39"/>
        <v>180</v>
      </c>
      <c r="AH60" s="117">
        <v>30556.121224120456</v>
      </c>
      <c r="AI60" s="58">
        <f t="shared" si="40"/>
        <v>0</v>
      </c>
    </row>
    <row r="61" spans="1:35" x14ac:dyDescent="0.25">
      <c r="T61" s="51"/>
      <c r="U61" s="51"/>
      <c r="V61" s="51"/>
      <c r="W61" s="70"/>
      <c r="Y61" s="68"/>
      <c r="Z61" s="68"/>
      <c r="AA61" s="24">
        <f t="shared" ref="AA61:AA64" si="41">AA60+10</f>
        <v>20</v>
      </c>
      <c r="AB61" s="29">
        <f t="shared" si="37"/>
        <v>986.03999999999974</v>
      </c>
      <c r="AC61" s="30">
        <v>31869.37981276639</v>
      </c>
      <c r="AD61" s="58">
        <f t="shared" si="38"/>
        <v>4.2978576338716445</v>
      </c>
      <c r="AF61" s="115">
        <f t="shared" ref="AF61:AF64" si="42">AF60+20</f>
        <v>40</v>
      </c>
      <c r="AG61" s="116">
        <f t="shared" si="39"/>
        <v>210</v>
      </c>
      <c r="AH61" s="117">
        <v>30556.121224120456</v>
      </c>
      <c r="AI61" s="58">
        <f t="shared" si="40"/>
        <v>0</v>
      </c>
    </row>
    <row r="62" spans="1:35" x14ac:dyDescent="0.25">
      <c r="P62" s="51"/>
      <c r="Q62" s="51"/>
      <c r="R62" s="51"/>
      <c r="S62" s="51"/>
      <c r="T62" s="51"/>
      <c r="U62" s="51"/>
      <c r="V62" s="51"/>
      <c r="W62" s="70"/>
      <c r="Y62" s="68"/>
      <c r="Z62" s="68"/>
      <c r="AA62" s="24">
        <f t="shared" si="41"/>
        <v>30</v>
      </c>
      <c r="AB62" s="29">
        <f t="shared" si="37"/>
        <v>1068.2099999999998</v>
      </c>
      <c r="AC62" s="30">
        <v>32526.00910708935</v>
      </c>
      <c r="AD62" s="58">
        <f t="shared" si="38"/>
        <v>6.4467864508074415</v>
      </c>
      <c r="AF62" s="115">
        <f t="shared" si="42"/>
        <v>60</v>
      </c>
      <c r="AG62" s="116">
        <f t="shared" si="39"/>
        <v>240</v>
      </c>
      <c r="AH62" s="117">
        <v>30556.121224120456</v>
      </c>
      <c r="AI62" s="58">
        <f t="shared" si="40"/>
        <v>0</v>
      </c>
    </row>
    <row r="63" spans="1:35" x14ac:dyDescent="0.25">
      <c r="P63" s="51"/>
      <c r="Q63" s="51"/>
      <c r="R63" s="51"/>
      <c r="S63" s="51"/>
      <c r="T63" s="51"/>
      <c r="U63" s="51"/>
      <c r="V63" s="51"/>
      <c r="W63" s="70"/>
      <c r="Y63" s="68"/>
      <c r="Z63" s="68"/>
      <c r="AA63" s="24">
        <f t="shared" si="41"/>
        <v>40</v>
      </c>
      <c r="AB63" s="29">
        <f t="shared" si="37"/>
        <v>1150.3799999999997</v>
      </c>
      <c r="AC63" s="30">
        <v>33182.63840141231</v>
      </c>
      <c r="AD63" s="58">
        <f t="shared" si="38"/>
        <v>8.5957152677432411</v>
      </c>
      <c r="AF63" s="115">
        <f t="shared" si="42"/>
        <v>80</v>
      </c>
      <c r="AG63" s="116">
        <f t="shared" si="39"/>
        <v>270</v>
      </c>
      <c r="AH63" s="117">
        <v>30556.121224120456</v>
      </c>
      <c r="AI63" s="58">
        <f t="shared" si="40"/>
        <v>0</v>
      </c>
    </row>
    <row r="64" spans="1:35" x14ac:dyDescent="0.25">
      <c r="P64" s="51"/>
      <c r="Q64" s="51"/>
      <c r="R64" s="51"/>
      <c r="S64" s="51"/>
      <c r="T64" s="51"/>
      <c r="U64" s="51"/>
      <c r="V64" s="51"/>
      <c r="W64" s="70"/>
      <c r="Y64" s="68"/>
      <c r="Z64" s="68"/>
      <c r="AA64" s="24">
        <f t="shared" si="41"/>
        <v>50</v>
      </c>
      <c r="AB64" s="29">
        <f t="shared" si="37"/>
        <v>1232.5499999999997</v>
      </c>
      <c r="AC64" s="30">
        <v>33839.267695735289</v>
      </c>
      <c r="AD64" s="58">
        <f t="shared" si="38"/>
        <v>10.744644084679097</v>
      </c>
      <c r="AF64" s="115">
        <f t="shared" si="42"/>
        <v>100</v>
      </c>
      <c r="AG64" s="116">
        <f t="shared" si="39"/>
        <v>300</v>
      </c>
      <c r="AH64" s="117">
        <v>30556.121224120456</v>
      </c>
      <c r="AI64" s="58">
        <f t="shared" si="40"/>
        <v>0</v>
      </c>
    </row>
    <row r="65" spans="16:35" x14ac:dyDescent="0.25">
      <c r="P65" s="51"/>
      <c r="Q65" s="51"/>
      <c r="R65" s="51"/>
      <c r="S65" s="51"/>
      <c r="T65" s="51"/>
      <c r="U65" s="51"/>
      <c r="V65" s="51"/>
      <c r="W65" s="70"/>
      <c r="Y65" s="68"/>
      <c r="Z65" s="68"/>
      <c r="AG65" s="20"/>
      <c r="AH65" s="43"/>
      <c r="AI65" s="71"/>
    </row>
    <row r="66" spans="16:35" x14ac:dyDescent="0.25">
      <c r="P66" s="51"/>
      <c r="Q66" s="51"/>
      <c r="R66" s="51"/>
      <c r="S66" s="51"/>
      <c r="T66" s="51"/>
      <c r="U66" s="51"/>
      <c r="V66" s="51"/>
      <c r="W66" s="70"/>
      <c r="Y66" s="68"/>
      <c r="Z66" s="68"/>
      <c r="AA66" s="114" t="s">
        <v>213</v>
      </c>
      <c r="AB66" s="115"/>
      <c r="AC66" s="115"/>
      <c r="AD66" s="115"/>
      <c r="AG66" s="20"/>
      <c r="AH66" s="43"/>
      <c r="AI66" s="71"/>
    </row>
    <row r="67" spans="16:35" x14ac:dyDescent="0.25">
      <c r="P67" s="51"/>
      <c r="Q67" s="51"/>
      <c r="R67" s="51"/>
      <c r="S67" s="51"/>
      <c r="T67" s="51"/>
      <c r="U67" s="51"/>
      <c r="V67" s="51"/>
      <c r="W67" s="70"/>
      <c r="Y67" s="68"/>
      <c r="Z67" s="68"/>
      <c r="AA67" s="115" t="s">
        <v>76</v>
      </c>
      <c r="AB67" s="115" t="s">
        <v>213</v>
      </c>
      <c r="AC67" s="115" t="s">
        <v>72</v>
      </c>
      <c r="AD67" s="115" t="s">
        <v>80</v>
      </c>
    </row>
    <row r="68" spans="16:35" x14ac:dyDescent="0.25">
      <c r="P68" s="51"/>
      <c r="Q68" s="51"/>
      <c r="R68" s="51"/>
      <c r="S68" s="51"/>
      <c r="T68" s="51"/>
      <c r="U68" s="51"/>
      <c r="V68" s="51"/>
      <c r="W68" s="70"/>
      <c r="Y68" s="68"/>
      <c r="Z68" s="68"/>
      <c r="AA68" s="115" t="s">
        <v>110</v>
      </c>
      <c r="AB68" s="137">
        <v>0.14000000000000001</v>
      </c>
      <c r="AC68" s="117">
        <f>Y49</f>
        <v>30556.121224120456</v>
      </c>
      <c r="AD68" s="115"/>
    </row>
    <row r="69" spans="16:35" x14ac:dyDescent="0.25">
      <c r="P69" s="51"/>
      <c r="Q69" s="51"/>
      <c r="R69" s="51"/>
      <c r="S69" s="51"/>
      <c r="T69" s="51"/>
      <c r="U69" s="51"/>
      <c r="V69" s="51"/>
      <c r="W69" s="51"/>
      <c r="Y69" s="69"/>
      <c r="Z69" s="69"/>
      <c r="AA69" s="115">
        <f t="shared" ref="AA69:AA73" si="43">AA70-10</f>
        <v>-50</v>
      </c>
      <c r="AB69" s="137">
        <f>$AB$68*(1-(AA69/100))</f>
        <v>0.21000000000000002</v>
      </c>
      <c r="AC69" s="117">
        <f t="dataTable" ref="AC69:AC79" dt2D="0" dtr="0" r1="J17"/>
        <v>31446.226133496799</v>
      </c>
      <c r="AD69" s="138">
        <f>100*((AC69-$AC$74)/$AC$74)</f>
        <v>2.9130166844400076</v>
      </c>
    </row>
    <row r="70" spans="16:35" x14ac:dyDescent="0.25">
      <c r="P70" s="51"/>
      <c r="Q70" s="51"/>
      <c r="R70" s="51"/>
      <c r="S70" s="51"/>
      <c r="T70" s="51"/>
      <c r="U70" s="51"/>
      <c r="V70" s="51"/>
      <c r="W70" s="51"/>
      <c r="AA70" s="115">
        <f t="shared" si="43"/>
        <v>-40</v>
      </c>
      <c r="AB70" s="137">
        <f t="shared" ref="AB70:AB73" si="44">$AB$68*(1-(AA70/100))</f>
        <v>0.19600000000000001</v>
      </c>
      <c r="AC70" s="117">
        <v>31268.205151621522</v>
      </c>
      <c r="AD70" s="138">
        <f t="shared" ref="AD70:AD79" si="45">100*((AC70-$AC$74)/$AC$74)</f>
        <v>2.3304133475519775</v>
      </c>
    </row>
    <row r="71" spans="16:35" x14ac:dyDescent="0.25">
      <c r="P71" s="51"/>
      <c r="Q71" s="51"/>
      <c r="R71" s="51"/>
      <c r="S71" s="51"/>
      <c r="T71" s="51"/>
      <c r="U71" s="51"/>
      <c r="V71" s="51"/>
      <c r="W71" s="51"/>
      <c r="AA71" s="115">
        <f t="shared" si="43"/>
        <v>-30</v>
      </c>
      <c r="AB71" s="137">
        <f t="shared" si="44"/>
        <v>0.18200000000000002</v>
      </c>
      <c r="AC71" s="117">
        <v>31090.184169746251</v>
      </c>
      <c r="AD71" s="138">
        <f t="shared" si="45"/>
        <v>1.7478100106639711</v>
      </c>
    </row>
    <row r="72" spans="16:35" x14ac:dyDescent="0.25">
      <c r="P72" s="51"/>
      <c r="Q72" s="51"/>
      <c r="R72" s="51"/>
      <c r="S72" s="51"/>
      <c r="T72" s="51"/>
      <c r="U72" s="51"/>
      <c r="V72" s="51"/>
      <c r="W72" s="51"/>
      <c r="AA72" s="115">
        <f t="shared" si="43"/>
        <v>-20</v>
      </c>
      <c r="AB72" s="137">
        <f t="shared" si="44"/>
        <v>0.16800000000000001</v>
      </c>
      <c r="AC72" s="117">
        <v>30912.163187870989</v>
      </c>
      <c r="AD72" s="138">
        <f t="shared" si="45"/>
        <v>1.1652066737759887</v>
      </c>
    </row>
    <row r="73" spans="16:35" x14ac:dyDescent="0.25">
      <c r="P73" s="51"/>
      <c r="Q73" s="51"/>
      <c r="R73" s="51"/>
      <c r="S73" s="51"/>
      <c r="T73" s="51"/>
      <c r="U73" s="51"/>
      <c r="V73" s="51"/>
      <c r="W73" s="51"/>
      <c r="AA73" s="115">
        <f t="shared" si="43"/>
        <v>-10</v>
      </c>
      <c r="AB73" s="137">
        <f t="shared" si="44"/>
        <v>0.15400000000000003</v>
      </c>
      <c r="AC73" s="117">
        <v>30734.142205995726</v>
      </c>
      <c r="AD73" s="138">
        <f t="shared" si="45"/>
        <v>0.58260333688800625</v>
      </c>
    </row>
    <row r="74" spans="16:35" x14ac:dyDescent="0.25">
      <c r="P74" s="51"/>
      <c r="Q74" s="51"/>
      <c r="R74" s="51"/>
      <c r="S74" s="51"/>
      <c r="T74" s="51"/>
      <c r="U74" s="51"/>
      <c r="V74" s="51"/>
      <c r="W74" s="51"/>
      <c r="AA74" s="118">
        <v>0</v>
      </c>
      <c r="AB74" s="139">
        <f t="shared" ref="AB74" si="46">$AB$68*(1+(AA74/100))</f>
        <v>0.14000000000000001</v>
      </c>
      <c r="AC74" s="120">
        <v>30556.121224120456</v>
      </c>
      <c r="AD74" s="140">
        <f t="shared" si="45"/>
        <v>0</v>
      </c>
    </row>
    <row r="75" spans="16:35" x14ac:dyDescent="0.25">
      <c r="P75" s="51"/>
      <c r="Q75" s="51"/>
      <c r="R75" s="51"/>
      <c r="S75" s="51"/>
      <c r="T75" s="51"/>
      <c r="U75" s="51"/>
      <c r="V75" s="51"/>
      <c r="W75" s="51"/>
      <c r="AA75" s="115">
        <f t="shared" ref="AA75:AA79" si="47">AA74+10</f>
        <v>10</v>
      </c>
      <c r="AB75" s="137">
        <f t="shared" ref="AB75:AB79" si="48">$AB$68*(1-(AA75/100))</f>
        <v>0.12600000000000003</v>
      </c>
      <c r="AC75" s="117">
        <v>30378.100242245186</v>
      </c>
      <c r="AD75" s="138">
        <f t="shared" si="45"/>
        <v>-0.58260333688800625</v>
      </c>
    </row>
    <row r="76" spans="16:35" x14ac:dyDescent="0.25">
      <c r="P76" s="51"/>
      <c r="Q76" s="51"/>
      <c r="R76" s="51"/>
      <c r="S76" s="51"/>
      <c r="T76" s="51"/>
      <c r="U76" s="51"/>
      <c r="V76" s="51"/>
      <c r="W76" s="51"/>
      <c r="AA76" s="115">
        <f t="shared" si="47"/>
        <v>20</v>
      </c>
      <c r="AB76" s="137">
        <f t="shared" si="48"/>
        <v>0.11200000000000002</v>
      </c>
      <c r="AC76" s="117">
        <v>30200.079260369919</v>
      </c>
      <c r="AD76" s="138">
        <f t="shared" si="45"/>
        <v>-1.1652066737760007</v>
      </c>
    </row>
    <row r="77" spans="16:35" x14ac:dyDescent="0.25">
      <c r="P77" s="51"/>
      <c r="Q77" s="51"/>
      <c r="R77" s="51"/>
      <c r="S77" s="51"/>
      <c r="T77" s="51"/>
      <c r="U77" s="51"/>
      <c r="V77" s="51"/>
      <c r="W77" s="51"/>
      <c r="AA77" s="115">
        <f t="shared" si="47"/>
        <v>30</v>
      </c>
      <c r="AB77" s="137">
        <f t="shared" si="48"/>
        <v>9.8000000000000004E-2</v>
      </c>
      <c r="AC77" s="117">
        <v>30022.058278494649</v>
      </c>
      <c r="AD77" s="138">
        <f t="shared" si="45"/>
        <v>-1.7478100106640069</v>
      </c>
    </row>
    <row r="78" spans="16:35" x14ac:dyDescent="0.25">
      <c r="P78" s="51"/>
      <c r="Q78" s="51"/>
      <c r="R78" s="51"/>
      <c r="S78" s="51"/>
      <c r="T78" s="51"/>
      <c r="U78" s="51"/>
      <c r="V78" s="51"/>
      <c r="W78" s="51"/>
      <c r="AA78" s="115">
        <f t="shared" si="47"/>
        <v>40</v>
      </c>
      <c r="AB78" s="137">
        <f t="shared" si="48"/>
        <v>8.4000000000000005E-2</v>
      </c>
      <c r="AC78" s="117">
        <v>29844.037296619379</v>
      </c>
      <c r="AD78" s="138">
        <f t="shared" si="45"/>
        <v>-2.330413347552013</v>
      </c>
    </row>
    <row r="79" spans="16:35" x14ac:dyDescent="0.25">
      <c r="P79" s="51"/>
      <c r="Q79" s="51"/>
      <c r="R79" s="51"/>
      <c r="S79" s="51"/>
      <c r="T79" s="51"/>
      <c r="U79" s="51"/>
      <c r="V79" s="51"/>
      <c r="W79" s="51"/>
      <c r="AA79" s="115">
        <f t="shared" si="47"/>
        <v>50</v>
      </c>
      <c r="AB79" s="137">
        <f t="shared" si="48"/>
        <v>7.0000000000000007E-2</v>
      </c>
      <c r="AC79" s="117">
        <v>29666.016314744116</v>
      </c>
      <c r="AD79" s="138">
        <f t="shared" si="45"/>
        <v>-2.9130166844399956</v>
      </c>
    </row>
    <row r="80" spans="16:35" x14ac:dyDescent="0.25">
      <c r="P80" s="51"/>
      <c r="Q80" s="51"/>
      <c r="R80" s="51"/>
      <c r="S80" s="51"/>
      <c r="T80" s="51"/>
      <c r="U80" s="51"/>
      <c r="V80" s="51"/>
      <c r="W80" s="51"/>
    </row>
    <row r="81" spans="16:23" x14ac:dyDescent="0.25">
      <c r="P81" s="51"/>
      <c r="Q81" s="51"/>
      <c r="R81" s="51"/>
      <c r="S81" s="51"/>
      <c r="T81" s="51"/>
      <c r="U81" s="51"/>
      <c r="V81" s="51"/>
      <c r="W81" s="51"/>
    </row>
    <row r="82" spans="16:23" x14ac:dyDescent="0.25">
      <c r="P82" s="51"/>
      <c r="Q82" s="51"/>
      <c r="R82" s="51"/>
      <c r="S82" s="51"/>
      <c r="T82" s="51"/>
      <c r="U82" s="51"/>
      <c r="V82" s="51"/>
      <c r="W82" s="51"/>
    </row>
    <row r="83" spans="16:23" x14ac:dyDescent="0.25">
      <c r="P83" s="51"/>
      <c r="Q83" s="51"/>
      <c r="R83" s="51"/>
      <c r="S83" s="51"/>
      <c r="T83" s="51"/>
      <c r="U83" s="51"/>
      <c r="V83" s="51"/>
      <c r="W83" s="51"/>
    </row>
    <row r="84" spans="16:23" x14ac:dyDescent="0.25">
      <c r="P84" s="51"/>
      <c r="Q84" s="51"/>
      <c r="R84" s="51"/>
      <c r="S84" s="51"/>
      <c r="T84" s="51"/>
      <c r="U84" s="51"/>
      <c r="V84" s="51"/>
      <c r="W84" s="51"/>
    </row>
    <row r="85" spans="16:23" x14ac:dyDescent="0.25">
      <c r="P85" s="51"/>
      <c r="Q85" s="51"/>
      <c r="R85" s="51"/>
      <c r="S85" s="51"/>
      <c r="T85" s="51"/>
      <c r="U85" s="51"/>
      <c r="V85" s="51"/>
      <c r="W85" s="51"/>
    </row>
    <row r="86" spans="16:23" x14ac:dyDescent="0.25">
      <c r="P86" s="51"/>
      <c r="Q86" s="51"/>
      <c r="R86" s="51"/>
      <c r="S86" s="51"/>
      <c r="T86" s="51"/>
      <c r="U86" s="51"/>
      <c r="V86" s="51"/>
      <c r="W86" s="51"/>
    </row>
    <row r="87" spans="16:23" x14ac:dyDescent="0.25">
      <c r="P87" s="51"/>
      <c r="Q87" s="51"/>
      <c r="R87" s="51"/>
      <c r="S87" s="51"/>
      <c r="T87" s="51"/>
      <c r="U87" s="51"/>
      <c r="V87" s="51"/>
      <c r="W87" s="51"/>
    </row>
    <row r="88" spans="16:23" x14ac:dyDescent="0.25">
      <c r="P88" s="51"/>
      <c r="Q88" s="51"/>
      <c r="R88" s="51"/>
      <c r="S88" s="51"/>
      <c r="T88" s="51"/>
      <c r="U88" s="51"/>
      <c r="V88" s="51"/>
      <c r="W88" s="51"/>
    </row>
    <row r="89" spans="16:23" x14ac:dyDescent="0.25">
      <c r="P89" s="51"/>
      <c r="Q89" s="51"/>
      <c r="R89" s="51"/>
      <c r="S89" s="51"/>
      <c r="T89" s="51"/>
      <c r="U89" s="51"/>
      <c r="V89" s="51"/>
      <c r="W89" s="51"/>
    </row>
    <row r="90" spans="16:23" x14ac:dyDescent="0.25">
      <c r="P90" s="51"/>
      <c r="Q90" s="51"/>
      <c r="R90" s="51"/>
      <c r="S90" s="51"/>
      <c r="T90" s="51"/>
      <c r="U90" s="51"/>
      <c r="V90" s="51"/>
      <c r="W90" s="51"/>
    </row>
    <row r="91" spans="16:23" x14ac:dyDescent="0.25">
      <c r="P91" s="51"/>
      <c r="Q91" s="51"/>
      <c r="R91" s="51"/>
      <c r="S91" s="51"/>
      <c r="T91" s="51"/>
      <c r="U91" s="51"/>
      <c r="V91" s="51"/>
      <c r="W91" s="51"/>
    </row>
    <row r="92" spans="16:23" x14ac:dyDescent="0.25">
      <c r="P92" s="51"/>
      <c r="Q92" s="51"/>
      <c r="R92" s="51"/>
      <c r="S92" s="51"/>
      <c r="T92" s="51"/>
      <c r="U92" s="51"/>
      <c r="V92" s="51"/>
      <c r="W92" s="51"/>
    </row>
    <row r="93" spans="16:23" x14ac:dyDescent="0.25">
      <c r="P93" s="51"/>
      <c r="Q93" s="51"/>
      <c r="R93" s="51"/>
      <c r="S93" s="51"/>
      <c r="T93" s="51"/>
      <c r="U93" s="51"/>
      <c r="V93" s="51"/>
      <c r="W93" s="51"/>
    </row>
    <row r="94" spans="16:23" x14ac:dyDescent="0.25">
      <c r="P94" s="51"/>
      <c r="Q94" s="51"/>
      <c r="R94" s="51"/>
      <c r="S94" s="51"/>
      <c r="T94" s="51"/>
      <c r="U94" s="51"/>
      <c r="V94" s="51"/>
      <c r="W94" s="51"/>
    </row>
    <row r="95" spans="16:23" x14ac:dyDescent="0.25">
      <c r="P95" s="51"/>
      <c r="Q95" s="51"/>
      <c r="R95" s="51"/>
      <c r="S95" s="51"/>
      <c r="T95" s="51"/>
      <c r="U95" s="51"/>
      <c r="V95" s="51"/>
      <c r="W95" s="51"/>
    </row>
  </sheetData>
  <scenarios current="0" show="0">
    <scenario name="Vehicle Price" locked="1" count="1" user="Muhammad Indra al Irsyad" comment="Created by Muhammad Indra al Irsyad on 31/12/2023">
      <inputCells r="B45" val="10*(J9)"/>
    </scenario>
  </scenario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D02CAA6-02C1-4A1E-A5A4-9BC41C067DD0}">
          <x14:formula1>
            <xm:f>Description!$A$18:$A$19</xm:f>
          </x14:formula1>
          <xm:sqref>J24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D5251-53AB-4088-AB12-8A9D248F4D3B}">
  <sheetPr>
    <tabColor theme="4"/>
  </sheetPr>
  <dimension ref="A1:AP95"/>
  <sheetViews>
    <sheetView topLeftCell="U45" zoomScale="104" zoomScaleNormal="98" workbookViewId="0">
      <selection activeCell="AB60" sqref="AB60:AB64"/>
    </sheetView>
  </sheetViews>
  <sheetFormatPr defaultColWidth="8.85546875" defaultRowHeight="15" x14ac:dyDescent="0.25"/>
  <cols>
    <col min="1" max="1" width="52.7109375" style="1" bestFit="1" customWidth="1"/>
    <col min="2" max="2" width="17.5703125" style="1" bestFit="1" customWidth="1"/>
    <col min="3" max="3" width="16.28515625" style="1" customWidth="1"/>
    <col min="4" max="4" width="8.85546875" style="1" customWidth="1"/>
    <col min="5" max="5" width="48" style="1" customWidth="1"/>
    <col min="6" max="6" width="14.28515625" style="1" customWidth="1"/>
    <col min="7" max="7" width="8.85546875" style="1" customWidth="1"/>
    <col min="8" max="8" width="19.28515625" style="1" customWidth="1"/>
    <col min="9" max="9" width="37.85546875" style="1" customWidth="1"/>
    <col min="10" max="10" width="17.42578125" style="1" customWidth="1"/>
    <col min="11" max="14" width="8.85546875" style="1" customWidth="1"/>
    <col min="15" max="15" width="20" style="1" customWidth="1"/>
    <col min="16" max="16" width="16.28515625" style="1" customWidth="1"/>
    <col min="17" max="17" width="25.28515625" style="1" customWidth="1"/>
    <col min="18" max="18" width="16.42578125" style="1" bestFit="1" customWidth="1"/>
    <col min="19" max="20" width="16" style="1" customWidth="1"/>
    <col min="21" max="21" width="22" style="1" customWidth="1"/>
    <col min="22" max="22" width="23.85546875" style="1" customWidth="1"/>
    <col min="23" max="23" width="12.85546875" style="1" customWidth="1"/>
    <col min="24" max="24" width="19.42578125" style="1" customWidth="1"/>
    <col min="25" max="25" width="13.42578125" style="1" bestFit="1" customWidth="1"/>
    <col min="26" max="26" width="8.85546875" style="1"/>
    <col min="27" max="27" width="20.140625" style="1" bestFit="1" customWidth="1"/>
    <col min="28" max="28" width="25" style="1" bestFit="1" customWidth="1"/>
    <col min="29" max="29" width="12.85546875" style="1" customWidth="1"/>
    <col min="30" max="30" width="19" style="1" customWidth="1"/>
    <col min="31" max="31" width="4.7109375" style="1" customWidth="1"/>
    <col min="32" max="32" width="20.140625" style="1" bestFit="1" customWidth="1"/>
    <col min="33" max="33" width="19.28515625" style="1" bestFit="1" customWidth="1"/>
    <col min="34" max="34" width="11.28515625" style="1" bestFit="1" customWidth="1"/>
    <col min="35" max="35" width="17.85546875" style="1" bestFit="1" customWidth="1"/>
    <col min="36" max="16384" width="8.85546875" style="1"/>
  </cols>
  <sheetData>
    <row r="1" spans="1:31" x14ac:dyDescent="0.25">
      <c r="A1" s="12" t="s">
        <v>1</v>
      </c>
      <c r="B1" s="12" t="s">
        <v>149</v>
      </c>
      <c r="C1" s="12"/>
    </row>
    <row r="2" spans="1:31" x14ac:dyDescent="0.25">
      <c r="A2" s="12" t="s">
        <v>74</v>
      </c>
      <c r="B2" s="19">
        <f>V49</f>
        <v>31604.898226783283</v>
      </c>
      <c r="C2" s="12" t="s">
        <v>3</v>
      </c>
    </row>
    <row r="3" spans="1:31" x14ac:dyDescent="0.25">
      <c r="B3" s="44">
        <f>B2/F41</f>
        <v>9.5772418869040254E-2</v>
      </c>
      <c r="C3" s="12" t="s">
        <v>57</v>
      </c>
      <c r="F3" s="77"/>
      <c r="H3" s="46"/>
    </row>
    <row r="4" spans="1:31" x14ac:dyDescent="0.25">
      <c r="A4" s="12" t="s">
        <v>59</v>
      </c>
      <c r="F4" s="93"/>
      <c r="J4" s="77"/>
      <c r="N4" s="12" t="s">
        <v>79</v>
      </c>
      <c r="AA4" s="12" t="s">
        <v>75</v>
      </c>
    </row>
    <row r="5" spans="1:31" x14ac:dyDescent="0.25">
      <c r="A5" s="1" t="s">
        <v>36</v>
      </c>
      <c r="B5" s="2">
        <v>10</v>
      </c>
      <c r="C5" s="1" t="s">
        <v>37</v>
      </c>
      <c r="E5" s="22"/>
      <c r="F5" s="77"/>
      <c r="H5" s="77"/>
      <c r="J5" s="77"/>
    </row>
    <row r="6" spans="1:31" ht="15.75" thickBot="1" x14ac:dyDescent="0.3">
      <c r="B6" s="2"/>
      <c r="E6" s="22"/>
      <c r="F6" s="77"/>
      <c r="H6" s="77"/>
      <c r="N6" s="1" t="s">
        <v>100</v>
      </c>
      <c r="AA6" s="39"/>
      <c r="AB6" s="39"/>
      <c r="AC6" s="39"/>
    </row>
    <row r="7" spans="1:31" x14ac:dyDescent="0.25">
      <c r="A7" s="3" t="s">
        <v>24</v>
      </c>
      <c r="B7" s="4"/>
      <c r="C7" s="4"/>
      <c r="D7" s="4"/>
      <c r="E7" s="4"/>
      <c r="F7" s="4"/>
      <c r="G7" s="4"/>
      <c r="H7" s="6"/>
      <c r="I7" s="5" t="s">
        <v>43</v>
      </c>
      <c r="J7" s="4"/>
      <c r="K7" s="4"/>
      <c r="L7" s="6"/>
      <c r="N7" s="31" t="s">
        <v>61</v>
      </c>
      <c r="O7" s="31" t="s">
        <v>65</v>
      </c>
      <c r="P7" s="31" t="s">
        <v>67</v>
      </c>
      <c r="Q7" s="31" t="s">
        <v>127</v>
      </c>
      <c r="R7" s="31" t="s">
        <v>122</v>
      </c>
      <c r="S7" s="31" t="s">
        <v>163</v>
      </c>
      <c r="T7" s="31" t="s">
        <v>165</v>
      </c>
      <c r="U7" s="31" t="s">
        <v>101</v>
      </c>
      <c r="V7" s="32" t="s">
        <v>72</v>
      </c>
      <c r="W7" s="12"/>
      <c r="X7" s="1" t="s">
        <v>124</v>
      </c>
      <c r="AA7" s="39" t="s">
        <v>113</v>
      </c>
      <c r="AB7" s="39"/>
      <c r="AC7" s="39"/>
    </row>
    <row r="8" spans="1:31" x14ac:dyDescent="0.25">
      <c r="A8" s="7" t="s">
        <v>0</v>
      </c>
      <c r="B8" s="81">
        <v>21276.42</v>
      </c>
      <c r="C8" s="1" t="s">
        <v>151</v>
      </c>
      <c r="H8" s="9"/>
      <c r="I8" s="22" t="s">
        <v>190</v>
      </c>
      <c r="J8" s="8">
        <v>98828970.899999991</v>
      </c>
      <c r="K8" s="1" t="s">
        <v>150</v>
      </c>
      <c r="L8" s="9"/>
      <c r="N8" s="31">
        <v>0</v>
      </c>
      <c r="O8" s="33">
        <f>F31</f>
        <v>249.02215425104416</v>
      </c>
      <c r="P8" s="31"/>
      <c r="Q8" s="31"/>
      <c r="R8" s="31"/>
      <c r="S8" s="31">
        <v>0</v>
      </c>
      <c r="T8" s="31">
        <f>F16/B8</f>
        <v>4.9350407634367066</v>
      </c>
      <c r="U8" s="31"/>
      <c r="V8" s="34">
        <f>SUM(O8:U8)</f>
        <v>253.95719501448087</v>
      </c>
      <c r="W8" s="19"/>
      <c r="X8" s="2"/>
      <c r="AA8" s="39" t="s">
        <v>195</v>
      </c>
      <c r="AB8" s="72">
        <f>F36</f>
        <v>0.99264819927412606</v>
      </c>
      <c r="AC8" s="39" t="s">
        <v>108</v>
      </c>
    </row>
    <row r="9" spans="1:31" x14ac:dyDescent="0.25">
      <c r="A9" s="7"/>
      <c r="F9" s="20"/>
      <c r="H9" s="9"/>
      <c r="I9" s="22" t="s">
        <v>55</v>
      </c>
      <c r="J9" s="13">
        <v>7.2499999999999995E-2</v>
      </c>
      <c r="K9" s="1" t="s">
        <v>56</v>
      </c>
      <c r="L9" s="9"/>
      <c r="N9" s="31">
        <v>1</v>
      </c>
      <c r="O9" s="31"/>
      <c r="P9" s="35">
        <f>IF(N9&gt;0,IF(N9&lt;=$J$16,(($F$32+$F$33)/$J$16)/((1+($F$11/100))^N9),0),0)</f>
        <v>907.27151117350695</v>
      </c>
      <c r="Q9" s="36">
        <f t="shared" ref="Q9:Q48" si="0">IF(N9&gt;0,($F$38*((1+($F$14/100))^(N9-1)))/((1+($F$11/100))^N9),0)</f>
        <v>2276.999824317686</v>
      </c>
      <c r="R9" s="37">
        <f t="shared" ref="R9:R48" si="1">IF(N9&gt;0,$J$30/((1+($F$11/100))^N9),0)</f>
        <v>1008.8207839354187</v>
      </c>
      <c r="S9" s="31">
        <v>0</v>
      </c>
      <c r="T9" s="37"/>
      <c r="U9" s="35">
        <f t="shared" ref="U9:U18" si="2">IF(N9=$B$5,((((1-$J$11/100)^N9)*$B$44)/((1+($F$11/100))^N9))*-1,0)</f>
        <v>0</v>
      </c>
      <c r="V9" s="34">
        <f t="shared" ref="V9:V48" si="3">SUM(O9:U9)</f>
        <v>4193.092119426612</v>
      </c>
      <c r="W9" s="19"/>
      <c r="X9" s="2">
        <f t="shared" ref="X9:X48" si="4">IF(N9&gt;0,((((1-$J$11/100)^N9)*$B$46/((1+($F$11/100))^N9))),0)</f>
        <v>4437.0352009601193</v>
      </c>
      <c r="AA9" s="39" t="s">
        <v>189</v>
      </c>
      <c r="AB9" s="73">
        <f>B48</f>
        <v>4980.4430850208828</v>
      </c>
      <c r="AC9" s="39" t="s">
        <v>3</v>
      </c>
      <c r="AE9" s="2"/>
    </row>
    <row r="10" spans="1:31" x14ac:dyDescent="0.25">
      <c r="A10" s="11" t="s">
        <v>42</v>
      </c>
      <c r="E10" s="12" t="s">
        <v>45</v>
      </c>
      <c r="H10" s="9"/>
      <c r="I10" s="38" t="s">
        <v>71</v>
      </c>
      <c r="J10" s="39">
        <v>30</v>
      </c>
      <c r="K10" s="39" t="s">
        <v>22</v>
      </c>
      <c r="L10" s="9"/>
      <c r="N10" s="31">
        <f>IF((N9+1)&gt;$B$5,,IF(N9=0,,N9+1))</f>
        <v>2</v>
      </c>
      <c r="O10" s="31"/>
      <c r="P10" s="35">
        <f t="shared" ref="P10:P48" si="5">IF(N10&gt;0,IF(N10&lt;=$J$16,(($F$32+$F$33)/$J$16)/((1+($F$11/100))^N10),0),0)</f>
        <v>869.86722068409108</v>
      </c>
      <c r="Q10" s="36">
        <f t="shared" si="0"/>
        <v>2215.8723122554661</v>
      </c>
      <c r="R10" s="37">
        <f t="shared" si="1"/>
        <v>967.22989830816755</v>
      </c>
      <c r="S10" s="31">
        <v>0</v>
      </c>
      <c r="T10" s="37"/>
      <c r="U10" s="35">
        <f t="shared" si="2"/>
        <v>0</v>
      </c>
      <c r="V10" s="34">
        <f t="shared" si="3"/>
        <v>4052.969431247725</v>
      </c>
      <c r="W10" s="19"/>
      <c r="X10" s="2">
        <f t="shared" si="4"/>
        <v>3952.9176497911249</v>
      </c>
      <c r="AA10" s="39" t="s">
        <v>111</v>
      </c>
      <c r="AB10" s="74">
        <f>F12</f>
        <v>33000</v>
      </c>
      <c r="AC10" s="39" t="s">
        <v>35</v>
      </c>
      <c r="AE10" s="2"/>
    </row>
    <row r="11" spans="1:31" x14ac:dyDescent="0.25">
      <c r="A11" s="21" t="s">
        <v>187</v>
      </c>
      <c r="B11" s="1">
        <v>0</v>
      </c>
      <c r="C11" s="1" t="s">
        <v>4</v>
      </c>
      <c r="E11" s="22" t="s">
        <v>46</v>
      </c>
      <c r="F11" s="1">
        <v>4.3</v>
      </c>
      <c r="G11" s="1" t="s">
        <v>4</v>
      </c>
      <c r="H11" s="9"/>
      <c r="I11" s="38" t="s">
        <v>91</v>
      </c>
      <c r="J11" s="39">
        <v>7.08</v>
      </c>
      <c r="K11" s="39" t="s">
        <v>23</v>
      </c>
      <c r="L11" s="9"/>
      <c r="N11" s="31">
        <f t="shared" ref="N11:N48" si="6">IF((N10+1)&gt;$B$5,,IF(N10=0,,N10+1))</f>
        <v>3</v>
      </c>
      <c r="O11" s="31"/>
      <c r="P11" s="35">
        <f t="shared" si="5"/>
        <v>834.00500544975182</v>
      </c>
      <c r="Q11" s="36">
        <f t="shared" si="0"/>
        <v>2156.3858072284734</v>
      </c>
      <c r="R11" s="37">
        <f t="shared" si="1"/>
        <v>927.3536896530851</v>
      </c>
      <c r="S11" s="31">
        <v>0</v>
      </c>
      <c r="T11" s="37"/>
      <c r="U11" s="35">
        <f t="shared" si="2"/>
        <v>0</v>
      </c>
      <c r="V11" s="34">
        <f t="shared" si="3"/>
        <v>3917.7445023313103</v>
      </c>
      <c r="W11" s="19"/>
      <c r="X11" s="2">
        <f t="shared" si="4"/>
        <v>3521.621361635584</v>
      </c>
      <c r="AA11" s="79" t="s">
        <v>66</v>
      </c>
      <c r="AB11" s="43">
        <f>J35</f>
        <v>1042.8000000000002</v>
      </c>
      <c r="AC11" s="1" t="s">
        <v>44</v>
      </c>
      <c r="AE11" s="2"/>
    </row>
    <row r="12" spans="1:31" x14ac:dyDescent="0.25">
      <c r="A12" s="21" t="s">
        <v>5</v>
      </c>
      <c r="B12" s="1">
        <v>0</v>
      </c>
      <c r="C12" s="1" t="s">
        <v>4</v>
      </c>
      <c r="E12" s="22" t="s">
        <v>89</v>
      </c>
      <c r="F12" s="77">
        <v>33000</v>
      </c>
      <c r="G12" s="1" t="s">
        <v>35</v>
      </c>
      <c r="H12" s="9"/>
      <c r="L12" s="9"/>
      <c r="N12" s="31">
        <f t="shared" si="6"/>
        <v>4</v>
      </c>
      <c r="O12" s="31"/>
      <c r="P12" s="35">
        <f t="shared" si="5"/>
        <v>799.62128998058665</v>
      </c>
      <c r="Q12" s="36">
        <f t="shared" si="0"/>
        <v>2098.4962553565683</v>
      </c>
      <c r="R12" s="37">
        <f t="shared" si="1"/>
        <v>889.12146658972677</v>
      </c>
      <c r="S12" s="31">
        <v>0</v>
      </c>
      <c r="T12" s="37"/>
      <c r="U12" s="35">
        <f t="shared" si="2"/>
        <v>0</v>
      </c>
      <c r="V12" s="34">
        <f t="shared" si="3"/>
        <v>3787.2390119268821</v>
      </c>
      <c r="W12" s="19"/>
      <c r="X12" s="2">
        <f t="shared" si="4"/>
        <v>3137.383096099506</v>
      </c>
      <c r="AA12" s="105" t="s">
        <v>213</v>
      </c>
      <c r="AB12" s="100">
        <f>J9</f>
        <v>7.2499999999999995E-2</v>
      </c>
      <c r="AC12" s="105" t="str">
        <f>K9</f>
        <v>L/km</v>
      </c>
      <c r="AE12" s="2"/>
    </row>
    <row r="13" spans="1:31" x14ac:dyDescent="0.25">
      <c r="A13" s="1" t="s">
        <v>167</v>
      </c>
      <c r="B13" s="1">
        <v>0</v>
      </c>
      <c r="C13" s="1" t="s">
        <v>4</v>
      </c>
      <c r="E13" s="22" t="s">
        <v>54</v>
      </c>
      <c r="F13" s="8">
        <v>21120</v>
      </c>
      <c r="G13" s="1" t="s">
        <v>154</v>
      </c>
      <c r="H13" s="9"/>
      <c r="L13" s="9"/>
      <c r="N13" s="31">
        <f t="shared" si="6"/>
        <v>5</v>
      </c>
      <c r="O13" s="31"/>
      <c r="P13" s="35">
        <f t="shared" si="5"/>
        <v>766.65511982798341</v>
      </c>
      <c r="Q13" s="36">
        <f t="shared" si="0"/>
        <v>2042.1607854141096</v>
      </c>
      <c r="R13" s="37">
        <f t="shared" si="1"/>
        <v>852.4654521473891</v>
      </c>
      <c r="S13" s="37">
        <f>IF(N13&gt;0,($F$15/$B$8)/((1+($F$11/100))^N13),0)</f>
        <v>7.615701243339057</v>
      </c>
      <c r="T13" s="37">
        <f>IF(N13&gt;0,($F$16/$B$8)/((1+($F$11/100))^N13),0)</f>
        <v>3.9982431527530049</v>
      </c>
      <c r="U13" s="35">
        <f t="shared" si="2"/>
        <v>0</v>
      </c>
      <c r="V13" s="34">
        <f t="shared" si="3"/>
        <v>3672.8953017855738</v>
      </c>
      <c r="W13" s="19"/>
      <c r="X13" s="2">
        <f t="shared" si="4"/>
        <v>2795.068430388937</v>
      </c>
      <c r="AE13" s="2"/>
    </row>
    <row r="14" spans="1:31" x14ac:dyDescent="0.25">
      <c r="A14" s="21" t="s">
        <v>6</v>
      </c>
      <c r="B14" s="1">
        <v>7</v>
      </c>
      <c r="C14" s="1" t="s">
        <v>4</v>
      </c>
      <c r="E14" s="22" t="s">
        <v>107</v>
      </c>
      <c r="F14" s="1">
        <v>1.5</v>
      </c>
      <c r="G14" s="1" t="s">
        <v>69</v>
      </c>
      <c r="H14" s="9"/>
      <c r="I14" s="22"/>
      <c r="J14" s="8"/>
      <c r="L14" s="9"/>
      <c r="N14" s="31">
        <f t="shared" si="6"/>
        <v>6</v>
      </c>
      <c r="O14" s="31"/>
      <c r="P14" s="35">
        <f t="shared" si="5"/>
        <v>0</v>
      </c>
      <c r="Q14" s="36">
        <f t="shared" si="0"/>
        <v>1987.3376770808447</v>
      </c>
      <c r="R14" s="37">
        <f t="shared" si="1"/>
        <v>817.32066361207012</v>
      </c>
      <c r="S14" s="37">
        <v>0</v>
      </c>
      <c r="T14" s="37"/>
      <c r="U14" s="35">
        <f t="shared" si="2"/>
        <v>0</v>
      </c>
      <c r="V14" s="34">
        <f t="shared" si="3"/>
        <v>2804.6583406929149</v>
      </c>
      <c r="W14" s="19"/>
      <c r="X14" s="2">
        <f t="shared" si="4"/>
        <v>2490.1031500646218</v>
      </c>
      <c r="AE14" s="2"/>
    </row>
    <row r="15" spans="1:31" x14ac:dyDescent="0.25">
      <c r="A15" s="21" t="s">
        <v>157</v>
      </c>
      <c r="B15" s="1">
        <v>8</v>
      </c>
      <c r="C15" s="1" t="s">
        <v>4</v>
      </c>
      <c r="E15" s="22" t="s">
        <v>163</v>
      </c>
      <c r="F15" s="77">
        <v>200000</v>
      </c>
      <c r="G15" s="1" t="s">
        <v>164</v>
      </c>
      <c r="H15" s="9"/>
      <c r="I15" s="12" t="s">
        <v>18</v>
      </c>
      <c r="L15" s="9"/>
      <c r="N15" s="31">
        <f t="shared" si="6"/>
        <v>7</v>
      </c>
      <c r="O15" s="31"/>
      <c r="P15" s="35">
        <f t="shared" si="5"/>
        <v>0</v>
      </c>
      <c r="Q15" s="36">
        <f t="shared" si="0"/>
        <v>1933.9863300451175</v>
      </c>
      <c r="R15" s="37">
        <f t="shared" si="1"/>
        <v>783.62479732700899</v>
      </c>
      <c r="S15" s="37">
        <v>0</v>
      </c>
      <c r="T15" s="37"/>
      <c r="U15" s="35">
        <f t="shared" si="2"/>
        <v>0</v>
      </c>
      <c r="V15" s="34">
        <f t="shared" si="3"/>
        <v>2717.6111273721262</v>
      </c>
      <c r="W15" s="19"/>
      <c r="X15" s="2">
        <f t="shared" si="4"/>
        <v>2218.4121256376288</v>
      </c>
      <c r="AE15" s="2"/>
    </row>
    <row r="16" spans="1:31" x14ac:dyDescent="0.25">
      <c r="A16" s="21" t="s">
        <v>197</v>
      </c>
      <c r="B16" s="77">
        <v>219000</v>
      </c>
      <c r="C16" s="1" t="s">
        <v>150</v>
      </c>
      <c r="E16" s="22" t="s">
        <v>165</v>
      </c>
      <c r="F16" s="2">
        <v>105000</v>
      </c>
      <c r="G16" s="1" t="s">
        <v>164</v>
      </c>
      <c r="H16" s="9"/>
      <c r="I16" s="22" t="s">
        <v>19</v>
      </c>
      <c r="J16" s="1">
        <v>5</v>
      </c>
      <c r="K16" s="1" t="s">
        <v>22</v>
      </c>
      <c r="L16" s="9"/>
      <c r="N16" s="31">
        <f t="shared" si="6"/>
        <v>8</v>
      </c>
      <c r="O16" s="31"/>
      <c r="P16" s="35">
        <f t="shared" si="5"/>
        <v>0</v>
      </c>
      <c r="Q16" s="36">
        <f t="shared" si="0"/>
        <v>1882.0672339365235</v>
      </c>
      <c r="R16" s="37">
        <f t="shared" si="1"/>
        <v>751.31811824257807</v>
      </c>
      <c r="S16" s="37">
        <v>0</v>
      </c>
      <c r="T16" s="37"/>
      <c r="U16" s="35">
        <f t="shared" si="2"/>
        <v>0</v>
      </c>
      <c r="V16" s="34">
        <f t="shared" si="3"/>
        <v>2633.3853521791016</v>
      </c>
      <c r="W16" s="19"/>
      <c r="X16" s="2">
        <f t="shared" si="4"/>
        <v>1976.3648582382405</v>
      </c>
      <c r="AE16" s="2"/>
    </row>
    <row r="17" spans="1:42" x14ac:dyDescent="0.25">
      <c r="A17" s="21" t="s">
        <v>162</v>
      </c>
      <c r="B17" s="1">
        <v>0</v>
      </c>
      <c r="C17" s="1" t="s">
        <v>4</v>
      </c>
      <c r="E17" s="22" t="s">
        <v>166</v>
      </c>
      <c r="F17" s="77">
        <v>200000</v>
      </c>
      <c r="G17" s="1" t="s">
        <v>155</v>
      </c>
      <c r="H17" s="9"/>
      <c r="I17" s="22" t="s">
        <v>20</v>
      </c>
      <c r="J17" s="1">
        <v>30</v>
      </c>
      <c r="K17" s="1" t="s">
        <v>21</v>
      </c>
      <c r="L17" s="9"/>
      <c r="N17" s="31">
        <f t="shared" si="6"/>
        <v>9</v>
      </c>
      <c r="O17" s="31"/>
      <c r="P17" s="35">
        <f t="shared" si="5"/>
        <v>0</v>
      </c>
      <c r="Q17" s="36">
        <f t="shared" si="0"/>
        <v>1831.5419390657444</v>
      </c>
      <c r="R17" s="37">
        <f t="shared" si="1"/>
        <v>720.34335401972976</v>
      </c>
      <c r="S17" s="37">
        <v>0</v>
      </c>
      <c r="T17" s="37"/>
      <c r="U17" s="35">
        <f t="shared" si="2"/>
        <v>0</v>
      </c>
      <c r="V17" s="34">
        <f t="shared" si="3"/>
        <v>2551.8852930854741</v>
      </c>
      <c r="W17" s="19"/>
      <c r="X17" s="2">
        <f t="shared" si="4"/>
        <v>1760.72696670659</v>
      </c>
      <c r="AE17" s="2"/>
    </row>
    <row r="18" spans="1:42" x14ac:dyDescent="0.25">
      <c r="E18" s="22" t="s">
        <v>66</v>
      </c>
      <c r="F18" s="77">
        <v>672.33487200000002</v>
      </c>
      <c r="G18" s="1" t="s">
        <v>155</v>
      </c>
      <c r="H18" s="9"/>
      <c r="J18" s="77"/>
      <c r="L18" s="9"/>
      <c r="N18" s="31">
        <f t="shared" si="6"/>
        <v>10</v>
      </c>
      <c r="O18" s="31"/>
      <c r="P18" s="35">
        <f t="shared" si="5"/>
        <v>0</v>
      </c>
      <c r="Q18" s="36">
        <f t="shared" si="0"/>
        <v>1782.373027949885</v>
      </c>
      <c r="R18" s="37">
        <f t="shared" si="1"/>
        <v>690.64559349926151</v>
      </c>
      <c r="S18" s="37">
        <f>IF(N18&gt;0,($F$15/$B$8)/((1+($F$11/100))^N18),0)</f>
        <v>6.1700453571103422</v>
      </c>
      <c r="T18" s="37">
        <f>IF(N18&gt;0,($F$16/$B$8)/((1+($F$11/100))^N18),0)</f>
        <v>3.2392738124829297</v>
      </c>
      <c r="U18" s="35">
        <f t="shared" si="2"/>
        <v>-1462.9673888976561</v>
      </c>
      <c r="V18" s="34">
        <f t="shared" si="3"/>
        <v>1019.4605517210837</v>
      </c>
      <c r="W18" s="19"/>
      <c r="X18" s="2">
        <f t="shared" si="4"/>
        <v>1568.6169678463698</v>
      </c>
      <c r="AE18" s="2"/>
    </row>
    <row r="19" spans="1:42" x14ac:dyDescent="0.25">
      <c r="E19" s="22" t="s">
        <v>39</v>
      </c>
      <c r="F19" s="1">
        <v>7.5</v>
      </c>
      <c r="G19" s="1" t="s">
        <v>23</v>
      </c>
      <c r="H19" s="9"/>
      <c r="L19" s="9"/>
      <c r="N19" s="31">
        <f t="shared" si="6"/>
        <v>0</v>
      </c>
      <c r="O19" s="31"/>
      <c r="P19" s="35">
        <f t="shared" si="5"/>
        <v>0</v>
      </c>
      <c r="Q19" s="36">
        <f t="shared" si="0"/>
        <v>0</v>
      </c>
      <c r="R19" s="37">
        <f t="shared" si="1"/>
        <v>0</v>
      </c>
      <c r="S19" s="37"/>
      <c r="T19" s="37"/>
      <c r="U19" s="35">
        <f t="shared" ref="U19:U48" si="7">IF(N19=$B$5,((((1-$J$11/100)^N19)*$B$46)/((1+($F$11/100))^N19))*-1,0)</f>
        <v>0</v>
      </c>
      <c r="V19" s="34">
        <f t="shared" si="3"/>
        <v>0</v>
      </c>
      <c r="W19" s="19"/>
      <c r="X19" s="2">
        <f t="shared" si="4"/>
        <v>0</v>
      </c>
      <c r="AE19" s="2"/>
    </row>
    <row r="20" spans="1:42" x14ac:dyDescent="0.25">
      <c r="A20" s="21"/>
      <c r="H20" s="9"/>
      <c r="L20" s="9"/>
      <c r="N20" s="31">
        <f>IF((N19+1)&gt;$B$5,,IF(N19=0,,N19+1))</f>
        <v>0</v>
      </c>
      <c r="O20" s="31"/>
      <c r="P20" s="35">
        <f t="shared" si="5"/>
        <v>0</v>
      </c>
      <c r="Q20" s="36">
        <f t="shared" si="0"/>
        <v>0</v>
      </c>
      <c r="R20" s="37">
        <f t="shared" si="1"/>
        <v>0</v>
      </c>
      <c r="S20" s="37"/>
      <c r="T20" s="37"/>
      <c r="U20" s="35">
        <f t="shared" si="7"/>
        <v>0</v>
      </c>
      <c r="V20" s="34">
        <f t="shared" si="3"/>
        <v>0</v>
      </c>
      <c r="W20" s="19"/>
      <c r="X20" s="2">
        <f t="shared" si="4"/>
        <v>0</v>
      </c>
    </row>
    <row r="21" spans="1:42" x14ac:dyDescent="0.25">
      <c r="A21" s="21"/>
      <c r="H21" s="9"/>
      <c r="L21" s="9"/>
      <c r="N21" s="31">
        <f t="shared" si="6"/>
        <v>0</v>
      </c>
      <c r="O21" s="31"/>
      <c r="P21" s="35">
        <f t="shared" si="5"/>
        <v>0</v>
      </c>
      <c r="Q21" s="36">
        <f t="shared" si="0"/>
        <v>0</v>
      </c>
      <c r="R21" s="37">
        <f t="shared" si="1"/>
        <v>0</v>
      </c>
      <c r="S21" s="37">
        <f>IF(N21&gt;0,((#REF!/100)*($F$17/100)*#REF!*X21)/((1+($F$11/100))^N21),0)</f>
        <v>0</v>
      </c>
      <c r="T21" s="37"/>
      <c r="U21" s="35">
        <f t="shared" si="7"/>
        <v>0</v>
      </c>
      <c r="V21" s="34">
        <f t="shared" si="3"/>
        <v>0</v>
      </c>
      <c r="W21" s="19"/>
      <c r="X21" s="2">
        <f t="shared" si="4"/>
        <v>0</v>
      </c>
      <c r="AA21" s="27" t="s">
        <v>54</v>
      </c>
      <c r="AB21" s="24"/>
      <c r="AC21" s="24"/>
      <c r="AD21" s="24"/>
      <c r="AF21" s="27" t="s">
        <v>2</v>
      </c>
      <c r="AG21" s="24"/>
      <c r="AH21" s="24"/>
      <c r="AI21" s="24"/>
      <c r="AK21" s="133" t="s">
        <v>201</v>
      </c>
      <c r="AL21" s="133" t="s">
        <v>203</v>
      </c>
      <c r="AM21" s="133" t="s">
        <v>211</v>
      </c>
      <c r="AN21" s="133" t="s">
        <v>206</v>
      </c>
      <c r="AO21" s="133" t="s">
        <v>205</v>
      </c>
      <c r="AP21" s="27" t="s">
        <v>213</v>
      </c>
    </row>
    <row r="22" spans="1:42" x14ac:dyDescent="0.25">
      <c r="F22" s="77"/>
      <c r="H22" s="9"/>
      <c r="I22" s="12"/>
      <c r="L22" s="9"/>
      <c r="N22" s="31">
        <f t="shared" si="6"/>
        <v>0</v>
      </c>
      <c r="O22" s="31"/>
      <c r="P22" s="35">
        <f t="shared" si="5"/>
        <v>0</v>
      </c>
      <c r="Q22" s="36">
        <f t="shared" si="0"/>
        <v>0</v>
      </c>
      <c r="R22" s="37">
        <f t="shared" si="1"/>
        <v>0</v>
      </c>
      <c r="S22" s="37">
        <f>IF(N22&gt;0,((#REF!/100)*($F$17/100)*#REF!*X22)/((1+($F$11/100))^N22),0)</f>
        <v>0</v>
      </c>
      <c r="T22" s="37"/>
      <c r="U22" s="35">
        <f t="shared" si="7"/>
        <v>0</v>
      </c>
      <c r="V22" s="34">
        <f t="shared" si="3"/>
        <v>0</v>
      </c>
      <c r="W22" s="19"/>
      <c r="X22" s="2">
        <f t="shared" si="4"/>
        <v>0</v>
      </c>
      <c r="AA22" s="24" t="s">
        <v>76</v>
      </c>
      <c r="AB22" s="24" t="s">
        <v>112</v>
      </c>
      <c r="AC22" s="24" t="s">
        <v>72</v>
      </c>
      <c r="AD22" s="24" t="s">
        <v>80</v>
      </c>
      <c r="AF22" s="24" t="s">
        <v>76</v>
      </c>
      <c r="AG22" s="24" t="s">
        <v>77</v>
      </c>
      <c r="AH22" s="24" t="s">
        <v>72</v>
      </c>
      <c r="AI22" s="24" t="s">
        <v>80</v>
      </c>
      <c r="AK22" s="134">
        <v>-50</v>
      </c>
      <c r="AL22" s="135">
        <f>AI24</f>
        <v>-7.0027789199077537</v>
      </c>
      <c r="AM22" s="135">
        <f>AD24</f>
        <v>-31.968495907900106</v>
      </c>
      <c r="AN22" s="136">
        <f t="shared" ref="AN22:AN32" si="8">AD39</f>
        <v>-13.18328369165577</v>
      </c>
      <c r="AO22" s="136">
        <f t="shared" ref="AO22:AO32" si="9">AI39</f>
        <v>-45.15177959955588</v>
      </c>
      <c r="AP22" s="71">
        <f>AD54</f>
        <v>31.968495907900095</v>
      </c>
    </row>
    <row r="23" spans="1:42" x14ac:dyDescent="0.25">
      <c r="E23" s="22"/>
      <c r="H23" s="9"/>
      <c r="I23" s="22"/>
      <c r="L23" s="9"/>
      <c r="N23" s="31">
        <f t="shared" si="6"/>
        <v>0</v>
      </c>
      <c r="O23" s="31"/>
      <c r="P23" s="35">
        <f t="shared" si="5"/>
        <v>0</v>
      </c>
      <c r="Q23" s="36">
        <f t="shared" si="0"/>
        <v>0</v>
      </c>
      <c r="R23" s="37">
        <f t="shared" si="1"/>
        <v>0</v>
      </c>
      <c r="S23" s="37">
        <f>IF(N23&gt;0,((#REF!/100)*($F$17/100)*#REF!*X23)/((1+($F$11/100))^N23),0)</f>
        <v>0</v>
      </c>
      <c r="T23" s="37"/>
      <c r="U23" s="35">
        <f t="shared" si="7"/>
        <v>0</v>
      </c>
      <c r="V23" s="34">
        <f t="shared" si="3"/>
        <v>0</v>
      </c>
      <c r="W23" s="19"/>
      <c r="X23" s="2">
        <f t="shared" si="4"/>
        <v>0</v>
      </c>
      <c r="AA23" s="24" t="s">
        <v>78</v>
      </c>
      <c r="AB23" s="28">
        <v>0.99264819927412606</v>
      </c>
      <c r="AC23" s="26">
        <f>V49</f>
        <v>31604.898226783283</v>
      </c>
      <c r="AD23" s="24"/>
      <c r="AF23" s="24" t="s">
        <v>78</v>
      </c>
      <c r="AG23" s="29">
        <v>4980.4430850208828</v>
      </c>
      <c r="AH23" s="30">
        <f>V49</f>
        <v>31604.898226783283</v>
      </c>
      <c r="AI23" s="24"/>
      <c r="AK23" s="134">
        <v>-40</v>
      </c>
      <c r="AL23" s="135">
        <f>AI25</f>
        <v>-5.6022231359262165</v>
      </c>
      <c r="AM23" s="135">
        <f t="shared" ref="AM23:AM32" si="10">AD25</f>
        <v>-25.574796726320091</v>
      </c>
      <c r="AN23" s="136">
        <f t="shared" si="8"/>
        <v>-10.546626953324626</v>
      </c>
      <c r="AO23" s="136">
        <f t="shared" si="9"/>
        <v>-36.121423679644707</v>
      </c>
      <c r="AP23" s="71">
        <f t="shared" ref="AP23:AP32" si="11">AD55</f>
        <v>25.574796726320109</v>
      </c>
    </row>
    <row r="24" spans="1:42" x14ac:dyDescent="0.25">
      <c r="A24" s="7"/>
      <c r="F24" s="77"/>
      <c r="H24" s="9"/>
      <c r="I24" s="22"/>
      <c r="L24" s="9"/>
      <c r="N24" s="31">
        <f t="shared" si="6"/>
        <v>0</v>
      </c>
      <c r="O24" s="31"/>
      <c r="P24" s="35">
        <f t="shared" si="5"/>
        <v>0</v>
      </c>
      <c r="Q24" s="36">
        <f t="shared" si="0"/>
        <v>0</v>
      </c>
      <c r="R24" s="37">
        <f t="shared" si="1"/>
        <v>0</v>
      </c>
      <c r="S24" s="37">
        <f>IF(N24&gt;0,((#REF!/100)*($F$17/100)*#REF!*X24)/((1+($F$11/100))^N24),0)</f>
        <v>0</v>
      </c>
      <c r="T24" s="37"/>
      <c r="U24" s="35">
        <f t="shared" si="7"/>
        <v>0</v>
      </c>
      <c r="V24" s="34">
        <f t="shared" si="3"/>
        <v>0</v>
      </c>
      <c r="W24" s="19"/>
      <c r="X24" s="2">
        <f t="shared" si="4"/>
        <v>0</v>
      </c>
      <c r="AA24" s="24">
        <f t="shared" ref="AA24:AA27" si="12">AA25-10</f>
        <v>-50</v>
      </c>
      <c r="AB24" s="28">
        <f t="shared" ref="AB24:AB28" si="13">$AB$23*(1+(AA24/100))</f>
        <v>0.49632409963706303</v>
      </c>
      <c r="AC24" s="30">
        <f t="dataTable" ref="AC24:AC34" dt2D="0" dtr="0" r1="F36" ca="1"/>
        <v>21501.287630458075</v>
      </c>
      <c r="AD24" s="58">
        <f>100*((AC24-$AC$29)/$AC$29)</f>
        <v>-31.968495907900106</v>
      </c>
      <c r="AF24" s="24">
        <f t="shared" ref="AF24:AF27" si="14">AF25-10</f>
        <v>-50</v>
      </c>
      <c r="AG24" s="25">
        <f>$AG$23*(1+(AF24/100))</f>
        <v>2490.2215425104414</v>
      </c>
      <c r="AH24" s="30">
        <f t="dataTable" ref="AH24:AH34" dt2D="0" dtr="0" r1="B48" ca="1"/>
        <v>29391.677076099804</v>
      </c>
      <c r="AI24" s="58">
        <f t="shared" ref="AI24:AI34" si="15">100*((AH24-$AH$29)/$AH$29)</f>
        <v>-7.0027789199077537</v>
      </c>
      <c r="AK24" s="134">
        <v>-30</v>
      </c>
      <c r="AL24" s="135">
        <f t="shared" ref="AL24:AL32" si="16">AI26</f>
        <v>-4.201667351944657</v>
      </c>
      <c r="AM24" s="135">
        <f t="shared" si="10"/>
        <v>-19.181097544740055</v>
      </c>
      <c r="AN24" s="136">
        <f t="shared" si="8"/>
        <v>-7.9099702149934723</v>
      </c>
      <c r="AO24" s="136">
        <f t="shared" si="9"/>
        <v>-27.091067759733527</v>
      </c>
      <c r="AP24" s="71">
        <f t="shared" si="11"/>
        <v>19.181097544740091</v>
      </c>
    </row>
    <row r="25" spans="1:42" x14ac:dyDescent="0.25">
      <c r="A25" s="7"/>
      <c r="H25" s="9"/>
      <c r="L25" s="9"/>
      <c r="N25" s="31">
        <f t="shared" si="6"/>
        <v>0</v>
      </c>
      <c r="O25" s="31"/>
      <c r="P25" s="35">
        <f t="shared" si="5"/>
        <v>0</v>
      </c>
      <c r="Q25" s="36">
        <f t="shared" si="0"/>
        <v>0</v>
      </c>
      <c r="R25" s="37">
        <f t="shared" si="1"/>
        <v>0</v>
      </c>
      <c r="S25" s="37">
        <f>IF(N25&gt;0,((#REF!/100)*($F$17/100)*#REF!*X25)/((1+($F$11/100))^N25),0)</f>
        <v>0</v>
      </c>
      <c r="T25" s="37"/>
      <c r="U25" s="35">
        <f t="shared" si="7"/>
        <v>0</v>
      </c>
      <c r="V25" s="34">
        <f t="shared" si="3"/>
        <v>0</v>
      </c>
      <c r="W25" s="19"/>
      <c r="X25" s="2">
        <f t="shared" si="4"/>
        <v>0</v>
      </c>
      <c r="AA25" s="24">
        <f t="shared" si="12"/>
        <v>-40</v>
      </c>
      <c r="AB25" s="28">
        <f t="shared" si="13"/>
        <v>0.59558891956447557</v>
      </c>
      <c r="AC25" s="30">
        <v>23522.009749723115</v>
      </c>
      <c r="AD25" s="58">
        <f t="shared" ref="AD25:AD34" si="17">100*((AC25-$AC$29)/$AC$29)</f>
        <v>-25.574796726320091</v>
      </c>
      <c r="AF25" s="24">
        <f t="shared" si="14"/>
        <v>-40</v>
      </c>
      <c r="AG25" s="25">
        <f t="shared" ref="AG25:AG28" si="18">$AG$23*(1+(AF25/100))</f>
        <v>2988.2658510125298</v>
      </c>
      <c r="AH25" s="30">
        <v>29834.321306236496</v>
      </c>
      <c r="AI25" s="58">
        <f t="shared" si="15"/>
        <v>-5.6022231359262165</v>
      </c>
      <c r="AK25" s="134">
        <v>-20</v>
      </c>
      <c r="AL25" s="135">
        <f t="shared" si="16"/>
        <v>-2.8011115679630971</v>
      </c>
      <c r="AM25" s="135">
        <f t="shared" si="10"/>
        <v>-12.787398363160019</v>
      </c>
      <c r="AN25" s="136">
        <f t="shared" si="8"/>
        <v>-5.2733134766623078</v>
      </c>
      <c r="AO25" s="136">
        <f t="shared" si="9"/>
        <v>-18.060711839822361</v>
      </c>
      <c r="AP25" s="71">
        <f t="shared" si="11"/>
        <v>12.787398363160055</v>
      </c>
    </row>
    <row r="26" spans="1:42" ht="15.75" thickBot="1" x14ac:dyDescent="0.3">
      <c r="A26" s="14"/>
      <c r="B26" s="15"/>
      <c r="C26" s="15"/>
      <c r="D26" s="15"/>
      <c r="E26" s="15"/>
      <c r="F26" s="15"/>
      <c r="G26" s="15"/>
      <c r="H26" s="16"/>
      <c r="I26" s="15"/>
      <c r="J26" s="15"/>
      <c r="K26" s="15"/>
      <c r="L26" s="16"/>
      <c r="N26" s="31">
        <f t="shared" si="6"/>
        <v>0</v>
      </c>
      <c r="O26" s="31"/>
      <c r="P26" s="35">
        <f t="shared" si="5"/>
        <v>0</v>
      </c>
      <c r="Q26" s="36">
        <f t="shared" si="0"/>
        <v>0</v>
      </c>
      <c r="R26" s="37">
        <f t="shared" si="1"/>
        <v>0</v>
      </c>
      <c r="S26" s="37">
        <f>IF(N26&gt;0,((#REF!/100)*($F$17/100)*#REF!*X26)/((1+($F$11/100))^N26),0)</f>
        <v>0</v>
      </c>
      <c r="T26" s="37"/>
      <c r="U26" s="35">
        <f t="shared" si="7"/>
        <v>0</v>
      </c>
      <c r="V26" s="34">
        <f t="shared" si="3"/>
        <v>0</v>
      </c>
      <c r="W26" s="19"/>
      <c r="X26" s="2">
        <f t="shared" si="4"/>
        <v>0</v>
      </c>
      <c r="AA26" s="24">
        <f t="shared" si="12"/>
        <v>-30</v>
      </c>
      <c r="AB26" s="28">
        <f t="shared" si="13"/>
        <v>0.69485373949188822</v>
      </c>
      <c r="AC26" s="30">
        <v>25542.731868988161</v>
      </c>
      <c r="AD26" s="58">
        <f t="shared" si="17"/>
        <v>-19.181097544740055</v>
      </c>
      <c r="AF26" s="24">
        <f t="shared" si="14"/>
        <v>-30</v>
      </c>
      <c r="AG26" s="25">
        <f t="shared" si="18"/>
        <v>3486.3101595146177</v>
      </c>
      <c r="AH26" s="30">
        <v>30276.965536373194</v>
      </c>
      <c r="AI26" s="58">
        <f t="shared" si="15"/>
        <v>-4.201667351944657</v>
      </c>
      <c r="AK26" s="134">
        <v>-10</v>
      </c>
      <c r="AL26" s="135">
        <f t="shared" si="16"/>
        <v>-1.4005557839815599</v>
      </c>
      <c r="AM26" s="135">
        <f t="shared" si="10"/>
        <v>-6.3936991815800273</v>
      </c>
      <c r="AN26" s="136">
        <f t="shared" si="8"/>
        <v>-2.6366567383311539</v>
      </c>
      <c r="AO26" s="136">
        <f t="shared" si="9"/>
        <v>-9.0303559199111572</v>
      </c>
      <c r="AP26" s="71">
        <f t="shared" si="11"/>
        <v>6.393699181580061</v>
      </c>
    </row>
    <row r="27" spans="1:42" x14ac:dyDescent="0.25">
      <c r="J27" s="2"/>
      <c r="N27" s="31">
        <f t="shared" si="6"/>
        <v>0</v>
      </c>
      <c r="O27" s="31"/>
      <c r="P27" s="35">
        <f t="shared" si="5"/>
        <v>0</v>
      </c>
      <c r="Q27" s="36">
        <f t="shared" si="0"/>
        <v>0</v>
      </c>
      <c r="R27" s="37">
        <f t="shared" si="1"/>
        <v>0</v>
      </c>
      <c r="S27" s="37">
        <f>IF(N27&gt;0,((#REF!/100)*($F$17/100)*#REF!*X27)/((1+($F$11/100))^N27),0)</f>
        <v>0</v>
      </c>
      <c r="T27" s="37"/>
      <c r="U27" s="35">
        <f t="shared" si="7"/>
        <v>0</v>
      </c>
      <c r="V27" s="34">
        <f t="shared" si="3"/>
        <v>0</v>
      </c>
      <c r="W27" s="19"/>
      <c r="X27" s="2">
        <f t="shared" si="4"/>
        <v>0</v>
      </c>
      <c r="AA27" s="24">
        <f t="shared" si="12"/>
        <v>-20</v>
      </c>
      <c r="AB27" s="28">
        <f t="shared" si="13"/>
        <v>0.79411855941930087</v>
      </c>
      <c r="AC27" s="30">
        <v>27563.453988253208</v>
      </c>
      <c r="AD27" s="58">
        <f t="shared" si="17"/>
        <v>-12.787398363160019</v>
      </c>
      <c r="AF27" s="24">
        <f t="shared" si="14"/>
        <v>-20</v>
      </c>
      <c r="AG27" s="25">
        <f t="shared" si="18"/>
        <v>3984.3544680167065</v>
      </c>
      <c r="AH27" s="30">
        <v>30719.609766509893</v>
      </c>
      <c r="AI27" s="58">
        <f t="shared" si="15"/>
        <v>-2.8011115679630971</v>
      </c>
      <c r="AK27" s="134">
        <v>0</v>
      </c>
      <c r="AL27" s="135">
        <f t="shared" si="16"/>
        <v>0</v>
      </c>
      <c r="AM27" s="135">
        <f t="shared" si="10"/>
        <v>0</v>
      </c>
      <c r="AN27" s="136">
        <f t="shared" si="8"/>
        <v>0</v>
      </c>
      <c r="AO27" s="136">
        <f t="shared" si="9"/>
        <v>0</v>
      </c>
      <c r="AP27" s="71">
        <f t="shared" si="11"/>
        <v>0</v>
      </c>
    </row>
    <row r="28" spans="1:42" x14ac:dyDescent="0.25">
      <c r="A28" s="12" t="s">
        <v>60</v>
      </c>
      <c r="J28" s="2"/>
      <c r="N28" s="31">
        <f t="shared" si="6"/>
        <v>0</v>
      </c>
      <c r="O28" s="31"/>
      <c r="P28" s="35">
        <f t="shared" si="5"/>
        <v>0</v>
      </c>
      <c r="Q28" s="36">
        <f t="shared" si="0"/>
        <v>0</v>
      </c>
      <c r="R28" s="37">
        <f t="shared" si="1"/>
        <v>0</v>
      </c>
      <c r="S28" s="37">
        <f>IF(N28&gt;0,((#REF!/100)*($F$17/100)*#REF!*X28)/((1+($F$11/100))^N28),0)</f>
        <v>0</v>
      </c>
      <c r="T28" s="37"/>
      <c r="U28" s="35">
        <f t="shared" si="7"/>
        <v>0</v>
      </c>
      <c r="V28" s="34">
        <f t="shared" si="3"/>
        <v>0</v>
      </c>
      <c r="W28" s="19"/>
      <c r="X28" s="2">
        <f t="shared" si="4"/>
        <v>0</v>
      </c>
      <c r="AA28" s="24">
        <f>AA29-10</f>
        <v>-10</v>
      </c>
      <c r="AB28" s="28">
        <f t="shared" si="13"/>
        <v>0.89338337934671352</v>
      </c>
      <c r="AC28" s="30">
        <v>29584.17610751824</v>
      </c>
      <c r="AD28" s="58">
        <f t="shared" si="17"/>
        <v>-6.3936991815800273</v>
      </c>
      <c r="AF28" s="24">
        <f>AF29-10</f>
        <v>-10</v>
      </c>
      <c r="AG28" s="25">
        <f t="shared" si="18"/>
        <v>4482.3987765187949</v>
      </c>
      <c r="AH28" s="30">
        <v>31162.253996646585</v>
      </c>
      <c r="AI28" s="58">
        <f t="shared" si="15"/>
        <v>-1.4005557839815599</v>
      </c>
      <c r="AK28" s="134">
        <v>10</v>
      </c>
      <c r="AL28" s="135">
        <f t="shared" si="16"/>
        <v>1.4005557839815599</v>
      </c>
      <c r="AM28" s="135">
        <f t="shared" si="10"/>
        <v>6.3936991815800388</v>
      </c>
      <c r="AN28" s="136">
        <f t="shared" si="8"/>
        <v>2.6366567383311539</v>
      </c>
      <c r="AO28" s="136">
        <f t="shared" si="9"/>
        <v>9.0303559199111803</v>
      </c>
      <c r="AP28" s="71">
        <f t="shared" si="11"/>
        <v>-6.3936991815800273</v>
      </c>
    </row>
    <row r="29" spans="1:42" ht="15.75" thickBot="1" x14ac:dyDescent="0.3">
      <c r="J29" s="2"/>
      <c r="N29" s="31">
        <f t="shared" si="6"/>
        <v>0</v>
      </c>
      <c r="O29" s="31"/>
      <c r="P29" s="35">
        <f t="shared" si="5"/>
        <v>0</v>
      </c>
      <c r="Q29" s="36">
        <f t="shared" si="0"/>
        <v>0</v>
      </c>
      <c r="R29" s="37">
        <f t="shared" si="1"/>
        <v>0</v>
      </c>
      <c r="S29" s="37">
        <f>IF(N29&gt;0,((#REF!/100)*($F$17/100)*#REF!*X29)/((1+($F$11/100))^N29),0)</f>
        <v>0</v>
      </c>
      <c r="T29" s="37"/>
      <c r="U29" s="35">
        <f t="shared" si="7"/>
        <v>0</v>
      </c>
      <c r="V29" s="34">
        <f t="shared" si="3"/>
        <v>0</v>
      </c>
      <c r="W29" s="19"/>
      <c r="X29" s="2">
        <f t="shared" si="4"/>
        <v>0</v>
      </c>
      <c r="AA29" s="60">
        <v>0</v>
      </c>
      <c r="AB29" s="64">
        <f>$AB$23*(1+(AA29/100))</f>
        <v>0.99264819927412606</v>
      </c>
      <c r="AC29" s="62">
        <v>31604.898226783283</v>
      </c>
      <c r="AD29" s="63">
        <f t="shared" si="17"/>
        <v>0</v>
      </c>
      <c r="AF29" s="60">
        <v>0</v>
      </c>
      <c r="AG29" s="65">
        <f>$AG$23*(1+(AF29/100))</f>
        <v>4980.4430850208828</v>
      </c>
      <c r="AH29" s="62">
        <v>31604.898226783283</v>
      </c>
      <c r="AI29" s="63">
        <f t="shared" si="15"/>
        <v>0</v>
      </c>
      <c r="AK29" s="134">
        <v>20</v>
      </c>
      <c r="AL29" s="135">
        <f t="shared" si="16"/>
        <v>2.8011115679630971</v>
      </c>
      <c r="AM29" s="135">
        <f t="shared" si="10"/>
        <v>12.787398363160055</v>
      </c>
      <c r="AN29" s="136">
        <f t="shared" si="8"/>
        <v>5.2733134766623078</v>
      </c>
      <c r="AO29" s="136">
        <f t="shared" si="9"/>
        <v>18.060711839822361</v>
      </c>
      <c r="AP29" s="71">
        <f t="shared" si="11"/>
        <v>-12.787398363160019</v>
      </c>
    </row>
    <row r="30" spans="1:42" x14ac:dyDescent="0.25">
      <c r="A30" s="3" t="s">
        <v>11</v>
      </c>
      <c r="B30" s="4"/>
      <c r="C30" s="4"/>
      <c r="D30" s="4"/>
      <c r="E30" s="5" t="s">
        <v>96</v>
      </c>
      <c r="F30" s="4"/>
      <c r="G30" s="4"/>
      <c r="H30" s="4"/>
      <c r="I30" s="5" t="s">
        <v>125</v>
      </c>
      <c r="J30" s="92">
        <f>SUM(J31:J35)</f>
        <v>1052.2000776446416</v>
      </c>
      <c r="K30" s="5" t="s">
        <v>44</v>
      </c>
      <c r="L30" s="6"/>
      <c r="N30" s="31">
        <f t="shared" si="6"/>
        <v>0</v>
      </c>
      <c r="O30" s="31"/>
      <c r="P30" s="35">
        <f t="shared" si="5"/>
        <v>0</v>
      </c>
      <c r="Q30" s="36">
        <f t="shared" si="0"/>
        <v>0</v>
      </c>
      <c r="R30" s="37">
        <f t="shared" si="1"/>
        <v>0</v>
      </c>
      <c r="S30" s="37">
        <f>IF(N30&gt;0,((#REF!/100)*($F$17/100)*#REF!*X30)/((1+($F$11/100))^N30),0)</f>
        <v>0</v>
      </c>
      <c r="T30" s="37"/>
      <c r="U30" s="35">
        <f t="shared" si="7"/>
        <v>0</v>
      </c>
      <c r="V30" s="34">
        <f t="shared" si="3"/>
        <v>0</v>
      </c>
      <c r="W30" s="19"/>
      <c r="X30" s="2">
        <f t="shared" si="4"/>
        <v>0</v>
      </c>
      <c r="AA30" s="24">
        <f>AA29+10</f>
        <v>10</v>
      </c>
      <c r="AB30" s="28">
        <f t="shared" ref="AB30:AB34" si="19">$AB$23*(1+(AA30/100))</f>
        <v>1.0919130192015387</v>
      </c>
      <c r="AC30" s="30">
        <v>33625.62034604833</v>
      </c>
      <c r="AD30" s="58">
        <f t="shared" si="17"/>
        <v>6.3936991815800388</v>
      </c>
      <c r="AF30" s="24">
        <f>AF29+10</f>
        <v>10</v>
      </c>
      <c r="AG30" s="25">
        <f t="shared" ref="AG30:AG34" si="20">$AG$23*(1+(AF30/100))</f>
        <v>5478.4873935229716</v>
      </c>
      <c r="AH30" s="30">
        <v>32047.542456919982</v>
      </c>
      <c r="AI30" s="58">
        <f t="shared" si="15"/>
        <v>1.4005557839815599</v>
      </c>
      <c r="AK30" s="134">
        <v>30</v>
      </c>
      <c r="AL30" s="135">
        <f t="shared" si="16"/>
        <v>4.201667351944657</v>
      </c>
      <c r="AM30" s="135">
        <f t="shared" si="10"/>
        <v>19.181097544740091</v>
      </c>
      <c r="AN30" s="136">
        <f t="shared" si="8"/>
        <v>7.9099702149934723</v>
      </c>
      <c r="AO30" s="136">
        <f t="shared" si="9"/>
        <v>27.091067759733541</v>
      </c>
      <c r="AP30" s="71">
        <f t="shared" si="11"/>
        <v>-19.181097544740055</v>
      </c>
    </row>
    <row r="31" spans="1:42" x14ac:dyDescent="0.25">
      <c r="A31" s="21" t="s">
        <v>187</v>
      </c>
      <c r="B31" s="18">
        <f>IF(B11=0,0,-(B11/100)*$B$46)</f>
        <v>0</v>
      </c>
      <c r="C31" s="1" t="s">
        <v>3</v>
      </c>
      <c r="E31" s="22" t="s">
        <v>62</v>
      </c>
      <c r="F31" s="10">
        <f>(J16/100)*B48</f>
        <v>249.02215425104416</v>
      </c>
      <c r="G31" s="1" t="s">
        <v>3</v>
      </c>
      <c r="I31" s="22"/>
      <c r="J31" s="13"/>
      <c r="L31" s="9"/>
      <c r="N31" s="31">
        <f t="shared" si="6"/>
        <v>0</v>
      </c>
      <c r="O31" s="31"/>
      <c r="P31" s="35">
        <f t="shared" si="5"/>
        <v>0</v>
      </c>
      <c r="Q31" s="36">
        <f t="shared" si="0"/>
        <v>0</v>
      </c>
      <c r="R31" s="37">
        <f t="shared" si="1"/>
        <v>0</v>
      </c>
      <c r="S31" s="37">
        <f>IF(N31&gt;0,((#REF!/100)*($F$17/100)*#REF!*X31)/((1+($F$11/100))^N31),0)</f>
        <v>0</v>
      </c>
      <c r="T31" s="37"/>
      <c r="U31" s="35">
        <f t="shared" si="7"/>
        <v>0</v>
      </c>
      <c r="V31" s="34">
        <f t="shared" si="3"/>
        <v>0</v>
      </c>
      <c r="W31" s="19"/>
      <c r="X31" s="2">
        <f t="shared" si="4"/>
        <v>0</v>
      </c>
      <c r="AA31" s="24">
        <f t="shared" ref="AA31:AA34" si="21">AA30+10</f>
        <v>20</v>
      </c>
      <c r="AB31" s="28">
        <f t="shared" si="19"/>
        <v>1.1911778391289511</v>
      </c>
      <c r="AC31" s="30">
        <v>35646.34246531337</v>
      </c>
      <c r="AD31" s="58">
        <f t="shared" si="17"/>
        <v>12.787398363160055</v>
      </c>
      <c r="AF31" s="24">
        <f t="shared" ref="AF31:AF34" si="22">AF30+10</f>
        <v>20</v>
      </c>
      <c r="AG31" s="25">
        <f t="shared" si="20"/>
        <v>5976.5317020250595</v>
      </c>
      <c r="AH31" s="30">
        <v>32490.186687056674</v>
      </c>
      <c r="AI31" s="58">
        <f t="shared" si="15"/>
        <v>2.8011115679630971</v>
      </c>
      <c r="AK31" s="134">
        <v>40</v>
      </c>
      <c r="AL31" s="135">
        <f t="shared" si="16"/>
        <v>5.6022231359262165</v>
      </c>
      <c r="AM31" s="135">
        <f t="shared" si="10"/>
        <v>25.574796726320109</v>
      </c>
      <c r="AN31" s="136">
        <f t="shared" si="8"/>
        <v>10.546626953324639</v>
      </c>
      <c r="AO31" s="136">
        <f t="shared" si="9"/>
        <v>36.121423679644721</v>
      </c>
      <c r="AP31" s="71">
        <f t="shared" si="11"/>
        <v>-25.574796726320091</v>
      </c>
    </row>
    <row r="32" spans="1:42" x14ac:dyDescent="0.25">
      <c r="A32" s="21" t="s">
        <v>5</v>
      </c>
      <c r="B32" s="18">
        <f>IF(B12=0,0,-(B12/100)*$B$46)</f>
        <v>0</v>
      </c>
      <c r="C32" s="1" t="s">
        <v>3</v>
      </c>
      <c r="E32" s="22" t="s">
        <v>63</v>
      </c>
      <c r="F32" s="18">
        <f>B48-F31</f>
        <v>4731.4209307698384</v>
      </c>
      <c r="G32" s="1" t="s">
        <v>3</v>
      </c>
      <c r="I32" s="22" t="s">
        <v>159</v>
      </c>
      <c r="J32" s="13">
        <f>F17/$B$8</f>
        <v>9.4000776446413461</v>
      </c>
      <c r="K32" s="1" t="s">
        <v>44</v>
      </c>
      <c r="L32" s="9"/>
      <c r="N32" s="31">
        <f t="shared" si="6"/>
        <v>0</v>
      </c>
      <c r="O32" s="31"/>
      <c r="P32" s="35">
        <f t="shared" si="5"/>
        <v>0</v>
      </c>
      <c r="Q32" s="36">
        <f t="shared" si="0"/>
        <v>0</v>
      </c>
      <c r="R32" s="37">
        <f t="shared" si="1"/>
        <v>0</v>
      </c>
      <c r="S32" s="37">
        <f>IF(N32&gt;0,((#REF!/100)*($F$17/100)*#REF!*X32)/((1+($F$11/100))^N32),0)</f>
        <v>0</v>
      </c>
      <c r="T32" s="37"/>
      <c r="U32" s="35">
        <f t="shared" si="7"/>
        <v>0</v>
      </c>
      <c r="V32" s="34">
        <f t="shared" si="3"/>
        <v>0</v>
      </c>
      <c r="W32" s="19"/>
      <c r="X32" s="2">
        <f t="shared" si="4"/>
        <v>0</v>
      </c>
      <c r="AA32" s="24">
        <f t="shared" si="21"/>
        <v>30</v>
      </c>
      <c r="AB32" s="28">
        <f t="shared" si="19"/>
        <v>1.290442659056364</v>
      </c>
      <c r="AC32" s="30">
        <v>37667.064584578417</v>
      </c>
      <c r="AD32" s="58">
        <f t="shared" si="17"/>
        <v>19.181097544740091</v>
      </c>
      <c r="AF32" s="24">
        <f t="shared" si="22"/>
        <v>30</v>
      </c>
      <c r="AG32" s="25">
        <f t="shared" si="20"/>
        <v>6474.5760105271474</v>
      </c>
      <c r="AH32" s="30">
        <v>32932.830917193372</v>
      </c>
      <c r="AI32" s="58">
        <f t="shared" si="15"/>
        <v>4.201667351944657</v>
      </c>
      <c r="AK32" s="134">
        <v>50</v>
      </c>
      <c r="AL32" s="135">
        <f t="shared" si="16"/>
        <v>7.0027789199077759</v>
      </c>
      <c r="AM32" s="135">
        <f t="shared" si="10"/>
        <v>31.968495907900124</v>
      </c>
      <c r="AN32" s="136">
        <f t="shared" si="8"/>
        <v>13.183283691655781</v>
      </c>
      <c r="AO32" s="136">
        <f t="shared" si="9"/>
        <v>45.15177959955588</v>
      </c>
      <c r="AP32" s="71">
        <f t="shared" si="11"/>
        <v>-31.968495907900106</v>
      </c>
    </row>
    <row r="33" spans="1:35" x14ac:dyDescent="0.25">
      <c r="A33" s="21" t="s">
        <v>6</v>
      </c>
      <c r="B33" s="18">
        <f>IF(B14=0,0,(B14/100)*$B$44)</f>
        <v>325.15000000000003</v>
      </c>
      <c r="C33" s="1" t="s">
        <v>3</v>
      </c>
      <c r="E33" s="22" t="s">
        <v>64</v>
      </c>
      <c r="F33" s="10">
        <f>F32*(F19/100)*J15</f>
        <v>0</v>
      </c>
      <c r="G33" s="1" t="s">
        <v>3</v>
      </c>
      <c r="I33" s="38"/>
      <c r="J33" s="49"/>
      <c r="K33" s="39"/>
      <c r="L33" s="9"/>
      <c r="N33" s="31">
        <f t="shared" si="6"/>
        <v>0</v>
      </c>
      <c r="O33" s="31"/>
      <c r="P33" s="35">
        <f t="shared" si="5"/>
        <v>0</v>
      </c>
      <c r="Q33" s="36">
        <f t="shared" si="0"/>
        <v>0</v>
      </c>
      <c r="R33" s="37">
        <f t="shared" si="1"/>
        <v>0</v>
      </c>
      <c r="S33" s="37">
        <f>IF(N33&gt;0,((#REF!/100)*($F$17/100)*#REF!*X33)/((1+($F$11/100))^N33),0)</f>
        <v>0</v>
      </c>
      <c r="T33" s="37"/>
      <c r="U33" s="35">
        <f t="shared" si="7"/>
        <v>0</v>
      </c>
      <c r="V33" s="34">
        <f t="shared" si="3"/>
        <v>0</v>
      </c>
      <c r="W33" s="19"/>
      <c r="X33" s="2">
        <f t="shared" si="4"/>
        <v>0</v>
      </c>
      <c r="AA33" s="24">
        <f t="shared" si="21"/>
        <v>40</v>
      </c>
      <c r="AB33" s="28">
        <f t="shared" si="19"/>
        <v>1.3897074789837764</v>
      </c>
      <c r="AC33" s="30">
        <v>39687.786703843456</v>
      </c>
      <c r="AD33" s="58">
        <f t="shared" si="17"/>
        <v>25.574796726320109</v>
      </c>
      <c r="AF33" s="24">
        <f t="shared" si="22"/>
        <v>40</v>
      </c>
      <c r="AG33" s="25">
        <f t="shared" si="20"/>
        <v>6972.6203190292354</v>
      </c>
      <c r="AH33" s="30">
        <v>33375.475147330071</v>
      </c>
      <c r="AI33" s="58">
        <f t="shared" si="15"/>
        <v>5.6022231359262165</v>
      </c>
    </row>
    <row r="34" spans="1:35" x14ac:dyDescent="0.25">
      <c r="A34" s="21" t="s">
        <v>197</v>
      </c>
      <c r="B34" s="99">
        <f>IF(B16=0,0,(B16/B8))</f>
        <v>10.293085020882273</v>
      </c>
      <c r="C34" s="1" t="s">
        <v>3</v>
      </c>
      <c r="F34" s="46"/>
      <c r="J34" s="46"/>
      <c r="L34" s="9"/>
      <c r="N34" s="31">
        <f t="shared" si="6"/>
        <v>0</v>
      </c>
      <c r="O34" s="31"/>
      <c r="P34" s="35">
        <f t="shared" si="5"/>
        <v>0</v>
      </c>
      <c r="Q34" s="36">
        <f t="shared" si="0"/>
        <v>0</v>
      </c>
      <c r="R34" s="37">
        <f t="shared" si="1"/>
        <v>0</v>
      </c>
      <c r="S34" s="37">
        <f>IF(N34&gt;0,((#REF!/100)*($F$17/100)*#REF!*X34)/((1+($F$11/100))^N34),0)</f>
        <v>0</v>
      </c>
      <c r="T34" s="37"/>
      <c r="U34" s="35">
        <f t="shared" si="7"/>
        <v>0</v>
      </c>
      <c r="V34" s="34">
        <f t="shared" si="3"/>
        <v>0</v>
      </c>
      <c r="W34" s="19"/>
      <c r="X34" s="2">
        <f t="shared" si="4"/>
        <v>0</v>
      </c>
      <c r="AA34" s="24">
        <f t="shared" si="21"/>
        <v>50</v>
      </c>
      <c r="AB34" s="28">
        <f t="shared" si="19"/>
        <v>1.4889722989111891</v>
      </c>
      <c r="AC34" s="30">
        <v>41708.508823108496</v>
      </c>
      <c r="AD34" s="58">
        <f t="shared" si="17"/>
        <v>31.968495907900124</v>
      </c>
      <c r="AF34" s="24">
        <f t="shared" si="22"/>
        <v>50</v>
      </c>
      <c r="AG34" s="25">
        <f t="shared" si="20"/>
        <v>7470.6646275313242</v>
      </c>
      <c r="AH34" s="30">
        <v>33818.11937746677</v>
      </c>
      <c r="AI34" s="58">
        <f t="shared" si="15"/>
        <v>7.0027789199077759</v>
      </c>
    </row>
    <row r="35" spans="1:35" x14ac:dyDescent="0.25">
      <c r="A35" s="21" t="s">
        <v>162</v>
      </c>
      <c r="B35" s="18">
        <f>IF(B17=0,0,(B17/100)*$B$44)</f>
        <v>0</v>
      </c>
      <c r="C35" s="1" t="s">
        <v>3</v>
      </c>
      <c r="E35" s="12" t="s">
        <v>97</v>
      </c>
      <c r="I35" s="22" t="s">
        <v>66</v>
      </c>
      <c r="J35" s="20">
        <f>F18*F12/$B$8</f>
        <v>1042.8000000000002</v>
      </c>
      <c r="K35" s="1" t="s">
        <v>44</v>
      </c>
      <c r="L35" s="9"/>
      <c r="N35" s="31">
        <f t="shared" si="6"/>
        <v>0</v>
      </c>
      <c r="O35" s="31"/>
      <c r="P35" s="35">
        <f t="shared" si="5"/>
        <v>0</v>
      </c>
      <c r="Q35" s="36">
        <f t="shared" si="0"/>
        <v>0</v>
      </c>
      <c r="R35" s="37">
        <f t="shared" si="1"/>
        <v>0</v>
      </c>
      <c r="S35" s="37">
        <f>IF(N35&gt;0,((#REF!/100)*($F$17/100)*#REF!*X35)/((1+($F$11/100))^N35),0)</f>
        <v>0</v>
      </c>
      <c r="T35" s="37"/>
      <c r="U35" s="35">
        <f t="shared" si="7"/>
        <v>0</v>
      </c>
      <c r="V35" s="34">
        <f t="shared" si="3"/>
        <v>0</v>
      </c>
      <c r="W35" s="19"/>
      <c r="X35" s="2">
        <f t="shared" si="4"/>
        <v>0</v>
      </c>
    </row>
    <row r="36" spans="1:35" x14ac:dyDescent="0.25">
      <c r="E36" s="22" t="s">
        <v>193</v>
      </c>
      <c r="F36" s="23">
        <f>F13/$B$8</f>
        <v>0.99264819927412606</v>
      </c>
      <c r="G36" s="1" t="s">
        <v>108</v>
      </c>
      <c r="L36" s="9"/>
      <c r="N36" s="31">
        <f t="shared" si="6"/>
        <v>0</v>
      </c>
      <c r="O36" s="31"/>
      <c r="P36" s="35">
        <f t="shared" si="5"/>
        <v>0</v>
      </c>
      <c r="Q36" s="36">
        <f t="shared" si="0"/>
        <v>0</v>
      </c>
      <c r="R36" s="37">
        <f t="shared" si="1"/>
        <v>0</v>
      </c>
      <c r="S36" s="37">
        <f>IF(N36&gt;0,((#REF!/100)*($F$17/100)*#REF!*X36)/((1+($F$11/100))^N36),0)</f>
        <v>0</v>
      </c>
      <c r="T36" s="37"/>
      <c r="U36" s="35">
        <f t="shared" si="7"/>
        <v>0</v>
      </c>
      <c r="V36" s="34">
        <f t="shared" si="3"/>
        <v>0</v>
      </c>
      <c r="W36" s="19"/>
      <c r="X36" s="2">
        <f t="shared" si="4"/>
        <v>0</v>
      </c>
      <c r="AA36" s="27" t="s">
        <v>66</v>
      </c>
      <c r="AB36" s="24"/>
      <c r="AC36" s="24"/>
      <c r="AD36" s="24"/>
      <c r="AF36" s="27" t="s">
        <v>84</v>
      </c>
      <c r="AG36" s="24"/>
      <c r="AH36" s="24"/>
      <c r="AI36" s="24"/>
    </row>
    <row r="37" spans="1:35" x14ac:dyDescent="0.25">
      <c r="B37" s="18"/>
      <c r="E37" s="22" t="s">
        <v>194</v>
      </c>
      <c r="F37" s="48">
        <f>F36*J9</f>
        <v>7.196699444737413E-2</v>
      </c>
      <c r="G37" s="1" t="s">
        <v>57</v>
      </c>
      <c r="L37" s="9"/>
      <c r="N37" s="31">
        <f t="shared" si="6"/>
        <v>0</v>
      </c>
      <c r="O37" s="31"/>
      <c r="P37" s="35">
        <f t="shared" si="5"/>
        <v>0</v>
      </c>
      <c r="Q37" s="36">
        <f t="shared" si="0"/>
        <v>0</v>
      </c>
      <c r="R37" s="37">
        <f t="shared" si="1"/>
        <v>0</v>
      </c>
      <c r="S37" s="37">
        <f>IF(N37&gt;0,((#REF!/100)*($F$17/100)*#REF!*X37)/((1+($F$11/100))^N37),0)</f>
        <v>0</v>
      </c>
      <c r="T37" s="37"/>
      <c r="U37" s="35">
        <f t="shared" si="7"/>
        <v>0</v>
      </c>
      <c r="V37" s="34">
        <f t="shared" si="3"/>
        <v>0</v>
      </c>
      <c r="W37" s="19"/>
      <c r="X37" s="2">
        <f t="shared" si="4"/>
        <v>0</v>
      </c>
      <c r="AA37" s="24" t="s">
        <v>76</v>
      </c>
      <c r="AB37" s="24" t="s">
        <v>128</v>
      </c>
      <c r="AC37" s="24" t="s">
        <v>72</v>
      </c>
      <c r="AD37" s="24" t="s">
        <v>80</v>
      </c>
      <c r="AF37" s="24" t="s">
        <v>76</v>
      </c>
      <c r="AG37" s="24" t="s">
        <v>83</v>
      </c>
      <c r="AH37" s="24" t="s">
        <v>72</v>
      </c>
      <c r="AI37" s="24" t="s">
        <v>80</v>
      </c>
    </row>
    <row r="38" spans="1:35" x14ac:dyDescent="0.25">
      <c r="A38" s="21"/>
      <c r="B38" s="18"/>
      <c r="E38" s="22" t="s">
        <v>109</v>
      </c>
      <c r="F38" s="46">
        <f>F37*F12</f>
        <v>2374.9108167633462</v>
      </c>
      <c r="G38" t="s">
        <v>44</v>
      </c>
      <c r="L38" s="9"/>
      <c r="N38" s="31">
        <f t="shared" si="6"/>
        <v>0</v>
      </c>
      <c r="O38" s="31"/>
      <c r="P38" s="35">
        <f t="shared" si="5"/>
        <v>0</v>
      </c>
      <c r="Q38" s="36">
        <f t="shared" si="0"/>
        <v>0</v>
      </c>
      <c r="R38" s="37">
        <f t="shared" si="1"/>
        <v>0</v>
      </c>
      <c r="S38" s="37">
        <f>IF(N38&gt;0,((#REF!/100)*($F$17/100)*#REF!*X38)/((1+($F$11/100))^N38),0)</f>
        <v>0</v>
      </c>
      <c r="T38" s="37"/>
      <c r="U38" s="35">
        <f t="shared" si="7"/>
        <v>0</v>
      </c>
      <c r="V38" s="34">
        <f t="shared" si="3"/>
        <v>0</v>
      </c>
      <c r="W38" s="19"/>
      <c r="X38" s="2">
        <f t="shared" si="4"/>
        <v>0</v>
      </c>
      <c r="AA38" s="24" t="s">
        <v>78</v>
      </c>
      <c r="AB38" s="28">
        <v>1042.8000000000002</v>
      </c>
      <c r="AC38" s="26">
        <f>V49</f>
        <v>31604.898226783283</v>
      </c>
      <c r="AD38" s="24"/>
      <c r="AF38" s="24" t="s">
        <v>78</v>
      </c>
      <c r="AG38" s="29">
        <v>33000</v>
      </c>
      <c r="AH38" s="30">
        <f>V49</f>
        <v>31604.898226783283</v>
      </c>
      <c r="AI38" s="24"/>
    </row>
    <row r="39" spans="1:35" x14ac:dyDescent="0.25">
      <c r="A39" s="21"/>
      <c r="B39" s="18"/>
      <c r="L39" s="9"/>
      <c r="N39" s="31">
        <f t="shared" si="6"/>
        <v>0</v>
      </c>
      <c r="O39" s="31"/>
      <c r="P39" s="35">
        <f t="shared" si="5"/>
        <v>0</v>
      </c>
      <c r="Q39" s="36">
        <f t="shared" si="0"/>
        <v>0</v>
      </c>
      <c r="R39" s="37">
        <f t="shared" si="1"/>
        <v>0</v>
      </c>
      <c r="S39" s="37">
        <f>IF(N39&gt;0,((#REF!/100)*($F$17/100)*#REF!*X39)/((1+($F$11/100))^N39),0)</f>
        <v>0</v>
      </c>
      <c r="T39" s="37"/>
      <c r="U39" s="35">
        <f t="shared" si="7"/>
        <v>0</v>
      </c>
      <c r="V39" s="34">
        <f t="shared" si="3"/>
        <v>0</v>
      </c>
      <c r="W39" s="19"/>
      <c r="X39" s="2">
        <f t="shared" si="4"/>
        <v>0</v>
      </c>
      <c r="AA39" s="24">
        <f t="shared" ref="AA39:AA42" si="23">AA40-10</f>
        <v>-50</v>
      </c>
      <c r="AB39" s="28">
        <f>$AB$38*(1+(AA39/100))</f>
        <v>521.40000000000009</v>
      </c>
      <c r="AC39" s="30">
        <f t="dataTable" ref="AC39:AC49" dt2D="0" dtr="0" r1="J35" ca="1"/>
        <v>27438.33483308736</v>
      </c>
      <c r="AD39" s="58">
        <f>100*((AC39-$AC$44)/$AC$44)</f>
        <v>-13.18328369165577</v>
      </c>
      <c r="AF39" s="24">
        <f t="shared" ref="AF39:AF42" si="24">AF40-10</f>
        <v>-50</v>
      </c>
      <c r="AG39" s="29">
        <f t="shared" ref="AG39:AG49" si="25">$AG$38*(1+(AF39/100))</f>
        <v>16500</v>
      </c>
      <c r="AH39" s="30">
        <f t="dataTable" ref="AH39:AH49" dt2D="0" dtr="0" r1="F12" ca="1"/>
        <v>17334.724236762151</v>
      </c>
      <c r="AI39" s="58">
        <f>100*((AH39-$AH$44)/$AH$44)</f>
        <v>-45.15177959955588</v>
      </c>
    </row>
    <row r="40" spans="1:35" x14ac:dyDescent="0.25">
      <c r="B40" s="18"/>
      <c r="L40" s="9"/>
      <c r="N40" s="31">
        <f t="shared" si="6"/>
        <v>0</v>
      </c>
      <c r="O40" s="31"/>
      <c r="P40" s="35">
        <f t="shared" si="5"/>
        <v>0</v>
      </c>
      <c r="Q40" s="36">
        <f t="shared" si="0"/>
        <v>0</v>
      </c>
      <c r="R40" s="37">
        <f t="shared" si="1"/>
        <v>0</v>
      </c>
      <c r="S40" s="37">
        <f>IF(N40&gt;0,((#REF!/100)*($F$17/100)*#REF!*X40)/((1+($F$11/100))^N40),0)</f>
        <v>0</v>
      </c>
      <c r="T40" s="37"/>
      <c r="U40" s="35">
        <f t="shared" si="7"/>
        <v>0</v>
      </c>
      <c r="V40" s="34">
        <f t="shared" si="3"/>
        <v>0</v>
      </c>
      <c r="W40" s="19"/>
      <c r="X40" s="2">
        <f t="shared" si="4"/>
        <v>0</v>
      </c>
      <c r="AA40" s="24">
        <f t="shared" si="23"/>
        <v>-40</v>
      </c>
      <c r="AB40" s="28">
        <f t="shared" ref="AB40:AB49" si="26">$AB$38*(1+(AA40/100))</f>
        <v>625.68000000000006</v>
      </c>
      <c r="AC40" s="30">
        <v>28271.647511826541</v>
      </c>
      <c r="AD40" s="58">
        <f t="shared" ref="AD40:AD49" si="27">100*((AC40-$AC$44)/$AC$44)</f>
        <v>-10.546626953324626</v>
      </c>
      <c r="AF40" s="24">
        <f t="shared" si="24"/>
        <v>-40</v>
      </c>
      <c r="AG40" s="29">
        <f t="shared" si="25"/>
        <v>19800</v>
      </c>
      <c r="AH40" s="30">
        <v>20188.759034766375</v>
      </c>
      <c r="AI40" s="58">
        <f t="shared" ref="AI40:AI49" si="28">100*((AH40-$AH$44)/$AH$44)</f>
        <v>-36.121423679644707</v>
      </c>
    </row>
    <row r="41" spans="1:35" x14ac:dyDescent="0.25">
      <c r="E41" s="38" t="s">
        <v>85</v>
      </c>
      <c r="F41" s="42">
        <f>F12*B5</f>
        <v>330000</v>
      </c>
      <c r="G41" s="39" t="s">
        <v>40</v>
      </c>
      <c r="L41" s="9"/>
      <c r="N41" s="31">
        <f t="shared" si="6"/>
        <v>0</v>
      </c>
      <c r="O41" s="31"/>
      <c r="P41" s="35">
        <f t="shared" si="5"/>
        <v>0</v>
      </c>
      <c r="Q41" s="36">
        <f t="shared" si="0"/>
        <v>0</v>
      </c>
      <c r="R41" s="37">
        <f t="shared" si="1"/>
        <v>0</v>
      </c>
      <c r="S41" s="37">
        <f>IF(N41&gt;0,((#REF!/100)*($F$17/100)*#REF!*X41)/((1+($F$11/100))^N41),0)</f>
        <v>0</v>
      </c>
      <c r="T41" s="37"/>
      <c r="U41" s="35">
        <f t="shared" si="7"/>
        <v>0</v>
      </c>
      <c r="V41" s="34">
        <f t="shared" si="3"/>
        <v>0</v>
      </c>
      <c r="W41" s="19"/>
      <c r="X41" s="2">
        <f t="shared" si="4"/>
        <v>0</v>
      </c>
      <c r="AA41" s="24">
        <f t="shared" si="23"/>
        <v>-30</v>
      </c>
      <c r="AB41" s="28">
        <f t="shared" si="26"/>
        <v>729.96</v>
      </c>
      <c r="AC41" s="30">
        <v>29104.960190565725</v>
      </c>
      <c r="AD41" s="58">
        <f t="shared" si="27"/>
        <v>-7.9099702149934723</v>
      </c>
      <c r="AF41" s="24">
        <f t="shared" si="24"/>
        <v>-30</v>
      </c>
      <c r="AG41" s="29">
        <f t="shared" si="25"/>
        <v>23100</v>
      </c>
      <c r="AH41" s="30">
        <v>23042.793832770603</v>
      </c>
      <c r="AI41" s="58">
        <f t="shared" si="28"/>
        <v>-27.091067759733527</v>
      </c>
    </row>
    <row r="42" spans="1:35" x14ac:dyDescent="0.25">
      <c r="A42" s="11" t="s">
        <v>12</v>
      </c>
      <c r="B42" s="19"/>
      <c r="C42" s="12"/>
      <c r="E42" s="22"/>
      <c r="F42" s="13"/>
      <c r="I42" s="12"/>
      <c r="L42" s="9"/>
      <c r="N42" s="31">
        <f t="shared" si="6"/>
        <v>0</v>
      </c>
      <c r="O42" s="31"/>
      <c r="P42" s="35">
        <f t="shared" si="5"/>
        <v>0</v>
      </c>
      <c r="Q42" s="36">
        <f t="shared" si="0"/>
        <v>0</v>
      </c>
      <c r="R42" s="37">
        <f t="shared" si="1"/>
        <v>0</v>
      </c>
      <c r="S42" s="37">
        <f>IF(N42&gt;0,((#REF!/100)*($F$17/100)*#REF!*X42)/((1+($F$11/100))^N42),0)</f>
        <v>0</v>
      </c>
      <c r="T42" s="37"/>
      <c r="U42" s="35">
        <f t="shared" si="7"/>
        <v>0</v>
      </c>
      <c r="V42" s="34">
        <f t="shared" si="3"/>
        <v>0</v>
      </c>
      <c r="W42" s="19"/>
      <c r="X42" s="2">
        <f t="shared" si="4"/>
        <v>0</v>
      </c>
      <c r="AA42" s="24">
        <f t="shared" si="23"/>
        <v>-20</v>
      </c>
      <c r="AB42" s="28">
        <f t="shared" si="26"/>
        <v>834.24000000000024</v>
      </c>
      <c r="AC42" s="30">
        <v>29938.272869304914</v>
      </c>
      <c r="AD42" s="58">
        <f t="shared" si="27"/>
        <v>-5.2733134766623078</v>
      </c>
      <c r="AF42" s="24">
        <f t="shared" si="24"/>
        <v>-20</v>
      </c>
      <c r="AG42" s="29">
        <f t="shared" si="25"/>
        <v>26400</v>
      </c>
      <c r="AH42" s="30">
        <v>25896.828630774828</v>
      </c>
      <c r="AI42" s="58">
        <f t="shared" si="28"/>
        <v>-18.060711839822361</v>
      </c>
    </row>
    <row r="43" spans="1:35" x14ac:dyDescent="0.25">
      <c r="A43" s="22" t="s">
        <v>2</v>
      </c>
      <c r="B43" s="8">
        <f>J8/B8</f>
        <v>4645</v>
      </c>
      <c r="C43" s="1" t="s">
        <v>3</v>
      </c>
      <c r="I43" s="22"/>
      <c r="J43" s="20"/>
      <c r="L43" s="9"/>
      <c r="N43" s="31">
        <f t="shared" si="6"/>
        <v>0</v>
      </c>
      <c r="O43" s="31"/>
      <c r="P43" s="35">
        <f t="shared" si="5"/>
        <v>0</v>
      </c>
      <c r="Q43" s="36">
        <f t="shared" si="0"/>
        <v>0</v>
      </c>
      <c r="R43" s="37">
        <f t="shared" si="1"/>
        <v>0</v>
      </c>
      <c r="S43" s="37">
        <f>IF(N43&gt;0,((#REF!/100)*($F$17/100)*#REF!*X43)/((1+($F$11/100))^N43),0)</f>
        <v>0</v>
      </c>
      <c r="T43" s="37"/>
      <c r="U43" s="35">
        <f t="shared" si="7"/>
        <v>0</v>
      </c>
      <c r="V43" s="34">
        <f t="shared" si="3"/>
        <v>0</v>
      </c>
      <c r="W43" s="19"/>
      <c r="X43" s="2">
        <f t="shared" si="4"/>
        <v>0</v>
      </c>
      <c r="AA43" s="24">
        <f>AA44-10</f>
        <v>-10</v>
      </c>
      <c r="AB43" s="28">
        <f t="shared" si="26"/>
        <v>938.52000000000021</v>
      </c>
      <c r="AC43" s="30">
        <v>30771.585548044099</v>
      </c>
      <c r="AD43" s="58">
        <f t="shared" si="27"/>
        <v>-2.6366567383311539</v>
      </c>
      <c r="AF43" s="24">
        <f>AF44-10</f>
        <v>-10</v>
      </c>
      <c r="AG43" s="29">
        <f t="shared" si="25"/>
        <v>29700</v>
      </c>
      <c r="AH43" s="30">
        <v>28750.863428779063</v>
      </c>
      <c r="AI43" s="58">
        <f t="shared" si="28"/>
        <v>-9.0303559199111572</v>
      </c>
    </row>
    <row r="44" spans="1:35" x14ac:dyDescent="0.25">
      <c r="A44" s="1" t="s">
        <v>114</v>
      </c>
      <c r="B44" s="10">
        <f>(1+(B13/100))*B43</f>
        <v>4645</v>
      </c>
      <c r="C44" s="39" t="s">
        <v>3</v>
      </c>
      <c r="L44" s="9"/>
      <c r="N44" s="31">
        <f t="shared" si="6"/>
        <v>0</v>
      </c>
      <c r="O44" s="31"/>
      <c r="P44" s="35">
        <f t="shared" si="5"/>
        <v>0</v>
      </c>
      <c r="Q44" s="36">
        <f t="shared" si="0"/>
        <v>0</v>
      </c>
      <c r="R44" s="37">
        <f t="shared" si="1"/>
        <v>0</v>
      </c>
      <c r="S44" s="37">
        <f>IF(N44&gt;0,((#REF!/100)*($F$17/100)*#REF!*X44)/((1+($F$11/100))^N44),0)</f>
        <v>0</v>
      </c>
      <c r="T44" s="37"/>
      <c r="U44" s="35">
        <f t="shared" si="7"/>
        <v>0</v>
      </c>
      <c r="V44" s="34">
        <f t="shared" si="3"/>
        <v>0</v>
      </c>
      <c r="W44" s="19"/>
      <c r="X44" s="2">
        <f t="shared" si="4"/>
        <v>0</v>
      </c>
      <c r="AA44" s="60">
        <v>0</v>
      </c>
      <c r="AB44" s="64">
        <f t="shared" si="26"/>
        <v>1042.8000000000002</v>
      </c>
      <c r="AC44" s="62">
        <v>31604.898226783283</v>
      </c>
      <c r="AD44" s="63">
        <f t="shared" si="27"/>
        <v>0</v>
      </c>
      <c r="AF44" s="60">
        <v>0</v>
      </c>
      <c r="AG44" s="61">
        <f t="shared" si="25"/>
        <v>33000</v>
      </c>
      <c r="AH44" s="62">
        <v>31604.898226783283</v>
      </c>
      <c r="AI44" s="63">
        <f t="shared" si="28"/>
        <v>0</v>
      </c>
    </row>
    <row r="45" spans="1:35" x14ac:dyDescent="0.25">
      <c r="A45" s="1" t="s">
        <v>169</v>
      </c>
      <c r="B45" s="78">
        <f>(1+B15/100)*B44</f>
        <v>5016.6000000000004</v>
      </c>
      <c r="C45" s="1" t="s">
        <v>3</v>
      </c>
      <c r="L45" s="9"/>
      <c r="N45" s="31">
        <f t="shared" si="6"/>
        <v>0</v>
      </c>
      <c r="O45" s="31"/>
      <c r="P45" s="35">
        <f t="shared" si="5"/>
        <v>0</v>
      </c>
      <c r="Q45" s="36">
        <f t="shared" si="0"/>
        <v>0</v>
      </c>
      <c r="R45" s="37">
        <f t="shared" si="1"/>
        <v>0</v>
      </c>
      <c r="S45" s="37">
        <f>IF(N45&gt;0,((#REF!/100)*($F$17/100)*#REF!*X45)/((1+($F$11/100))^N45),0)</f>
        <v>0</v>
      </c>
      <c r="T45" s="37"/>
      <c r="U45" s="35">
        <f t="shared" si="7"/>
        <v>0</v>
      </c>
      <c r="V45" s="34">
        <f t="shared" si="3"/>
        <v>0</v>
      </c>
      <c r="W45" s="19"/>
      <c r="X45" s="2">
        <f t="shared" si="4"/>
        <v>0</v>
      </c>
      <c r="AA45" s="24">
        <f>AA44+10</f>
        <v>10</v>
      </c>
      <c r="AB45" s="28">
        <f t="shared" si="26"/>
        <v>1147.0800000000004</v>
      </c>
      <c r="AC45" s="30">
        <v>32438.210905522468</v>
      </c>
      <c r="AD45" s="58">
        <f t="shared" si="27"/>
        <v>2.6366567383311539</v>
      </c>
      <c r="AF45" s="24">
        <f>AF44+10</f>
        <v>10</v>
      </c>
      <c r="AG45" s="29">
        <f t="shared" si="25"/>
        <v>36300</v>
      </c>
      <c r="AH45" s="30">
        <v>34458.933024787511</v>
      </c>
      <c r="AI45" s="58">
        <f t="shared" si="28"/>
        <v>9.0303559199111803</v>
      </c>
    </row>
    <row r="46" spans="1:35" x14ac:dyDescent="0.25">
      <c r="A46" s="21" t="s">
        <v>95</v>
      </c>
      <c r="B46" s="78">
        <f>B44+(SUM(B33:B35))</f>
        <v>4980.4430850208828</v>
      </c>
      <c r="C46" s="1" t="s">
        <v>3</v>
      </c>
      <c r="L46" s="9"/>
      <c r="N46" s="31">
        <f t="shared" si="6"/>
        <v>0</v>
      </c>
      <c r="O46" s="31"/>
      <c r="P46" s="35">
        <f t="shared" si="5"/>
        <v>0</v>
      </c>
      <c r="Q46" s="36">
        <f t="shared" si="0"/>
        <v>0</v>
      </c>
      <c r="R46" s="37">
        <f t="shared" si="1"/>
        <v>0</v>
      </c>
      <c r="S46" s="37">
        <f>IF(N46&gt;0,((#REF!/100)*($F$17/100)*#REF!*X46)/((1+($F$11/100))^N46),0)</f>
        <v>0</v>
      </c>
      <c r="T46" s="37"/>
      <c r="U46" s="35">
        <f t="shared" si="7"/>
        <v>0</v>
      </c>
      <c r="V46" s="34">
        <f t="shared" si="3"/>
        <v>0</v>
      </c>
      <c r="W46" s="19"/>
      <c r="X46" s="2">
        <f t="shared" si="4"/>
        <v>0</v>
      </c>
      <c r="AA46" s="24">
        <f t="shared" ref="AA46:AA49" si="29">AA45+10</f>
        <v>20</v>
      </c>
      <c r="AB46" s="28">
        <f t="shared" si="26"/>
        <v>1251.3600000000001</v>
      </c>
      <c r="AC46" s="30">
        <v>33271.523584261653</v>
      </c>
      <c r="AD46" s="58">
        <f t="shared" si="27"/>
        <v>5.2733134766623078</v>
      </c>
      <c r="AF46" s="24">
        <f t="shared" ref="AF46:AF49" si="30">AF45+10</f>
        <v>20</v>
      </c>
      <c r="AG46" s="29">
        <f t="shared" si="25"/>
        <v>39600</v>
      </c>
      <c r="AH46" s="30">
        <v>37312.967822791739</v>
      </c>
      <c r="AI46" s="58">
        <f t="shared" si="28"/>
        <v>18.060711839822361</v>
      </c>
    </row>
    <row r="47" spans="1:35" x14ac:dyDescent="0.25">
      <c r="A47" s="21" t="s">
        <v>188</v>
      </c>
      <c r="B47" s="59">
        <f>SUM(B31:B32)</f>
        <v>0</v>
      </c>
      <c r="C47" s="1" t="s">
        <v>3</v>
      </c>
      <c r="L47" s="9"/>
      <c r="N47" s="31">
        <f t="shared" si="6"/>
        <v>0</v>
      </c>
      <c r="O47" s="31"/>
      <c r="P47" s="35">
        <f t="shared" si="5"/>
        <v>0</v>
      </c>
      <c r="Q47" s="36">
        <f t="shared" si="0"/>
        <v>0</v>
      </c>
      <c r="R47" s="37">
        <f t="shared" si="1"/>
        <v>0</v>
      </c>
      <c r="S47" s="37">
        <f>IF(N47&gt;0,((#REF!/100)*($F$17/100)*#REF!*X47)/((1+($F$11/100))^N47),0)</f>
        <v>0</v>
      </c>
      <c r="T47" s="37"/>
      <c r="U47" s="35">
        <f t="shared" si="7"/>
        <v>0</v>
      </c>
      <c r="V47" s="34">
        <f t="shared" si="3"/>
        <v>0</v>
      </c>
      <c r="W47" s="19"/>
      <c r="X47" s="2">
        <f t="shared" si="4"/>
        <v>0</v>
      </c>
      <c r="AA47" s="24">
        <f t="shared" si="29"/>
        <v>30</v>
      </c>
      <c r="AB47" s="28">
        <f t="shared" si="26"/>
        <v>1355.6400000000003</v>
      </c>
      <c r="AC47" s="30">
        <v>34104.836263000841</v>
      </c>
      <c r="AD47" s="58">
        <f t="shared" si="27"/>
        <v>7.9099702149934723</v>
      </c>
      <c r="AF47" s="24">
        <f t="shared" si="30"/>
        <v>30</v>
      </c>
      <c r="AG47" s="29">
        <f t="shared" si="25"/>
        <v>42900</v>
      </c>
      <c r="AH47" s="30">
        <v>40167.002620795967</v>
      </c>
      <c r="AI47" s="58">
        <f t="shared" si="28"/>
        <v>27.091067759733541</v>
      </c>
    </row>
    <row r="48" spans="1:35" x14ac:dyDescent="0.25">
      <c r="A48" s="21" t="s">
        <v>189</v>
      </c>
      <c r="B48" s="10">
        <f>SUM(B46:B47)</f>
        <v>4980.4430850208828</v>
      </c>
      <c r="C48" s="1" t="s">
        <v>3</v>
      </c>
      <c r="L48" s="9"/>
      <c r="N48" s="31">
        <f t="shared" si="6"/>
        <v>0</v>
      </c>
      <c r="O48" s="31"/>
      <c r="P48" s="35">
        <f t="shared" si="5"/>
        <v>0</v>
      </c>
      <c r="Q48" s="36">
        <f t="shared" si="0"/>
        <v>0</v>
      </c>
      <c r="R48" s="37">
        <f t="shared" si="1"/>
        <v>0</v>
      </c>
      <c r="S48" s="37">
        <f>IF(N48&gt;0,((#REF!/100)*($F$17/100)*#REF!*X48)/((1+($F$11/100))^N48),0)</f>
        <v>0</v>
      </c>
      <c r="T48" s="37"/>
      <c r="U48" s="35">
        <f t="shared" si="7"/>
        <v>0</v>
      </c>
      <c r="V48" s="34">
        <f t="shared" si="3"/>
        <v>0</v>
      </c>
      <c r="W48" s="19"/>
      <c r="X48" s="2">
        <f t="shared" si="4"/>
        <v>0</v>
      </c>
      <c r="AA48" s="24">
        <f t="shared" si="29"/>
        <v>40</v>
      </c>
      <c r="AB48" s="28">
        <f t="shared" si="26"/>
        <v>1459.92</v>
      </c>
      <c r="AC48" s="30">
        <v>34938.14894174003</v>
      </c>
      <c r="AD48" s="58">
        <f t="shared" si="27"/>
        <v>10.546626953324639</v>
      </c>
      <c r="AF48" s="24">
        <f t="shared" si="30"/>
        <v>40</v>
      </c>
      <c r="AG48" s="29">
        <f t="shared" si="25"/>
        <v>46200</v>
      </c>
      <c r="AH48" s="30">
        <v>43021.037418800195</v>
      </c>
      <c r="AI48" s="58">
        <f t="shared" si="28"/>
        <v>36.121423679644721</v>
      </c>
    </row>
    <row r="49" spans="1:35" x14ac:dyDescent="0.25">
      <c r="B49" s="18"/>
      <c r="L49" s="9"/>
      <c r="N49" s="32" t="s">
        <v>73</v>
      </c>
      <c r="O49" s="34">
        <f>SUM(O8:O48)</f>
        <v>249.02215425104416</v>
      </c>
      <c r="P49" s="34">
        <f t="shared" ref="P49:T49" si="31">SUM(P8:P48)</f>
        <v>4177.4201471159195</v>
      </c>
      <c r="Q49" s="34">
        <f t="shared" si="31"/>
        <v>20207.221192650417</v>
      </c>
      <c r="R49" s="34">
        <f t="shared" si="31"/>
        <v>8408.2438173344362</v>
      </c>
      <c r="S49" s="34">
        <f t="shared" si="31"/>
        <v>13.7857466004494</v>
      </c>
      <c r="T49" s="34">
        <f t="shared" si="31"/>
        <v>12.172557728672642</v>
      </c>
      <c r="U49" s="34">
        <f>SUM(U8:U48)</f>
        <v>-1462.9673888976561</v>
      </c>
      <c r="V49" s="34">
        <f>SUM(V8:V48)</f>
        <v>31604.898226783283</v>
      </c>
      <c r="W49" s="19"/>
      <c r="X49" s="19"/>
      <c r="AA49" s="24">
        <f t="shared" si="29"/>
        <v>50</v>
      </c>
      <c r="AB49" s="28">
        <f t="shared" si="26"/>
        <v>1564.2000000000003</v>
      </c>
      <c r="AC49" s="30">
        <v>35771.461620479211</v>
      </c>
      <c r="AD49" s="58">
        <f t="shared" si="27"/>
        <v>13.183283691655781</v>
      </c>
      <c r="AF49" s="24">
        <f t="shared" si="30"/>
        <v>50</v>
      </c>
      <c r="AG49" s="29">
        <f t="shared" si="25"/>
        <v>49500</v>
      </c>
      <c r="AH49" s="30">
        <v>45875.072216804416</v>
      </c>
      <c r="AI49" s="58">
        <f t="shared" si="28"/>
        <v>45.15177959955588</v>
      </c>
    </row>
    <row r="50" spans="1:35" x14ac:dyDescent="0.25">
      <c r="B50" s="18"/>
      <c r="L50" s="9"/>
      <c r="R50" s="10">
        <f>SUM(R49:T49)</f>
        <v>8434.2021216635585</v>
      </c>
      <c r="Y50" s="10"/>
    </row>
    <row r="51" spans="1:35" x14ac:dyDescent="0.25">
      <c r="L51" s="9"/>
      <c r="AA51" s="114" t="s">
        <v>213</v>
      </c>
      <c r="AB51" s="115"/>
      <c r="AC51" s="115"/>
      <c r="AD51" s="115"/>
    </row>
    <row r="52" spans="1:35" x14ac:dyDescent="0.25">
      <c r="A52" s="7"/>
      <c r="L52" s="9"/>
      <c r="AA52" s="115" t="s">
        <v>76</v>
      </c>
      <c r="AB52" s="115" t="s">
        <v>213</v>
      </c>
      <c r="AC52" s="115" t="s">
        <v>72</v>
      </c>
      <c r="AD52" s="115" t="s">
        <v>80</v>
      </c>
    </row>
    <row r="53" spans="1:35" ht="15.75" thickBot="1" x14ac:dyDescent="0.3">
      <c r="A53" s="14"/>
      <c r="B53" s="15"/>
      <c r="C53" s="15"/>
      <c r="D53" s="15"/>
      <c r="E53" s="15"/>
      <c r="F53" s="15"/>
      <c r="G53" s="15"/>
      <c r="H53" s="15"/>
      <c r="I53" s="15"/>
      <c r="J53" s="15"/>
      <c r="K53" s="15"/>
      <c r="L53" s="16"/>
      <c r="O53" s="12" t="s">
        <v>102</v>
      </c>
      <c r="P53" s="12"/>
      <c r="Y53" s="68"/>
      <c r="AA53" s="24" t="s">
        <v>78</v>
      </c>
      <c r="AB53" s="28">
        <v>7.2499999999999995E-2</v>
      </c>
      <c r="AC53" s="26">
        <f>V49</f>
        <v>31604.898226783283</v>
      </c>
      <c r="AD53" s="24"/>
    </row>
    <row r="54" spans="1:35" x14ac:dyDescent="0.25">
      <c r="N54" s="50"/>
      <c r="O54" s="53" t="s">
        <v>103</v>
      </c>
      <c r="P54" s="54" t="s">
        <v>51</v>
      </c>
      <c r="Q54" s="50"/>
      <c r="R54" s="50"/>
      <c r="S54" s="50"/>
      <c r="T54" s="50"/>
      <c r="U54" s="50"/>
      <c r="Y54" s="68"/>
      <c r="AA54" s="24">
        <f t="shared" ref="AA54:AA57" si="32">AA55-10</f>
        <v>-50</v>
      </c>
      <c r="AB54" s="28">
        <f>$AB$53*(1-(AA54/100))</f>
        <v>0.10874999999999999</v>
      </c>
      <c r="AC54" s="30">
        <f t="dataTable" ref="AC54:AC64" dt2D="0" dtr="0" r1="J9"/>
        <v>41708.508823108488</v>
      </c>
      <c r="AD54" s="58">
        <f>100*((AC54-$AC$59)/$AC$59)</f>
        <v>31.968495907900095</v>
      </c>
    </row>
    <row r="55" spans="1:35" x14ac:dyDescent="0.25">
      <c r="O55" s="1" t="s">
        <v>104</v>
      </c>
      <c r="P55" s="10">
        <f>SUM(O49:P49)</f>
        <v>4426.4423013669639</v>
      </c>
      <c r="Q55" s="1" t="s">
        <v>3</v>
      </c>
      <c r="R55" s="56">
        <f>P55/$F$41</f>
        <v>1.341346151929383E-2</v>
      </c>
      <c r="S55" s="1" t="s">
        <v>57</v>
      </c>
      <c r="Y55" s="68"/>
      <c r="AA55" s="24">
        <f t="shared" si="32"/>
        <v>-40</v>
      </c>
      <c r="AB55" s="28">
        <f t="shared" ref="AB55:AB58" si="33">$AB$53*(1-(AA55/100))</f>
        <v>0.10149999999999999</v>
      </c>
      <c r="AC55" s="30">
        <v>39687.786703843456</v>
      </c>
      <c r="AD55" s="58">
        <f t="shared" ref="AD55:AD64" si="34">100*((AC55-$AC$59)/$AC$59)</f>
        <v>25.574796726320109</v>
      </c>
    </row>
    <row r="56" spans="1:35" x14ac:dyDescent="0.25">
      <c r="O56" s="1" t="s">
        <v>97</v>
      </c>
      <c r="P56" s="52">
        <f>SUM(Q49:Q49)</f>
        <v>20207.221192650417</v>
      </c>
      <c r="Q56" s="1" t="s">
        <v>3</v>
      </c>
      <c r="R56" s="56">
        <f>P56/$F$41</f>
        <v>6.1234003614092175E-2</v>
      </c>
      <c r="S56" s="1" t="s">
        <v>57</v>
      </c>
      <c r="U56" s="51"/>
      <c r="Y56" s="68"/>
      <c r="AA56" s="24">
        <f t="shared" si="32"/>
        <v>-30</v>
      </c>
      <c r="AB56" s="28">
        <f t="shared" si="33"/>
        <v>9.425E-2</v>
      </c>
      <c r="AC56" s="30">
        <v>37667.064584578417</v>
      </c>
      <c r="AD56" s="58">
        <f t="shared" si="34"/>
        <v>19.181097544740091</v>
      </c>
    </row>
    <row r="57" spans="1:35" x14ac:dyDescent="0.25">
      <c r="O57" s="1" t="s">
        <v>115</v>
      </c>
      <c r="P57" s="52">
        <f>SUM(R49:S49)</f>
        <v>8422.029563934886</v>
      </c>
      <c r="Q57" s="1" t="s">
        <v>3</v>
      </c>
      <c r="R57" s="56">
        <f>P57/$F$41</f>
        <v>2.5521301708893593E-2</v>
      </c>
      <c r="S57" s="1" t="s">
        <v>57</v>
      </c>
      <c r="U57" s="51"/>
      <c r="Y57" s="68"/>
      <c r="AA57" s="24">
        <f t="shared" si="32"/>
        <v>-20</v>
      </c>
      <c r="AB57" s="28">
        <f t="shared" si="33"/>
        <v>8.6999999999999994E-2</v>
      </c>
      <c r="AC57" s="30">
        <v>35646.34246531337</v>
      </c>
      <c r="AD57" s="58">
        <f t="shared" si="34"/>
        <v>12.787398363160055</v>
      </c>
    </row>
    <row r="58" spans="1:35" x14ac:dyDescent="0.25">
      <c r="O58" s="1" t="s">
        <v>106</v>
      </c>
      <c r="P58" s="52">
        <f>U49</f>
        <v>-1462.9673888976561</v>
      </c>
      <c r="Q58" s="1" t="s">
        <v>3</v>
      </c>
      <c r="R58" s="56">
        <f>P58/$F$41</f>
        <v>-4.4332345118110791E-3</v>
      </c>
      <c r="S58" s="1" t="s">
        <v>57</v>
      </c>
      <c r="U58" s="51"/>
      <c r="Y58" s="68"/>
      <c r="AA58" s="24">
        <f>AA59-10</f>
        <v>-10</v>
      </c>
      <c r="AB58" s="28">
        <f t="shared" si="33"/>
        <v>7.9750000000000001E-2</v>
      </c>
      <c r="AC58" s="30">
        <v>33625.620346048338</v>
      </c>
      <c r="AD58" s="58">
        <f t="shared" si="34"/>
        <v>6.393699181580061</v>
      </c>
    </row>
    <row r="59" spans="1:35" x14ac:dyDescent="0.25">
      <c r="U59" s="51"/>
      <c r="Y59" s="68"/>
      <c r="AA59" s="60">
        <v>0</v>
      </c>
      <c r="AB59" s="64">
        <f t="shared" ref="AB59" si="35">$AB$53*(1+(AA59/100))</f>
        <v>7.2499999999999995E-2</v>
      </c>
      <c r="AC59" s="62">
        <v>31604.898226783283</v>
      </c>
      <c r="AD59" s="63">
        <f t="shared" si="34"/>
        <v>0</v>
      </c>
    </row>
    <row r="60" spans="1:35" x14ac:dyDescent="0.25">
      <c r="O60" s="12" t="s">
        <v>74</v>
      </c>
      <c r="P60" s="55">
        <f>SUM(P55:P58)</f>
        <v>31592.725669054609</v>
      </c>
      <c r="Q60" s="12" t="s">
        <v>3</v>
      </c>
      <c r="R60" s="57">
        <f>SUM(R55:R58)</f>
        <v>9.5735532330468526E-2</v>
      </c>
      <c r="S60" s="12" t="s">
        <v>57</v>
      </c>
      <c r="T60" s="12"/>
      <c r="U60" s="51"/>
      <c r="Y60" s="68"/>
      <c r="AA60" s="24">
        <f>AA59+10</f>
        <v>10</v>
      </c>
      <c r="AB60" s="28">
        <f t="shared" ref="AB60:AB64" si="36">$AB$53*(1-(AA60/100))</f>
        <v>6.5250000000000002E-2</v>
      </c>
      <c r="AC60" s="30">
        <v>29584.17610751824</v>
      </c>
      <c r="AD60" s="58">
        <f t="shared" si="34"/>
        <v>-6.3936991815800273</v>
      </c>
    </row>
    <row r="61" spans="1:35" x14ac:dyDescent="0.25">
      <c r="S61" s="51"/>
      <c r="T61" s="51"/>
      <c r="U61" s="51"/>
      <c r="Y61" s="68"/>
      <c r="AA61" s="24">
        <f t="shared" ref="AA61:AA64" si="37">AA60+10</f>
        <v>20</v>
      </c>
      <c r="AB61" s="28">
        <f t="shared" si="36"/>
        <v>5.7999999999999996E-2</v>
      </c>
      <c r="AC61" s="30">
        <v>27563.453988253208</v>
      </c>
      <c r="AD61" s="58">
        <f t="shared" si="34"/>
        <v>-12.787398363160019</v>
      </c>
    </row>
    <row r="62" spans="1:35" x14ac:dyDescent="0.25">
      <c r="P62" s="51"/>
      <c r="Q62" s="51"/>
      <c r="R62" s="51"/>
      <c r="S62" s="51"/>
      <c r="T62" s="51"/>
      <c r="U62" s="51"/>
      <c r="Y62" s="68"/>
      <c r="AA62" s="24">
        <f t="shared" si="37"/>
        <v>30</v>
      </c>
      <c r="AB62" s="28">
        <f t="shared" si="36"/>
        <v>5.0749999999999997E-2</v>
      </c>
      <c r="AC62" s="30">
        <v>25542.731868988161</v>
      </c>
      <c r="AD62" s="58">
        <f t="shared" si="34"/>
        <v>-19.181097544740055</v>
      </c>
    </row>
    <row r="63" spans="1:35" x14ac:dyDescent="0.25">
      <c r="P63" s="51"/>
      <c r="Q63" s="51"/>
      <c r="R63" s="51"/>
      <c r="S63" s="51"/>
      <c r="T63" s="51"/>
      <c r="U63" s="51"/>
      <c r="Y63" s="68"/>
      <c r="AA63" s="24">
        <f t="shared" si="37"/>
        <v>40</v>
      </c>
      <c r="AB63" s="28">
        <f t="shared" si="36"/>
        <v>4.3499999999999997E-2</v>
      </c>
      <c r="AC63" s="30">
        <v>23522.009749723115</v>
      </c>
      <c r="AD63" s="58">
        <f t="shared" si="34"/>
        <v>-25.574796726320091</v>
      </c>
    </row>
    <row r="64" spans="1:35" x14ac:dyDescent="0.25">
      <c r="P64" s="51"/>
      <c r="Q64" s="51"/>
      <c r="R64" s="51"/>
      <c r="S64" s="51"/>
      <c r="T64" s="51"/>
      <c r="U64" s="51"/>
      <c r="Y64" s="68"/>
      <c r="AA64" s="24">
        <f t="shared" si="37"/>
        <v>50</v>
      </c>
      <c r="AB64" s="28">
        <f t="shared" si="36"/>
        <v>3.6249999999999998E-2</v>
      </c>
      <c r="AC64" s="30">
        <v>21501.287630458075</v>
      </c>
      <c r="AD64" s="58">
        <f t="shared" si="34"/>
        <v>-31.968495907900106</v>
      </c>
    </row>
    <row r="65" spans="16:25" x14ac:dyDescent="0.25">
      <c r="P65" s="51"/>
      <c r="Q65" s="51"/>
      <c r="R65" s="51"/>
      <c r="S65" s="51"/>
      <c r="T65" s="51"/>
      <c r="U65" s="51"/>
      <c r="Y65" s="68"/>
    </row>
    <row r="66" spans="16:25" x14ac:dyDescent="0.25">
      <c r="P66" s="51"/>
      <c r="Q66" s="51"/>
      <c r="R66" s="51"/>
      <c r="S66" s="51"/>
      <c r="T66" s="51"/>
      <c r="U66" s="51"/>
      <c r="Y66" s="68"/>
    </row>
    <row r="67" spans="16:25" x14ac:dyDescent="0.25">
      <c r="P67" s="51"/>
      <c r="Q67" s="51"/>
      <c r="R67" s="51"/>
      <c r="S67" s="51"/>
      <c r="T67" s="51"/>
      <c r="U67" s="51"/>
      <c r="Y67" s="68"/>
    </row>
    <row r="68" spans="16:25" x14ac:dyDescent="0.25">
      <c r="P68" s="51"/>
      <c r="Q68" s="51"/>
      <c r="R68" s="51"/>
      <c r="S68" s="51"/>
      <c r="T68" s="51"/>
      <c r="U68" s="51"/>
    </row>
    <row r="69" spans="16:25" x14ac:dyDescent="0.25">
      <c r="P69" s="51"/>
      <c r="Q69" s="51"/>
      <c r="R69" s="51"/>
      <c r="S69" s="51"/>
      <c r="T69" s="51"/>
      <c r="U69" s="51"/>
    </row>
    <row r="70" spans="16:25" x14ac:dyDescent="0.25">
      <c r="P70" s="51"/>
      <c r="Q70" s="51"/>
      <c r="R70" s="51"/>
      <c r="S70" s="51"/>
      <c r="T70" s="51"/>
      <c r="U70" s="51"/>
    </row>
    <row r="71" spans="16:25" x14ac:dyDescent="0.25">
      <c r="P71" s="51"/>
      <c r="Q71" s="51"/>
      <c r="R71" s="51"/>
      <c r="S71" s="51"/>
      <c r="T71" s="51"/>
      <c r="U71" s="51"/>
    </row>
    <row r="72" spans="16:25" x14ac:dyDescent="0.25">
      <c r="P72" s="51"/>
      <c r="Q72" s="51"/>
      <c r="R72" s="51"/>
      <c r="S72" s="51"/>
      <c r="T72" s="51"/>
      <c r="U72" s="51"/>
    </row>
    <row r="73" spans="16:25" x14ac:dyDescent="0.25">
      <c r="P73" s="51"/>
      <c r="Q73" s="51"/>
      <c r="R73" s="51"/>
      <c r="S73" s="51"/>
      <c r="T73" s="51"/>
      <c r="U73" s="51"/>
    </row>
    <row r="74" spans="16:25" x14ac:dyDescent="0.25">
      <c r="P74" s="51"/>
      <c r="Q74" s="51"/>
      <c r="R74" s="51"/>
      <c r="S74" s="51"/>
      <c r="T74" s="51"/>
      <c r="U74" s="51"/>
    </row>
    <row r="75" spans="16:25" x14ac:dyDescent="0.25">
      <c r="P75" s="51"/>
      <c r="Q75" s="51"/>
      <c r="R75" s="51"/>
      <c r="S75" s="51"/>
      <c r="T75" s="51"/>
      <c r="U75" s="51"/>
    </row>
    <row r="76" spans="16:25" x14ac:dyDescent="0.25">
      <c r="P76" s="51"/>
      <c r="Q76" s="51"/>
      <c r="R76" s="51"/>
      <c r="S76" s="51"/>
      <c r="T76" s="51"/>
      <c r="U76" s="51"/>
    </row>
    <row r="77" spans="16:25" x14ac:dyDescent="0.25">
      <c r="P77" s="51"/>
      <c r="Q77" s="51"/>
      <c r="R77" s="51"/>
      <c r="S77" s="51"/>
      <c r="T77" s="51"/>
      <c r="U77" s="51"/>
    </row>
    <row r="78" spans="16:25" x14ac:dyDescent="0.25">
      <c r="P78" s="51"/>
      <c r="Q78" s="51"/>
      <c r="R78" s="51"/>
      <c r="S78" s="51"/>
      <c r="T78" s="51"/>
      <c r="U78" s="51"/>
    </row>
    <row r="79" spans="16:25" x14ac:dyDescent="0.25">
      <c r="P79" s="51"/>
      <c r="Q79" s="51"/>
      <c r="R79" s="51"/>
      <c r="S79" s="51"/>
      <c r="T79" s="51"/>
      <c r="U79" s="51"/>
    </row>
    <row r="80" spans="16:25" x14ac:dyDescent="0.25">
      <c r="P80" s="51"/>
      <c r="Q80" s="51"/>
      <c r="R80" s="51"/>
      <c r="S80" s="51"/>
      <c r="T80" s="51"/>
      <c r="U80" s="51"/>
    </row>
    <row r="81" spans="16:21" x14ac:dyDescent="0.25">
      <c r="P81" s="51"/>
      <c r="Q81" s="51"/>
      <c r="R81" s="51"/>
      <c r="S81" s="51"/>
      <c r="T81" s="51"/>
      <c r="U81" s="51"/>
    </row>
    <row r="82" spans="16:21" x14ac:dyDescent="0.25">
      <c r="P82" s="51"/>
      <c r="Q82" s="51"/>
      <c r="R82" s="51"/>
      <c r="S82" s="51"/>
      <c r="T82" s="51"/>
      <c r="U82" s="51"/>
    </row>
    <row r="83" spans="16:21" x14ac:dyDescent="0.25">
      <c r="P83" s="51"/>
      <c r="Q83" s="51"/>
      <c r="R83" s="51"/>
      <c r="S83" s="51"/>
      <c r="T83" s="51"/>
      <c r="U83" s="51"/>
    </row>
    <row r="84" spans="16:21" x14ac:dyDescent="0.25">
      <c r="P84" s="51"/>
      <c r="Q84" s="51"/>
      <c r="R84" s="51"/>
      <c r="S84" s="51"/>
      <c r="T84" s="51"/>
      <c r="U84" s="51"/>
    </row>
    <row r="85" spans="16:21" x14ac:dyDescent="0.25">
      <c r="P85" s="51"/>
      <c r="Q85" s="51"/>
      <c r="R85" s="51"/>
      <c r="S85" s="51"/>
      <c r="T85" s="51"/>
      <c r="U85" s="51"/>
    </row>
    <row r="86" spans="16:21" x14ac:dyDescent="0.25">
      <c r="P86" s="51"/>
      <c r="Q86" s="51"/>
      <c r="R86" s="51"/>
      <c r="S86" s="51"/>
      <c r="T86" s="51"/>
      <c r="U86" s="51"/>
    </row>
    <row r="87" spans="16:21" x14ac:dyDescent="0.25">
      <c r="P87" s="51"/>
      <c r="Q87" s="51"/>
      <c r="R87" s="51"/>
      <c r="S87" s="51"/>
      <c r="T87" s="51"/>
      <c r="U87" s="51"/>
    </row>
    <row r="88" spans="16:21" x14ac:dyDescent="0.25">
      <c r="P88" s="51"/>
      <c r="Q88" s="51"/>
      <c r="R88" s="51"/>
      <c r="S88" s="51"/>
      <c r="T88" s="51"/>
      <c r="U88" s="51"/>
    </row>
    <row r="89" spans="16:21" x14ac:dyDescent="0.25">
      <c r="P89" s="51"/>
      <c r="Q89" s="51"/>
      <c r="R89" s="51"/>
      <c r="S89" s="51"/>
      <c r="T89" s="51"/>
      <c r="U89" s="51"/>
    </row>
    <row r="90" spans="16:21" x14ac:dyDescent="0.25">
      <c r="P90" s="51"/>
      <c r="Q90" s="51"/>
      <c r="R90" s="51"/>
      <c r="S90" s="51"/>
      <c r="T90" s="51"/>
      <c r="U90" s="51"/>
    </row>
    <row r="91" spans="16:21" x14ac:dyDescent="0.25">
      <c r="P91" s="51"/>
      <c r="Q91" s="51"/>
      <c r="R91" s="51"/>
      <c r="S91" s="51"/>
      <c r="T91" s="51"/>
      <c r="U91" s="51"/>
    </row>
    <row r="92" spans="16:21" x14ac:dyDescent="0.25">
      <c r="P92" s="51"/>
      <c r="Q92" s="51"/>
      <c r="R92" s="51"/>
      <c r="S92" s="51"/>
      <c r="T92" s="51"/>
      <c r="U92" s="51"/>
    </row>
    <row r="93" spans="16:21" x14ac:dyDescent="0.25">
      <c r="P93" s="51"/>
      <c r="Q93" s="51"/>
      <c r="R93" s="51"/>
      <c r="S93" s="51"/>
      <c r="T93" s="51"/>
      <c r="U93" s="51"/>
    </row>
    <row r="94" spans="16:21" x14ac:dyDescent="0.25">
      <c r="P94" s="51"/>
      <c r="Q94" s="51"/>
      <c r="R94" s="51"/>
      <c r="S94" s="51"/>
      <c r="T94" s="51"/>
      <c r="U94" s="51"/>
    </row>
    <row r="95" spans="16:21" x14ac:dyDescent="0.25">
      <c r="P95" s="51"/>
      <c r="Q95" s="51"/>
      <c r="R95" s="51"/>
      <c r="S95" s="51"/>
      <c r="T95" s="51"/>
      <c r="U95" s="51"/>
    </row>
  </sheetData>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51A2-FD01-43E2-B7DF-E3691362E00D}">
  <dimension ref="A2:U45"/>
  <sheetViews>
    <sheetView tabSelected="1" topLeftCell="K1" zoomScale="102" zoomScaleNormal="100" workbookViewId="0">
      <selection activeCell="AD20" sqref="AD20"/>
    </sheetView>
  </sheetViews>
  <sheetFormatPr defaultRowHeight="15" x14ac:dyDescent="0.25"/>
  <cols>
    <col min="1" max="1" width="22" style="122" customWidth="1"/>
    <col min="2" max="2" width="21.7109375" style="122" customWidth="1"/>
    <col min="3" max="8" width="19.140625" style="123" customWidth="1"/>
    <col min="9" max="9" width="10.140625" style="122" customWidth="1"/>
    <col min="10" max="14" width="9.140625" style="122"/>
    <col min="15" max="15" width="21.140625" style="122" customWidth="1"/>
    <col min="16" max="20" width="18.42578125" style="122" customWidth="1"/>
    <col min="21" max="16384" width="9.140625" style="122"/>
  </cols>
  <sheetData>
    <row r="2" spans="1:21" ht="18.75" x14ac:dyDescent="0.3">
      <c r="A2" s="121" t="s">
        <v>212</v>
      </c>
      <c r="B2" s="122" t="s">
        <v>199</v>
      </c>
      <c r="O2" s="124" t="s">
        <v>200</v>
      </c>
    </row>
    <row r="3" spans="1:21" x14ac:dyDescent="0.25">
      <c r="B3" s="143" t="s">
        <v>201</v>
      </c>
      <c r="C3" s="144" t="s">
        <v>202</v>
      </c>
      <c r="D3" s="144"/>
      <c r="E3" s="144"/>
      <c r="F3" s="144"/>
      <c r="G3" s="144"/>
      <c r="H3" s="126"/>
      <c r="O3" s="143" t="s">
        <v>201</v>
      </c>
      <c r="P3" s="145" t="s">
        <v>202</v>
      </c>
      <c r="Q3" s="145"/>
      <c r="R3" s="145"/>
      <c r="S3" s="145"/>
      <c r="T3" s="127"/>
      <c r="U3" s="128"/>
    </row>
    <row r="4" spans="1:21" x14ac:dyDescent="0.25">
      <c r="B4" s="143"/>
      <c r="C4" s="127" t="s">
        <v>203</v>
      </c>
      <c r="D4" s="127" t="s">
        <v>204</v>
      </c>
      <c r="E4" s="127" t="s">
        <v>38</v>
      </c>
      <c r="F4" s="127" t="s">
        <v>205</v>
      </c>
      <c r="G4" s="127" t="s">
        <v>206</v>
      </c>
      <c r="H4" s="127" t="str">
        <f>'E-Bus LA'!AQ21</f>
        <v>Energy Efficiency</v>
      </c>
      <c r="O4" s="143"/>
      <c r="P4" s="125" t="s">
        <v>203</v>
      </c>
      <c r="Q4" s="125" t="s">
        <v>54</v>
      </c>
      <c r="R4" s="125" t="s">
        <v>206</v>
      </c>
      <c r="S4" s="125" t="s">
        <v>205</v>
      </c>
      <c r="T4" s="125" t="str">
        <f>'ICE-Bus LA'!AP21</f>
        <v>Energy Efficiency</v>
      </c>
    </row>
    <row r="5" spans="1:21" x14ac:dyDescent="0.25">
      <c r="B5" s="129">
        <f>'E-Bus LA'!AK22</f>
        <v>-50</v>
      </c>
      <c r="C5" s="130">
        <f>'E-Bus LA'!AL22</f>
        <v>-42.515796050628111</v>
      </c>
      <c r="D5" s="130">
        <f>'E-Bus LA'!AM22</f>
        <v>-2.1402868910877673</v>
      </c>
      <c r="E5" s="130">
        <f>'E-Bus LA'!AN22</f>
        <v>-4.7451903681266669</v>
      </c>
      <c r="F5" s="130">
        <f>'E-Bus LA'!AO22</f>
        <v>-17.850375877584423</v>
      </c>
      <c r="G5" s="130">
        <f>'E-Bus LA'!AP22</f>
        <v>-15.710088986496643</v>
      </c>
      <c r="H5" s="130">
        <f>'E-Bus LA'!AQ22</f>
        <v>2.1402868910877832</v>
      </c>
      <c r="O5" s="129">
        <f>'ICE-Bus LA'!AK22</f>
        <v>-50</v>
      </c>
      <c r="P5" s="131">
        <f>'ICE-Bus LA'!AL22</f>
        <v>-18.927999354315808</v>
      </c>
      <c r="Q5" s="131">
        <f>'ICE-Bus LA'!AM22</f>
        <v>-25.60624116158554</v>
      </c>
      <c r="R5" s="131">
        <f>'ICE-Bus LA'!AN22</f>
        <v>-10.284079008964348</v>
      </c>
      <c r="S5" s="131">
        <f>'ICE-Bus LA'!AO22</f>
        <v>-35.890320170549877</v>
      </c>
      <c r="T5" s="131">
        <f>'ICE-Bus LA'!AP22</f>
        <v>25.60624116158554</v>
      </c>
    </row>
    <row r="6" spans="1:21" x14ac:dyDescent="0.25">
      <c r="B6" s="129">
        <f>'E-Bus LA'!AK23</f>
        <v>-40</v>
      </c>
      <c r="C6" s="130">
        <f>'E-Bus LA'!AL23</f>
        <v>-34.012636840502509</v>
      </c>
      <c r="D6" s="130">
        <f>'E-Bus LA'!AM23</f>
        <v>-1.7122295128702236</v>
      </c>
      <c r="E6" s="130">
        <f>'E-Bus LA'!AN23</f>
        <v>-3.7961522945013213</v>
      </c>
      <c r="F6" s="130">
        <f>'E-Bus LA'!AO23</f>
        <v>-14.280300702067558</v>
      </c>
      <c r="G6" s="130">
        <f>'E-Bus LA'!AP23</f>
        <v>-12.568071189197289</v>
      </c>
      <c r="H6" s="130">
        <f>'E-Bus LA'!AQ23</f>
        <v>1.7122295128702552</v>
      </c>
      <c r="O6" s="129">
        <f>'ICE-Bus LA'!AK23</f>
        <v>-40</v>
      </c>
      <c r="P6" s="131">
        <f>'ICE-Bus LA'!AL23</f>
        <v>-15.142399483452657</v>
      </c>
      <c r="Q6" s="131">
        <f>'ICE-Bus LA'!AM23</f>
        <v>-20.48499292926844</v>
      </c>
      <c r="R6" s="131">
        <f>'ICE-Bus LA'!AN23</f>
        <v>-8.2272632071714806</v>
      </c>
      <c r="S6" s="131">
        <f>'ICE-Bus LA'!AO23</f>
        <v>-28.712256136439883</v>
      </c>
      <c r="T6" s="131">
        <f>'ICE-Bus LA'!AP23</f>
        <v>20.48499292926844</v>
      </c>
    </row>
    <row r="7" spans="1:21" x14ac:dyDescent="0.25">
      <c r="B7" s="129">
        <f>'E-Bus LA'!AK24</f>
        <v>-30</v>
      </c>
      <c r="C7" s="130">
        <f>'E-Bus LA'!AL24</f>
        <v>-25.509477630376875</v>
      </c>
      <c r="D7" s="130">
        <f>'E-Bus LA'!AM24</f>
        <v>-1.2841721346526636</v>
      </c>
      <c r="E7" s="130">
        <f>'E-Bus LA'!AN24</f>
        <v>-2.8471142208759592</v>
      </c>
      <c r="F7" s="130">
        <f>'E-Bus LA'!AO24</f>
        <v>-10.710225526550678</v>
      </c>
      <c r="G7" s="130">
        <f>'E-Bus LA'!AP24</f>
        <v>-9.4260533918979821</v>
      </c>
      <c r="H7" s="130">
        <f>'E-Bus LA'!AQ24</f>
        <v>1.2841721346526795</v>
      </c>
      <c r="O7" s="129">
        <f>'ICE-Bus LA'!AK24</f>
        <v>-30</v>
      </c>
      <c r="P7" s="131">
        <f>'ICE-Bus LA'!AL24</f>
        <v>-11.356799612589471</v>
      </c>
      <c r="Q7" s="131">
        <f>'ICE-Bus LA'!AM24</f>
        <v>-15.363744696951304</v>
      </c>
      <c r="R7" s="131">
        <f>'ICE-Bus LA'!AN24</f>
        <v>-6.1704474053786162</v>
      </c>
      <c r="S7" s="131">
        <f>'ICE-Bus LA'!AO24</f>
        <v>-21.534192102329943</v>
      </c>
      <c r="T7" s="131">
        <f>'ICE-Bus LA'!AP24</f>
        <v>15.363744696951336</v>
      </c>
    </row>
    <row r="8" spans="1:21" x14ac:dyDescent="0.25">
      <c r="B8" s="129">
        <f>'E-Bus LA'!AK25</f>
        <v>-20</v>
      </c>
      <c r="C8" s="130">
        <f>'E-Bus LA'!AL25</f>
        <v>-17.00631842025124</v>
      </c>
      <c r="D8" s="130">
        <f>'E-Bus LA'!AM25</f>
        <v>-0.85611475643508783</v>
      </c>
      <c r="E8" s="130">
        <f>'E-Bus LA'!AN25</f>
        <v>-1.8980761472506764</v>
      </c>
      <c r="F8" s="130">
        <f>'E-Bus LA'!AO25</f>
        <v>-7.1401503510337792</v>
      </c>
      <c r="G8" s="130">
        <f>'E-Bus LA'!AP25</f>
        <v>-6.2840355945986444</v>
      </c>
      <c r="H8" s="130">
        <f>'E-Bus LA'!AQ25</f>
        <v>0.85611475643510382</v>
      </c>
      <c r="O8" s="129">
        <f>'ICE-Bus LA'!AK25</f>
        <v>-20</v>
      </c>
      <c r="P8" s="131">
        <f>'ICE-Bus LA'!AL25</f>
        <v>-7.5711997417263195</v>
      </c>
      <c r="Q8" s="131">
        <f>'ICE-Bus LA'!AM25</f>
        <v>-10.242496464634202</v>
      </c>
      <c r="R8" s="131">
        <f>'ICE-Bus LA'!AN25</f>
        <v>-4.1136316035857146</v>
      </c>
      <c r="S8" s="131">
        <f>'ICE-Bus LA'!AO25</f>
        <v>-14.356128068219917</v>
      </c>
      <c r="T8" s="131">
        <f>'ICE-Bus LA'!AP25</f>
        <v>10.24249646463422</v>
      </c>
    </row>
    <row r="9" spans="1:21" x14ac:dyDescent="0.25">
      <c r="B9" s="129">
        <f>'E-Bus LA'!AK26</f>
        <v>-10</v>
      </c>
      <c r="C9" s="130">
        <f>'E-Bus LA'!AL26</f>
        <v>-8.5031592101256361</v>
      </c>
      <c r="D9" s="130">
        <f>'E-Bus LA'!AM26</f>
        <v>-0.42805737821754392</v>
      </c>
      <c r="E9" s="130">
        <f>'E-Bus LA'!AN26</f>
        <v>-0.9490380736253462</v>
      </c>
      <c r="F9" s="130">
        <f>'E-Bus LA'!AO26</f>
        <v>-3.570075175516882</v>
      </c>
      <c r="G9" s="130">
        <f>'E-Bus LA'!AP26</f>
        <v>-3.1420177972993062</v>
      </c>
      <c r="H9" s="130">
        <f>'E-Bus LA'!AQ26</f>
        <v>0.42805737821757572</v>
      </c>
      <c r="O9" s="129">
        <f>'ICE-Bus LA'!AK26</f>
        <v>-10</v>
      </c>
      <c r="P9" s="131">
        <f>'ICE-Bus LA'!AL26</f>
        <v>-3.7855998708631509</v>
      </c>
      <c r="Q9" s="131">
        <f>'ICE-Bus LA'!AM26</f>
        <v>-5.1212482323170834</v>
      </c>
      <c r="R9" s="131">
        <f>'ICE-Bus LA'!AN26</f>
        <v>-2.0568158017928662</v>
      </c>
      <c r="S9" s="131">
        <f>'ICE-Bus LA'!AO26</f>
        <v>-7.1780640341099851</v>
      </c>
      <c r="T9" s="131">
        <f>'ICE-Bus LA'!AP26</f>
        <v>5.1212482323170834</v>
      </c>
    </row>
    <row r="10" spans="1:21" x14ac:dyDescent="0.25">
      <c r="B10" s="129">
        <f>'E-Bus LA'!AK27</f>
        <v>0</v>
      </c>
      <c r="C10" s="130">
        <f>'E-Bus LA'!AL27</f>
        <v>0</v>
      </c>
      <c r="D10" s="130">
        <f>'E-Bus LA'!AM27</f>
        <v>0</v>
      </c>
      <c r="E10" s="130">
        <f>'E-Bus LA'!AN27</f>
        <v>0</v>
      </c>
      <c r="F10" s="130">
        <f>'E-Bus LA'!AO27</f>
        <v>0</v>
      </c>
      <c r="G10" s="130">
        <f>'E-Bus LA'!AP27</f>
        <v>0</v>
      </c>
      <c r="H10" s="130">
        <f>'E-Bus LA'!AQ27</f>
        <v>0</v>
      </c>
      <c r="O10" s="129">
        <f>'ICE-Bus LA'!AK27</f>
        <v>0</v>
      </c>
      <c r="P10" s="131">
        <f>'ICE-Bus LA'!AL27</f>
        <v>0</v>
      </c>
      <c r="Q10" s="131">
        <f>'ICE-Bus LA'!AM27</f>
        <v>0</v>
      </c>
      <c r="R10" s="131">
        <f>'ICE-Bus LA'!AN27</f>
        <v>0</v>
      </c>
      <c r="S10" s="131">
        <f>'ICE-Bus LA'!AO27</f>
        <v>0</v>
      </c>
      <c r="T10" s="131">
        <f>'ICE-Bus LA'!AP27</f>
        <v>0</v>
      </c>
    </row>
    <row r="11" spans="1:21" x14ac:dyDescent="0.25">
      <c r="B11" s="129">
        <f>'E-Bus LA'!AK28</f>
        <v>10</v>
      </c>
      <c r="C11" s="130">
        <f>'E-Bus LA'!AL28</f>
        <v>8.5031592101256361</v>
      </c>
      <c r="D11" s="130">
        <f>'E-Bus LA'!AM28</f>
        <v>0.42805737821757572</v>
      </c>
      <c r="E11" s="130">
        <f>'E-Bus LA'!AN28</f>
        <v>0.9490380736253462</v>
      </c>
      <c r="F11" s="130">
        <f>'E-Bus LA'!AO28</f>
        <v>3.570075175516914</v>
      </c>
      <c r="G11" s="130">
        <f>'E-Bus LA'!AP28</f>
        <v>3.1420177972993382</v>
      </c>
      <c r="H11" s="130">
        <f>'E-Bus LA'!AQ28</f>
        <v>-0.42805737821754392</v>
      </c>
      <c r="O11" s="129">
        <f>'ICE-Bus LA'!AK28</f>
        <v>10</v>
      </c>
      <c r="P11" s="131">
        <f>'ICE-Bus LA'!AL28</f>
        <v>3.7855998708631691</v>
      </c>
      <c r="Q11" s="131">
        <f>'ICE-Bus LA'!AM28</f>
        <v>5.1212482323170834</v>
      </c>
      <c r="R11" s="131">
        <f>'ICE-Bus LA'!AN28</f>
        <v>2.0568158017928662</v>
      </c>
      <c r="S11" s="131">
        <f>'ICE-Bus LA'!AO28</f>
        <v>7.1780640341100019</v>
      </c>
      <c r="T11" s="131">
        <f>'ICE-Bus LA'!AP28</f>
        <v>-5.1212482323171011</v>
      </c>
    </row>
    <row r="12" spans="1:21" x14ac:dyDescent="0.25">
      <c r="B12" s="129">
        <f>'E-Bus LA'!AK29</f>
        <v>20</v>
      </c>
      <c r="C12" s="130">
        <f>'E-Bus LA'!AL29</f>
        <v>17.00631842025124</v>
      </c>
      <c r="D12" s="130">
        <f>'E-Bus LA'!AM29</f>
        <v>0.85611475643510382</v>
      </c>
      <c r="E12" s="130">
        <f>'E-Bus LA'!AN29</f>
        <v>1.8980761472506447</v>
      </c>
      <c r="F12" s="130">
        <f>'E-Bus LA'!AO29</f>
        <v>7.140150351033796</v>
      </c>
      <c r="G12" s="130">
        <f>'E-Bus LA'!AP29</f>
        <v>6.2840355945986763</v>
      </c>
      <c r="H12" s="130">
        <f>'E-Bus LA'!AQ29</f>
        <v>-0.85611475643508783</v>
      </c>
      <c r="O12" s="129">
        <f>'ICE-Bus LA'!AK29</f>
        <v>20</v>
      </c>
      <c r="P12" s="131">
        <f>'ICE-Bus LA'!AL29</f>
        <v>7.5711997417263381</v>
      </c>
      <c r="Q12" s="131">
        <f>'ICE-Bus LA'!AM29</f>
        <v>10.242496464634202</v>
      </c>
      <c r="R12" s="131">
        <f>'ICE-Bus LA'!AN29</f>
        <v>4.1136316035857501</v>
      </c>
      <c r="S12" s="131">
        <f>'ICE-Bus LA'!AO29</f>
        <v>14.356128068219951</v>
      </c>
      <c r="T12" s="131">
        <f>'ICE-Bus LA'!AP29</f>
        <v>-10.242496464634202</v>
      </c>
    </row>
    <row r="13" spans="1:21" x14ac:dyDescent="0.25">
      <c r="B13" s="129">
        <f>'E-Bus LA'!AK30</f>
        <v>30</v>
      </c>
      <c r="C13" s="130">
        <f>'E-Bus LA'!AL30</f>
        <v>25.509477630376875</v>
      </c>
      <c r="D13" s="130">
        <f>'E-Bus LA'!AM30</f>
        <v>1.2841721346526795</v>
      </c>
      <c r="E13" s="130">
        <f>'E-Bus LA'!AN30</f>
        <v>2.8471142208760067</v>
      </c>
      <c r="F13" s="130">
        <f>'E-Bus LA'!AO30</f>
        <v>10.710225526550692</v>
      </c>
      <c r="G13" s="130">
        <f>'E-Bus LA'!AP30</f>
        <v>9.4260533918980141</v>
      </c>
      <c r="H13" s="130">
        <f>'E-Bus LA'!AQ30</f>
        <v>-1.2841721346526636</v>
      </c>
      <c r="O13" s="129">
        <f>'ICE-Bus LA'!AK30</f>
        <v>30</v>
      </c>
      <c r="P13" s="131">
        <f>'ICE-Bus LA'!AL30</f>
        <v>11.356799612589489</v>
      </c>
      <c r="Q13" s="131">
        <f>'ICE-Bus LA'!AM30</f>
        <v>15.363744696951336</v>
      </c>
      <c r="R13" s="131">
        <f>'ICE-Bus LA'!AN30</f>
        <v>6.1704474053785985</v>
      </c>
      <c r="S13" s="131">
        <f>'ICE-Bus LA'!AO30</f>
        <v>21.534192102329953</v>
      </c>
      <c r="T13" s="131">
        <f>'ICE-Bus LA'!AP30</f>
        <v>-15.363744696951304</v>
      </c>
    </row>
    <row r="14" spans="1:21" x14ac:dyDescent="0.25">
      <c r="B14" s="129">
        <f>'E-Bus LA'!AK31</f>
        <v>40</v>
      </c>
      <c r="C14" s="130">
        <f>'E-Bus LA'!AL31</f>
        <v>34.012636840502481</v>
      </c>
      <c r="D14" s="130">
        <f>'E-Bus LA'!AM31</f>
        <v>1.7122295128702552</v>
      </c>
      <c r="E14" s="130">
        <f>'E-Bus LA'!AN31</f>
        <v>3.7961522945012893</v>
      </c>
      <c r="F14" s="130">
        <f>'E-Bus LA'!AO31</f>
        <v>14.280300702067558</v>
      </c>
      <c r="G14" s="130">
        <f>'E-Bus LA'!AP31</f>
        <v>12.568071189197319</v>
      </c>
      <c r="H14" s="130">
        <f>'E-Bus LA'!AQ31</f>
        <v>-1.7122295128702236</v>
      </c>
      <c r="O14" s="129">
        <f>'ICE-Bus LA'!AK31</f>
        <v>40</v>
      </c>
      <c r="P14" s="131">
        <f>'ICE-Bus LA'!AL31</f>
        <v>15.142399483452639</v>
      </c>
      <c r="Q14" s="131">
        <f>'ICE-Bus LA'!AM31</f>
        <v>20.48499292926844</v>
      </c>
      <c r="R14" s="131">
        <f>'ICE-Bus LA'!AN31</f>
        <v>8.2272632071715002</v>
      </c>
      <c r="S14" s="131">
        <f>'ICE-Bus LA'!AO31</f>
        <v>28.712256136439869</v>
      </c>
      <c r="T14" s="131">
        <f>'ICE-Bus LA'!AP31</f>
        <v>-20.48499292926844</v>
      </c>
    </row>
    <row r="15" spans="1:21" x14ac:dyDescent="0.25">
      <c r="B15" s="129">
        <f>'E-Bus LA'!AK32</f>
        <v>50</v>
      </c>
      <c r="C15" s="130">
        <f>'E-Bus LA'!AL32</f>
        <v>42.515796050628147</v>
      </c>
      <c r="D15" s="130">
        <f>'E-Bus LA'!AM32</f>
        <v>2.1402868910877832</v>
      </c>
      <c r="E15" s="130">
        <f>'E-Bus LA'!AN32</f>
        <v>4.745190368126635</v>
      </c>
      <c r="F15" s="130">
        <f>'E-Bus LA'!AO32</f>
        <v>17.850375877584472</v>
      </c>
      <c r="G15" s="130">
        <f>'E-Bus LA'!AP32</f>
        <v>15.710088986496656</v>
      </c>
      <c r="H15" s="130">
        <f>'E-Bus LA'!AQ32</f>
        <v>-2.1402868910877673</v>
      </c>
      <c r="O15" s="129">
        <f>'ICE-Bus LA'!AK32</f>
        <v>50</v>
      </c>
      <c r="P15" s="131">
        <f>'ICE-Bus LA'!AL32</f>
        <v>18.927999354315808</v>
      </c>
      <c r="Q15" s="131">
        <f>'ICE-Bus LA'!AM32</f>
        <v>25.60624116158554</v>
      </c>
      <c r="R15" s="131">
        <f>'ICE-Bus LA'!AN32</f>
        <v>10.284079008964365</v>
      </c>
      <c r="S15" s="131">
        <f>'ICE-Bus LA'!AO32</f>
        <v>35.890320170549892</v>
      </c>
      <c r="T15" s="131">
        <f>'ICE-Bus LA'!AP32</f>
        <v>-25.60624116158554</v>
      </c>
    </row>
    <row r="17" spans="2:20" x14ac:dyDescent="0.25">
      <c r="B17" s="124" t="s">
        <v>207</v>
      </c>
      <c r="O17" s="124" t="s">
        <v>208</v>
      </c>
    </row>
    <row r="18" spans="2:20" x14ac:dyDescent="0.25">
      <c r="B18" s="143" t="s">
        <v>201</v>
      </c>
      <c r="C18" s="144" t="s">
        <v>202</v>
      </c>
      <c r="D18" s="144"/>
      <c r="E18" s="144"/>
      <c r="F18" s="144"/>
      <c r="G18" s="144"/>
      <c r="H18" s="126"/>
      <c r="O18" s="143" t="s">
        <v>201</v>
      </c>
      <c r="P18" s="145" t="s">
        <v>202</v>
      </c>
      <c r="Q18" s="145"/>
      <c r="R18" s="145"/>
      <c r="S18" s="145"/>
      <c r="T18" s="127"/>
    </row>
    <row r="19" spans="2:20" x14ac:dyDescent="0.25">
      <c r="B19" s="143"/>
      <c r="C19" s="127" t="s">
        <v>203</v>
      </c>
      <c r="D19" s="127" t="s">
        <v>204</v>
      </c>
      <c r="E19" s="127" t="s">
        <v>38</v>
      </c>
      <c r="F19" s="127" t="s">
        <v>205</v>
      </c>
      <c r="G19" s="127" t="s">
        <v>206</v>
      </c>
      <c r="H19" s="127" t="str">
        <f>'E-Truck LA'!AQ21</f>
        <v>Energy Efficiency</v>
      </c>
      <c r="O19" s="143"/>
      <c r="P19" s="125" t="s">
        <v>203</v>
      </c>
      <c r="Q19" s="125" t="s">
        <v>54</v>
      </c>
      <c r="R19" s="125" t="s">
        <v>206</v>
      </c>
      <c r="S19" s="125" t="s">
        <v>205</v>
      </c>
      <c r="T19" s="125" t="str">
        <f>'ICE-Truck LA'!AP21</f>
        <v>Energy Efficiency</v>
      </c>
    </row>
    <row r="20" spans="2:20" x14ac:dyDescent="0.25">
      <c r="B20" s="129">
        <f>'E-Truck LA'!AK22</f>
        <v>-50</v>
      </c>
      <c r="C20" s="130">
        <f>'E-Truck LA'!AL22</f>
        <v>-40.337904203924943</v>
      </c>
      <c r="D20" s="130">
        <f>'E-Truck LA'!AM22</f>
        <v>-1.5032038948021391</v>
      </c>
      <c r="E20" s="130">
        <f>'E-Truck LA'!AN22</f>
        <v>-5.5968563486650789</v>
      </c>
      <c r="F20" s="130">
        <f>'E-Truck LA'!AO22</f>
        <v>-27.353896278357588</v>
      </c>
      <c r="G20" s="130">
        <f>'E-Truck LA'!AP22</f>
        <v>-9.8444915919967553</v>
      </c>
      <c r="H20" s="130">
        <f>'E-Truck LA'!AQ22</f>
        <v>1.5032038948021953</v>
      </c>
      <c r="O20" s="129">
        <f>'ICE-Truck LA'!AK22</f>
        <v>-50</v>
      </c>
      <c r="P20" s="131">
        <f>'ICE-Truck LA'!AL22</f>
        <v>-6.1313915746488066</v>
      </c>
      <c r="Q20" s="131">
        <f>'ICE-Truck LA'!AM22</f>
        <v>-28.767719762555512</v>
      </c>
      <c r="R20" s="131">
        <f>'ICE-Truck LA'!AN22</f>
        <v>-17.011310630780198</v>
      </c>
      <c r="S20" s="131">
        <f>'ICE-Truck LA'!AO22</f>
        <v>-45.779030393335717</v>
      </c>
      <c r="T20" s="131">
        <f>'ICE-Truck LA'!AP22</f>
        <v>28.767719762555512</v>
      </c>
    </row>
    <row r="21" spans="2:20" x14ac:dyDescent="0.25">
      <c r="B21" s="129">
        <f>'E-Truck LA'!AK23</f>
        <v>-40</v>
      </c>
      <c r="C21" s="130">
        <f>'E-Truck LA'!AL23</f>
        <v>-32.270323363139944</v>
      </c>
      <c r="D21" s="130">
        <f>'E-Truck LA'!AM23</f>
        <v>-1.2025631158417152</v>
      </c>
      <c r="E21" s="130">
        <f>'E-Truck LA'!AN23</f>
        <v>-4.4774850789320748</v>
      </c>
      <c r="F21" s="130">
        <f>'E-Truck LA'!AO23</f>
        <v>-17.612464347470137</v>
      </c>
      <c r="G21" s="130">
        <f>'E-Truck LA'!AP23</f>
        <v>-7.8755932735974117</v>
      </c>
      <c r="H21" s="130">
        <f>'E-Truck LA'!AQ23</f>
        <v>1.2025631158417525</v>
      </c>
      <c r="O21" s="129">
        <f>'ICE-Truck LA'!AK23</f>
        <v>-40</v>
      </c>
      <c r="P21" s="131">
        <f>'ICE-Truck LA'!AL23</f>
        <v>-4.9051132597190339</v>
      </c>
      <c r="Q21" s="131">
        <f>'ICE-Truck LA'!AM23</f>
        <v>-23.014175810044431</v>
      </c>
      <c r="R21" s="131">
        <f>'ICE-Truck LA'!AN23</f>
        <v>-13.609048504624166</v>
      </c>
      <c r="S21" s="131">
        <f>'ICE-Truck LA'!AO23</f>
        <v>-36.623224314668576</v>
      </c>
      <c r="T21" s="131">
        <f>'ICE-Truck LA'!AP23</f>
        <v>23.014175810044414</v>
      </c>
    </row>
    <row r="22" spans="2:20" x14ac:dyDescent="0.25">
      <c r="B22" s="129">
        <f>'E-Truck LA'!AK24</f>
        <v>-30</v>
      </c>
      <c r="C22" s="130">
        <f>'E-Truck LA'!AL24</f>
        <v>-24.202742522354971</v>
      </c>
      <c r="D22" s="130">
        <f>'E-Truck LA'!AM24</f>
        <v>-0.90192233688127232</v>
      </c>
      <c r="E22" s="130">
        <f>'E-Truck LA'!AN24</f>
        <v>-3.3581138091990508</v>
      </c>
      <c r="F22" s="130">
        <f>'E-Truck LA'!AO24</f>
        <v>-15.021633858268638</v>
      </c>
      <c r="G22" s="130">
        <f>'E-Truck LA'!AP24</f>
        <v>-5.9066949551980308</v>
      </c>
      <c r="H22" s="130">
        <f>'E-Truck LA'!AQ24</f>
        <v>0.90192233688132839</v>
      </c>
      <c r="O22" s="129">
        <f>'ICE-Truck LA'!AK24</f>
        <v>-30</v>
      </c>
      <c r="P22" s="131">
        <f>'ICE-Truck LA'!AL24</f>
        <v>-3.6788349447892803</v>
      </c>
      <c r="Q22" s="131">
        <f>'ICE-Truck LA'!AM24</f>
        <v>-17.260631857533316</v>
      </c>
      <c r="R22" s="131">
        <f>'ICE-Truck LA'!AN24</f>
        <v>-10.206786378468131</v>
      </c>
      <c r="S22" s="131">
        <f>'ICE-Truck LA'!AO24</f>
        <v>-27.467418236001436</v>
      </c>
      <c r="T22" s="131">
        <f>'ICE-Truck LA'!AP24</f>
        <v>17.260631857533316</v>
      </c>
    </row>
    <row r="23" spans="2:20" x14ac:dyDescent="0.25">
      <c r="B23" s="129">
        <f>'E-Truck LA'!AK25</f>
        <v>-20</v>
      </c>
      <c r="C23" s="130">
        <f>'E-Truck LA'!AL25</f>
        <v>-16.135161681569972</v>
      </c>
      <c r="D23" s="130">
        <f>'E-Truck LA'!AM25</f>
        <v>-0.60128155792088556</v>
      </c>
      <c r="E23" s="130">
        <f>'E-Truck LA'!AN25</f>
        <v>-2.2387425394660281</v>
      </c>
      <c r="F23" s="130">
        <f>'E-Truck LA'!AO25</f>
        <v>-12.416987839217946</v>
      </c>
      <c r="G23" s="130">
        <f>'E-Truck LA'!AP25</f>
        <v>-3.9377966367986872</v>
      </c>
      <c r="H23" s="130">
        <f>'E-Truck LA'!AQ25</f>
        <v>0.6012815579208669</v>
      </c>
      <c r="O23" s="129">
        <f>'ICE-Truck LA'!AK25</f>
        <v>-20</v>
      </c>
      <c r="P23" s="131">
        <f>'ICE-Truck LA'!AL25</f>
        <v>-2.4525566298595076</v>
      </c>
      <c r="Q23" s="131">
        <f>'ICE-Truck LA'!AM25</f>
        <v>-11.507087905022216</v>
      </c>
      <c r="R23" s="131">
        <f>'ICE-Truck LA'!AN25</f>
        <v>-6.8045242523120679</v>
      </c>
      <c r="S23" s="131">
        <f>'ICE-Truck LA'!AO25</f>
        <v>-18.311612157334295</v>
      </c>
      <c r="T23" s="131">
        <f>'ICE-Truck LA'!AP25</f>
        <v>11.507087905022177</v>
      </c>
    </row>
    <row r="24" spans="2:20" x14ac:dyDescent="0.25">
      <c r="B24" s="129">
        <f>'E-Truck LA'!AK26</f>
        <v>-10</v>
      </c>
      <c r="C24" s="130">
        <f>'E-Truck LA'!AL26</f>
        <v>-8.0675808407849789</v>
      </c>
      <c r="D24" s="130">
        <f>'E-Truck LA'!AM26</f>
        <v>-0.30064077896042407</v>
      </c>
      <c r="E24" s="130">
        <f>'E-Truck LA'!AN26</f>
        <v>-1.1193712697330045</v>
      </c>
      <c r="F24" s="130">
        <f>'E-Truck LA'!AO26</f>
        <v>-9.7979322225345591</v>
      </c>
      <c r="G24" s="130">
        <f>'E-Truck LA'!AP26</f>
        <v>-1.9688983183993436</v>
      </c>
      <c r="H24" s="130">
        <f>'E-Truck LA'!AQ26</f>
        <v>0.30064077896046149</v>
      </c>
      <c r="O24" s="129">
        <f>'ICE-Truck LA'!AK26</f>
        <v>-10</v>
      </c>
      <c r="P24" s="131">
        <f>'ICE-Truck LA'!AL26</f>
        <v>-1.2262783149297538</v>
      </c>
      <c r="Q24" s="131">
        <f>'ICE-Truck LA'!AM26</f>
        <v>-5.7535439525110981</v>
      </c>
      <c r="R24" s="131">
        <f>'ICE-Truck LA'!AN26</f>
        <v>-3.4022621261560242</v>
      </c>
      <c r="S24" s="131">
        <f>'ICE-Truck LA'!AO26</f>
        <v>-9.1558060786671422</v>
      </c>
      <c r="T24" s="131">
        <f>'ICE-Truck LA'!AP26</f>
        <v>5.7535439525110981</v>
      </c>
    </row>
    <row r="25" spans="2:20" x14ac:dyDescent="0.25">
      <c r="B25" s="129">
        <f>'E-Truck LA'!AK27</f>
        <v>0</v>
      </c>
      <c r="C25" s="130">
        <f>'E-Truck LA'!AL27</f>
        <v>0</v>
      </c>
      <c r="D25" s="130">
        <f>'E-Truck LA'!AM27</f>
        <v>0</v>
      </c>
      <c r="E25" s="130">
        <f>'E-Truck LA'!AN27</f>
        <v>0</v>
      </c>
      <c r="F25" s="130">
        <f>'E-Truck LA'!AO27</f>
        <v>0</v>
      </c>
      <c r="G25" s="130">
        <f>'E-Truck LA'!AP27</f>
        <v>0</v>
      </c>
      <c r="H25" s="130">
        <f>'E-Truck LA'!AQ27</f>
        <v>0</v>
      </c>
      <c r="O25" s="129">
        <f>'ICE-Truck LA'!AK27</f>
        <v>0</v>
      </c>
      <c r="P25" s="131">
        <f>'ICE-Truck LA'!AL27</f>
        <v>0</v>
      </c>
      <c r="Q25" s="131">
        <f>'ICE-Truck LA'!AM27</f>
        <v>0</v>
      </c>
      <c r="R25" s="131">
        <f>'ICE-Truck LA'!AN27</f>
        <v>0</v>
      </c>
      <c r="S25" s="131">
        <f>'ICE-Truck LA'!AO27</f>
        <v>0</v>
      </c>
      <c r="T25" s="131">
        <f>'ICE-Truck LA'!AP27</f>
        <v>0</v>
      </c>
    </row>
    <row r="26" spans="2:20" x14ac:dyDescent="0.25">
      <c r="B26" s="129">
        <f>'E-Truck LA'!AK28</f>
        <v>10</v>
      </c>
      <c r="C26" s="130">
        <f>'E-Truck LA'!AL28</f>
        <v>8.067580840785018</v>
      </c>
      <c r="D26" s="130">
        <f>'E-Truck LA'!AM28</f>
        <v>0.30064077896046149</v>
      </c>
      <c r="E26" s="130">
        <f>'E-Truck LA'!AN28</f>
        <v>1.1193712697330234</v>
      </c>
      <c r="F26" s="130">
        <f>'E-Truck LA'!AO28</f>
        <v>2.2695390973598051</v>
      </c>
      <c r="G26" s="130">
        <f>'E-Truck LA'!AP28</f>
        <v>1.9688983183993622</v>
      </c>
      <c r="H26" s="130">
        <f>'E-Truck LA'!AQ28</f>
        <v>-0.30064077896042407</v>
      </c>
      <c r="O26" s="129">
        <f>'ICE-Truck LA'!AK28</f>
        <v>10</v>
      </c>
      <c r="P26" s="131">
        <f>'ICE-Truck LA'!AL28</f>
        <v>1.2262783149297729</v>
      </c>
      <c r="Q26" s="131">
        <f>'ICE-Truck LA'!AM28</f>
        <v>5.7535439525110981</v>
      </c>
      <c r="R26" s="131">
        <f>'ICE-Truck LA'!AN28</f>
        <v>3.4022621261560437</v>
      </c>
      <c r="S26" s="131">
        <f>'ICE-Truck LA'!AO28</f>
        <v>9.1558060786671422</v>
      </c>
      <c r="T26" s="131">
        <f>'ICE-Truck LA'!AP28</f>
        <v>-5.7535439525110981</v>
      </c>
    </row>
    <row r="27" spans="2:20" x14ac:dyDescent="0.25">
      <c r="B27" s="129">
        <f>'E-Truck LA'!AK29</f>
        <v>20</v>
      </c>
      <c r="C27" s="130">
        <f>'E-Truck LA'!AL29</f>
        <v>16.135161681570018</v>
      </c>
      <c r="D27" s="130">
        <f>'E-Truck LA'!AM29</f>
        <v>0.6012815579208669</v>
      </c>
      <c r="E27" s="130">
        <f>'E-Truck LA'!AN29</f>
        <v>2.2387425394660649</v>
      </c>
      <c r="F27" s="130">
        <f>'E-Truck LA'!AO29</f>
        <v>5.5486362205983246</v>
      </c>
      <c r="G27" s="130">
        <f>'E-Truck LA'!AP29</f>
        <v>3.9377966367987245</v>
      </c>
      <c r="H27" s="130">
        <f>'E-Truck LA'!AQ29</f>
        <v>-0.60128155792088556</v>
      </c>
      <c r="O27" s="129">
        <f>'ICE-Truck LA'!AK29</f>
        <v>20</v>
      </c>
      <c r="P27" s="131">
        <f>'ICE-Truck LA'!AL29</f>
        <v>2.4525566298595267</v>
      </c>
      <c r="Q27" s="131">
        <f>'ICE-Truck LA'!AM29</f>
        <v>11.507087905022177</v>
      </c>
      <c r="R27" s="131">
        <f>'ICE-Truck LA'!AN29</f>
        <v>6.8045242523120875</v>
      </c>
      <c r="S27" s="131">
        <f>'ICE-Truck LA'!AO29</f>
        <v>18.311612157334263</v>
      </c>
      <c r="T27" s="131">
        <f>'ICE-Truck LA'!AP29</f>
        <v>-11.507087905022216</v>
      </c>
    </row>
    <row r="28" spans="2:20" x14ac:dyDescent="0.25">
      <c r="B28" s="129">
        <f>'E-Truck LA'!AK30</f>
        <v>30</v>
      </c>
      <c r="C28" s="130">
        <f>'E-Truck LA'!AL30</f>
        <v>24.20274252235496</v>
      </c>
      <c r="D28" s="130">
        <f>'E-Truck LA'!AM30</f>
        <v>0.90192233688132839</v>
      </c>
      <c r="E28" s="130">
        <f>'E-Truck LA'!AN30</f>
        <v>3.3581138091990885</v>
      </c>
      <c r="F28" s="130">
        <f>'E-Truck LA'!AO30</f>
        <v>7.8181753179581301</v>
      </c>
      <c r="G28" s="130">
        <f>'E-Truck LA'!AP30</f>
        <v>5.9066949551980681</v>
      </c>
      <c r="H28" s="130">
        <f>'E-Truck LA'!AQ30</f>
        <v>-0.90192233688127232</v>
      </c>
      <c r="O28" s="129">
        <f>'ICE-Truck LA'!AK30</f>
        <v>30</v>
      </c>
      <c r="P28" s="131">
        <f>'ICE-Truck LA'!AL30</f>
        <v>3.6788349447892998</v>
      </c>
      <c r="Q28" s="131">
        <f>'ICE-Truck LA'!AM30</f>
        <v>17.260631857533316</v>
      </c>
      <c r="R28" s="131">
        <f>'ICE-Truck LA'!AN30</f>
        <v>10.206786378468111</v>
      </c>
      <c r="S28" s="131">
        <f>'ICE-Truck LA'!AO30</f>
        <v>27.467418236001407</v>
      </c>
      <c r="T28" s="131">
        <f>'ICE-Truck LA'!AP30</f>
        <v>-17.260631857533316</v>
      </c>
    </row>
    <row r="29" spans="2:20" x14ac:dyDescent="0.25">
      <c r="B29" s="129">
        <f>'E-Truck LA'!AK31</f>
        <v>40</v>
      </c>
      <c r="C29" s="130">
        <f>'E-Truck LA'!AL31</f>
        <v>32.27032336313998</v>
      </c>
      <c r="D29" s="130">
        <f>'E-Truck LA'!AM31</f>
        <v>1.2025631158417525</v>
      </c>
      <c r="E29" s="130">
        <f>'E-Truck LA'!AN31</f>
        <v>4.4774850789320935</v>
      </c>
      <c r="F29" s="130">
        <f>'E-Truck LA'!AO31</f>
        <v>10.087714415317899</v>
      </c>
      <c r="G29" s="130">
        <f>'E-Truck LA'!AP31</f>
        <v>7.8755932735974685</v>
      </c>
      <c r="H29" s="130">
        <f>'E-Truck LA'!AQ31</f>
        <v>-1.2025631158417152</v>
      </c>
      <c r="O29" s="129">
        <f>'ICE-Truck LA'!AK31</f>
        <v>40</v>
      </c>
      <c r="P29" s="131">
        <f>'ICE-Truck LA'!AL31</f>
        <v>4.9051132597190534</v>
      </c>
      <c r="Q29" s="131">
        <f>'ICE-Truck LA'!AM31</f>
        <v>23.014175810044414</v>
      </c>
      <c r="R29" s="131">
        <f>'ICE-Truck LA'!AN31</f>
        <v>13.609048504624175</v>
      </c>
      <c r="S29" s="131">
        <f>'ICE-Truck LA'!AO31</f>
        <v>36.62322431466859</v>
      </c>
      <c r="T29" s="131">
        <f>'ICE-Truck LA'!AP31</f>
        <v>-23.014175810044431</v>
      </c>
    </row>
    <row r="30" spans="2:20" x14ac:dyDescent="0.25">
      <c r="B30" s="129">
        <f>'E-Truck LA'!AK32</f>
        <v>50</v>
      </c>
      <c r="C30" s="130">
        <f>'E-Truck LA'!AL32</f>
        <v>40.337904203924978</v>
      </c>
      <c r="D30" s="130">
        <f>'E-Truck LA'!AM32</f>
        <v>1.5032038948021953</v>
      </c>
      <c r="E30" s="130">
        <f>'E-Truck LA'!AN32</f>
        <v>5.5968563486651535</v>
      </c>
      <c r="F30" s="130">
        <f>'E-Truck LA'!AO32</f>
        <v>20.91034049467876</v>
      </c>
      <c r="G30" s="130">
        <f>'E-Truck LA'!AP32</f>
        <v>9.844491591996773</v>
      </c>
      <c r="H30" s="130">
        <f>'E-Truck LA'!AQ32</f>
        <v>-1.5032038948021391</v>
      </c>
      <c r="O30" s="129">
        <f>'ICE-Truck LA'!AK32</f>
        <v>50</v>
      </c>
      <c r="P30" s="131">
        <f>'ICE-Truck LA'!AL32</f>
        <v>6.1313915746488261</v>
      </c>
      <c r="Q30" s="131">
        <f>'ICE-Truck LA'!AM32</f>
        <v>28.767719762555512</v>
      </c>
      <c r="R30" s="131">
        <f>'ICE-Truck LA'!AN32</f>
        <v>17.01131063078018</v>
      </c>
      <c r="S30" s="131">
        <f>'ICE-Truck LA'!AO32</f>
        <v>45.779030393335709</v>
      </c>
      <c r="T30" s="131">
        <f>'ICE-Truck LA'!AP32</f>
        <v>-28.767719762555512</v>
      </c>
    </row>
    <row r="32" spans="2:20" x14ac:dyDescent="0.25">
      <c r="B32" s="124" t="s">
        <v>209</v>
      </c>
      <c r="O32" s="124" t="s">
        <v>210</v>
      </c>
    </row>
    <row r="33" spans="2:20" x14ac:dyDescent="0.25">
      <c r="B33" s="143" t="s">
        <v>201</v>
      </c>
      <c r="C33" s="144" t="s">
        <v>202</v>
      </c>
      <c r="D33" s="144"/>
      <c r="E33" s="144"/>
      <c r="F33" s="144"/>
      <c r="G33" s="144"/>
      <c r="H33" s="126"/>
      <c r="O33" s="143" t="s">
        <v>201</v>
      </c>
      <c r="P33" s="145" t="s">
        <v>202</v>
      </c>
      <c r="Q33" s="145"/>
      <c r="R33" s="145"/>
      <c r="S33" s="145"/>
      <c r="T33" s="127"/>
    </row>
    <row r="34" spans="2:20" x14ac:dyDescent="0.25">
      <c r="B34" s="143"/>
      <c r="C34" s="127" t="s">
        <v>203</v>
      </c>
      <c r="D34" s="127" t="s">
        <v>204</v>
      </c>
      <c r="E34" s="127" t="s">
        <v>38</v>
      </c>
      <c r="F34" s="127" t="s">
        <v>205</v>
      </c>
      <c r="G34" s="127" t="s">
        <v>206</v>
      </c>
      <c r="H34" s="127" t="str">
        <f>'E-Cargo LA'!AQ21</f>
        <v>Energy Efficiency</v>
      </c>
      <c r="O34" s="143"/>
      <c r="P34" s="125" t="s">
        <v>203</v>
      </c>
      <c r="Q34" s="125" t="s">
        <v>54</v>
      </c>
      <c r="R34" s="125" t="s">
        <v>206</v>
      </c>
      <c r="S34" s="125" t="s">
        <v>205</v>
      </c>
      <c r="T34" s="125" t="str">
        <f>'ICE-Cargo LA'!AP21</f>
        <v>Energy Efficiency</v>
      </c>
    </row>
    <row r="35" spans="2:20" x14ac:dyDescent="0.25">
      <c r="B35" s="132">
        <f>'E-Cargo LA'!AK22</f>
        <v>-50</v>
      </c>
      <c r="C35" s="130">
        <f>'E-Cargo LA'!AL22</f>
        <v>-32.535796383166755</v>
      </c>
      <c r="D35" s="130">
        <f>'E-Cargo LA'!AM22</f>
        <v>-2.9130166844399956</v>
      </c>
      <c r="E35" s="130">
        <f>'E-Cargo LA'!AN22</f>
        <v>-7.4010802828268192</v>
      </c>
      <c r="F35" s="130">
        <f>'E-Cargo LA'!AO22</f>
        <v>-26.278123749610355</v>
      </c>
      <c r="G35" s="130">
        <f>'E-Cargo LA'!AP22</f>
        <v>-10.744644084679074</v>
      </c>
      <c r="H35" s="130">
        <f>'E-Cargo LA'!AQ22</f>
        <v>2.9130166844400076</v>
      </c>
      <c r="O35" s="129">
        <f>'ICE-Cargo LA'!AK22</f>
        <v>-50</v>
      </c>
      <c r="P35" s="131">
        <f>'ICE-Cargo LA'!AL22</f>
        <v>-7.0027789199077537</v>
      </c>
      <c r="Q35" s="131">
        <f>'ICE-Cargo LA'!AM22</f>
        <v>-31.968495907900106</v>
      </c>
      <c r="R35" s="131">
        <f>'ICE-Cargo LA'!AN22</f>
        <v>-13.18328369165577</v>
      </c>
      <c r="S35" s="131">
        <f>'ICE-Cargo LA'!AO22</f>
        <v>-45.15177959955588</v>
      </c>
      <c r="T35" s="131">
        <f>'ICE-Cargo LA'!AP22</f>
        <v>31.968495907900095</v>
      </c>
    </row>
    <row r="36" spans="2:20" x14ac:dyDescent="0.25">
      <c r="B36" s="132">
        <f>'E-Cargo LA'!AK23</f>
        <v>-40</v>
      </c>
      <c r="C36" s="130">
        <f>'E-Cargo LA'!AL23</f>
        <v>-26.028637106533392</v>
      </c>
      <c r="D36" s="130">
        <f>'E-Cargo LA'!AM23</f>
        <v>-2.330413347552013</v>
      </c>
      <c r="E36" s="130">
        <f>'E-Cargo LA'!AN23</f>
        <v>-5.9208642262614619</v>
      </c>
      <c r="F36" s="130">
        <f>'E-Cargo LA'!AO23</f>
        <v>-23.121727486889291</v>
      </c>
      <c r="G36" s="130">
        <f>'E-Cargo LA'!AP23</f>
        <v>-8.5957152677432642</v>
      </c>
      <c r="H36" s="130">
        <f>'E-Cargo LA'!AQ23</f>
        <v>2.3304133475519775</v>
      </c>
      <c r="O36" s="129">
        <f>'ICE-Cargo LA'!AK23</f>
        <v>-40</v>
      </c>
      <c r="P36" s="131">
        <f>'ICE-Cargo LA'!AL23</f>
        <v>-5.6022231359262165</v>
      </c>
      <c r="Q36" s="131">
        <f>'ICE-Cargo LA'!AM23</f>
        <v>-25.574796726320091</v>
      </c>
      <c r="R36" s="131">
        <f>'ICE-Cargo LA'!AN23</f>
        <v>-10.546626953324626</v>
      </c>
      <c r="S36" s="131">
        <f>'ICE-Cargo LA'!AO23</f>
        <v>-36.121423679644707</v>
      </c>
      <c r="T36" s="131">
        <f>'ICE-Cargo LA'!AP23</f>
        <v>25.574796726320109</v>
      </c>
    </row>
    <row r="37" spans="2:20" x14ac:dyDescent="0.25">
      <c r="B37" s="132">
        <f>'E-Cargo LA'!AK24</f>
        <v>-30</v>
      </c>
      <c r="C37" s="130">
        <f>'E-Cargo LA'!AL24</f>
        <v>-19.521477829900032</v>
      </c>
      <c r="D37" s="130">
        <f>'E-Cargo LA'!AM24</f>
        <v>-1.7478100106640069</v>
      </c>
      <c r="E37" s="130">
        <f>'E-Cargo LA'!AN24</f>
        <v>-4.4406481696960824</v>
      </c>
      <c r="F37" s="130">
        <f>'E-Cargo LA'!AO24</f>
        <v>-19.484874071485869</v>
      </c>
      <c r="G37" s="130">
        <f>'E-Cargo LA'!AP24</f>
        <v>-6.4467864508074664</v>
      </c>
      <c r="H37" s="130">
        <f>'E-Cargo LA'!AQ24</f>
        <v>1.7478100106639711</v>
      </c>
      <c r="O37" s="129">
        <f>'ICE-Cargo LA'!AK24</f>
        <v>-30</v>
      </c>
      <c r="P37" s="131">
        <f>'ICE-Cargo LA'!AL24</f>
        <v>-4.201667351944657</v>
      </c>
      <c r="Q37" s="131">
        <f>'ICE-Cargo LA'!AM24</f>
        <v>-19.181097544740055</v>
      </c>
      <c r="R37" s="131">
        <f>'ICE-Cargo LA'!AN24</f>
        <v>-7.9099702149934723</v>
      </c>
      <c r="S37" s="131">
        <f>'ICE-Cargo LA'!AO24</f>
        <v>-27.091067759733527</v>
      </c>
      <c r="T37" s="131">
        <f>'ICE-Cargo LA'!AP24</f>
        <v>19.181097544740091</v>
      </c>
    </row>
    <row r="38" spans="2:20" x14ac:dyDescent="0.25">
      <c r="B38" s="132">
        <f>'E-Cargo LA'!AK25</f>
        <v>-20</v>
      </c>
      <c r="C38" s="130">
        <f>'E-Cargo LA'!AL25</f>
        <v>-13.014318553266696</v>
      </c>
      <c r="D38" s="130">
        <f>'E-Cargo LA'!AM25</f>
        <v>-1.1652066737760007</v>
      </c>
      <c r="E38" s="130">
        <f>'E-Cargo LA'!AN25</f>
        <v>-2.9604321131307252</v>
      </c>
      <c r="F38" s="130">
        <f>'E-Cargo LA'!AO25</f>
        <v>-16.753341917662041</v>
      </c>
      <c r="G38" s="130">
        <f>'E-Cargo LA'!AP25</f>
        <v>-4.2978576338716561</v>
      </c>
      <c r="H38" s="130">
        <f>'E-Cargo LA'!AQ25</f>
        <v>1.1652066737759887</v>
      </c>
      <c r="O38" s="129">
        <f>'ICE-Cargo LA'!AK25</f>
        <v>-20</v>
      </c>
      <c r="P38" s="131">
        <f>'ICE-Cargo LA'!AL25</f>
        <v>-2.8011115679630971</v>
      </c>
      <c r="Q38" s="131">
        <f>'ICE-Cargo LA'!AM25</f>
        <v>-12.787398363160019</v>
      </c>
      <c r="R38" s="131">
        <f>'ICE-Cargo LA'!AN25</f>
        <v>-5.2733134766623078</v>
      </c>
      <c r="S38" s="131">
        <f>'ICE-Cargo LA'!AO25</f>
        <v>-18.060711839822361</v>
      </c>
      <c r="T38" s="131">
        <f>'ICE-Cargo LA'!AP25</f>
        <v>12.787398363160055</v>
      </c>
    </row>
    <row r="39" spans="2:20" x14ac:dyDescent="0.25">
      <c r="B39" s="132">
        <f>'E-Cargo LA'!AK26</f>
        <v>-10</v>
      </c>
      <c r="C39" s="130">
        <f>'E-Cargo LA'!AL26</f>
        <v>-6.5071592766333355</v>
      </c>
      <c r="D39" s="130">
        <f>'E-Cargo LA'!AM26</f>
        <v>-0.58260333688800625</v>
      </c>
      <c r="E39" s="130">
        <f>'E-Cargo LA'!AN26</f>
        <v>-1.4802160565653686</v>
      </c>
      <c r="F39" s="130">
        <f>'E-Cargo LA'!AO26</f>
        <v>-4.0665351509049454</v>
      </c>
      <c r="G39" s="130">
        <f>'E-Cargo LA'!AP26</f>
        <v>-2.1489288169358338</v>
      </c>
      <c r="H39" s="130">
        <f>'E-Cargo LA'!AQ26</f>
        <v>0.58260333688800625</v>
      </c>
      <c r="O39" s="129">
        <f>'ICE-Cargo LA'!AK26</f>
        <v>-10</v>
      </c>
      <c r="P39" s="131">
        <f>'ICE-Cargo LA'!AL26</f>
        <v>-1.4005557839815599</v>
      </c>
      <c r="Q39" s="131">
        <f>'ICE-Cargo LA'!AM26</f>
        <v>-6.3936991815800273</v>
      </c>
      <c r="R39" s="131">
        <f>'ICE-Cargo LA'!AN26</f>
        <v>-2.6366567383311539</v>
      </c>
      <c r="S39" s="131">
        <f>'ICE-Cargo LA'!AO26</f>
        <v>-9.0303559199111572</v>
      </c>
      <c r="T39" s="131">
        <f>'ICE-Cargo LA'!AP26</f>
        <v>6.393699181580061</v>
      </c>
    </row>
    <row r="40" spans="2:20" x14ac:dyDescent="0.25">
      <c r="B40" s="132">
        <f>'E-Cargo LA'!AK27</f>
        <v>0</v>
      </c>
      <c r="C40" s="130">
        <f>'E-Cargo LA'!AL27</f>
        <v>0</v>
      </c>
      <c r="D40" s="130">
        <f>'E-Cargo LA'!AM27</f>
        <v>0</v>
      </c>
      <c r="E40" s="130">
        <f>'E-Cargo LA'!AN27</f>
        <v>0</v>
      </c>
      <c r="F40" s="130">
        <f>'E-Cargo LA'!AO27</f>
        <v>0</v>
      </c>
      <c r="G40" s="130">
        <f>'E-Cargo LA'!AP27</f>
        <v>0</v>
      </c>
      <c r="H40" s="130">
        <f>'E-Cargo LA'!AQ27</f>
        <v>0</v>
      </c>
      <c r="O40" s="129">
        <f>'ICE-Cargo LA'!AK27</f>
        <v>0</v>
      </c>
      <c r="P40" s="131">
        <f>'ICE-Cargo LA'!AL27</f>
        <v>0</v>
      </c>
      <c r="Q40" s="131">
        <f>'ICE-Cargo LA'!AM27</f>
        <v>0</v>
      </c>
      <c r="R40" s="131">
        <f>'ICE-Cargo LA'!AN27</f>
        <v>0</v>
      </c>
      <c r="S40" s="131">
        <f>'ICE-Cargo LA'!AO27</f>
        <v>0</v>
      </c>
      <c r="T40" s="131">
        <f>'ICE-Cargo LA'!AP27</f>
        <v>0</v>
      </c>
    </row>
    <row r="41" spans="2:20" x14ac:dyDescent="0.25">
      <c r="B41" s="132">
        <f>'E-Cargo LA'!AK28</f>
        <v>10</v>
      </c>
      <c r="C41" s="130">
        <f>'E-Cargo LA'!AL28</f>
        <v>6.5071592766333595</v>
      </c>
      <c r="D41" s="130">
        <f>'E-Cargo LA'!AM28</f>
        <v>0.58260333688800625</v>
      </c>
      <c r="E41" s="130">
        <f>'E-Cargo LA'!AN28</f>
        <v>1.4802160565653448</v>
      </c>
      <c r="F41" s="130">
        <f>'E-Cargo LA'!AO28</f>
        <v>2.7315321538238284</v>
      </c>
      <c r="G41" s="130">
        <f>'E-Cargo LA'!AP28</f>
        <v>2.1489288169358223</v>
      </c>
      <c r="H41" s="130">
        <f>'E-Cargo LA'!AQ28</f>
        <v>-0.58260333688800625</v>
      </c>
      <c r="O41" s="129">
        <f>'ICE-Cargo LA'!AK28</f>
        <v>10</v>
      </c>
      <c r="P41" s="131">
        <f>'ICE-Cargo LA'!AL28</f>
        <v>1.4005557839815599</v>
      </c>
      <c r="Q41" s="131">
        <f>'ICE-Cargo LA'!AM28</f>
        <v>6.3936991815800388</v>
      </c>
      <c r="R41" s="131">
        <f>'ICE-Cargo LA'!AN28</f>
        <v>2.6366567383311539</v>
      </c>
      <c r="S41" s="131">
        <f>'ICE-Cargo LA'!AO28</f>
        <v>9.0303559199111803</v>
      </c>
      <c r="T41" s="131">
        <f>'ICE-Cargo LA'!AP28</f>
        <v>-6.3936991815800273</v>
      </c>
    </row>
    <row r="42" spans="2:20" x14ac:dyDescent="0.25">
      <c r="B42" s="132">
        <f>'E-Cargo LA'!AK29</f>
        <v>20</v>
      </c>
      <c r="C42" s="130">
        <f>'E-Cargo LA'!AL29</f>
        <v>13.014318553266696</v>
      </c>
      <c r="D42" s="130">
        <f>'E-Cargo LA'!AM29</f>
        <v>1.1652066737759887</v>
      </c>
      <c r="E42" s="130">
        <f>'E-Cargo LA'!AN29</f>
        <v>2.9604321131307372</v>
      </c>
      <c r="F42" s="130">
        <f>'E-Cargo LA'!AO29</f>
        <v>5.4630643076476328</v>
      </c>
      <c r="G42" s="130">
        <f>'E-Cargo LA'!AP29</f>
        <v>4.2978576338716445</v>
      </c>
      <c r="H42" s="130">
        <f>'E-Cargo LA'!AQ29</f>
        <v>-1.1652066737760007</v>
      </c>
      <c r="O42" s="129">
        <f>'ICE-Cargo LA'!AK29</f>
        <v>20</v>
      </c>
      <c r="P42" s="131">
        <f>'ICE-Cargo LA'!AL29</f>
        <v>2.8011115679630971</v>
      </c>
      <c r="Q42" s="131">
        <f>'ICE-Cargo LA'!AM29</f>
        <v>12.787398363160055</v>
      </c>
      <c r="R42" s="131">
        <f>'ICE-Cargo LA'!AN29</f>
        <v>5.2733134766623078</v>
      </c>
      <c r="S42" s="131">
        <f>'ICE-Cargo LA'!AO29</f>
        <v>18.060711839822361</v>
      </c>
      <c r="T42" s="131">
        <f>'ICE-Cargo LA'!AP29</f>
        <v>-12.787398363160019</v>
      </c>
    </row>
    <row r="43" spans="2:20" x14ac:dyDescent="0.25">
      <c r="B43" s="132">
        <f>'E-Cargo LA'!AK30</f>
        <v>30</v>
      </c>
      <c r="C43" s="130">
        <f>'E-Cargo LA'!AL30</f>
        <v>19.521477829900032</v>
      </c>
      <c r="D43" s="130">
        <f>'E-Cargo LA'!AM30</f>
        <v>1.7478100106639711</v>
      </c>
      <c r="E43" s="130">
        <f>'E-Cargo LA'!AN30</f>
        <v>4.44064816969607</v>
      </c>
      <c r="F43" s="130">
        <f>'E-Cargo LA'!AO30</f>
        <v>19.504889146558632</v>
      </c>
      <c r="G43" s="130">
        <f>'E-Cargo LA'!AP30</f>
        <v>6.4467864508074415</v>
      </c>
      <c r="H43" s="130">
        <f>'E-Cargo LA'!AQ30</f>
        <v>-1.7478100106640069</v>
      </c>
      <c r="O43" s="129">
        <f>'ICE-Cargo LA'!AK30</f>
        <v>30</v>
      </c>
      <c r="P43" s="131">
        <f>'ICE-Cargo LA'!AL30</f>
        <v>4.201667351944657</v>
      </c>
      <c r="Q43" s="131">
        <f>'ICE-Cargo LA'!AM30</f>
        <v>19.181097544740091</v>
      </c>
      <c r="R43" s="131">
        <f>'ICE-Cargo LA'!AN30</f>
        <v>7.9099702149934723</v>
      </c>
      <c r="S43" s="131">
        <f>'ICE-Cargo LA'!AO30</f>
        <v>27.091067759733541</v>
      </c>
      <c r="T43" s="131">
        <f>'ICE-Cargo LA'!AP30</f>
        <v>-19.181097544740055</v>
      </c>
    </row>
    <row r="44" spans="2:20" x14ac:dyDescent="0.25">
      <c r="B44" s="132">
        <f>'E-Cargo LA'!AK31</f>
        <v>40</v>
      </c>
      <c r="C44" s="130">
        <f>'E-Cargo LA'!AL31</f>
        <v>26.028637106533392</v>
      </c>
      <c r="D44" s="130">
        <f>'E-Cargo LA'!AM31</f>
        <v>2.3304133475519775</v>
      </c>
      <c r="E44" s="130">
        <f>'E-Cargo LA'!AN31</f>
        <v>5.9208642262614504</v>
      </c>
      <c r="F44" s="130">
        <f>'E-Cargo LA'!AO31</f>
        <v>22.236421300382446</v>
      </c>
      <c r="G44" s="130">
        <f>'E-Cargo LA'!AP31</f>
        <v>8.5957152677432411</v>
      </c>
      <c r="H44" s="130">
        <f>'E-Cargo LA'!AQ31</f>
        <v>-2.330413347552013</v>
      </c>
      <c r="O44" s="129">
        <f>'ICE-Cargo LA'!AK31</f>
        <v>40</v>
      </c>
      <c r="P44" s="131">
        <f>'ICE-Cargo LA'!AL31</f>
        <v>5.6022231359262165</v>
      </c>
      <c r="Q44" s="131">
        <f>'ICE-Cargo LA'!AM31</f>
        <v>25.574796726320109</v>
      </c>
      <c r="R44" s="131">
        <f>'ICE-Cargo LA'!AN31</f>
        <v>10.546626953324639</v>
      </c>
      <c r="S44" s="131">
        <f>'ICE-Cargo LA'!AO31</f>
        <v>36.121423679644721</v>
      </c>
      <c r="T44" s="131">
        <f>'ICE-Cargo LA'!AP31</f>
        <v>-25.574796726320091</v>
      </c>
    </row>
    <row r="45" spans="2:20" x14ac:dyDescent="0.25">
      <c r="B45" s="132">
        <f>'E-Cargo LA'!AK32</f>
        <v>50</v>
      </c>
      <c r="C45" s="130">
        <f>'E-Cargo LA'!AL32</f>
        <v>32.535796383166726</v>
      </c>
      <c r="D45" s="130">
        <f>'E-Cargo LA'!AM32</f>
        <v>2.9130166844400076</v>
      </c>
      <c r="E45" s="130">
        <f>'E-Cargo LA'!AN32</f>
        <v>7.4010802828267952</v>
      </c>
      <c r="F45" s="130">
        <f>'E-Cargo LA'!AO32</f>
        <v>24.967953454206313</v>
      </c>
      <c r="G45" s="130">
        <f>'E-Cargo LA'!AP32</f>
        <v>10.744644084679097</v>
      </c>
      <c r="H45" s="130">
        <f>'E-Cargo LA'!AQ32</f>
        <v>-2.9130166844399956</v>
      </c>
      <c r="O45" s="129">
        <f>'ICE-Cargo LA'!AK32</f>
        <v>50</v>
      </c>
      <c r="P45" s="131">
        <f>'ICE-Cargo LA'!AL32</f>
        <v>7.0027789199077759</v>
      </c>
      <c r="Q45" s="131">
        <f>'ICE-Cargo LA'!AM32</f>
        <v>31.968495907900124</v>
      </c>
      <c r="R45" s="131">
        <f>'ICE-Cargo LA'!AN32</f>
        <v>13.183283691655781</v>
      </c>
      <c r="S45" s="131">
        <f>'ICE-Cargo LA'!AO32</f>
        <v>45.15177959955588</v>
      </c>
      <c r="T45" s="131">
        <f>'ICE-Cargo LA'!AP32</f>
        <v>-31.968495907900106</v>
      </c>
    </row>
  </sheetData>
  <mergeCells count="12">
    <mergeCell ref="B33:B34"/>
    <mergeCell ref="C33:G33"/>
    <mergeCell ref="O33:O34"/>
    <mergeCell ref="P33:S33"/>
    <mergeCell ref="B3:B4"/>
    <mergeCell ref="C3:G3"/>
    <mergeCell ref="O3:O4"/>
    <mergeCell ref="P3:S3"/>
    <mergeCell ref="B18:B19"/>
    <mergeCell ref="C18:G18"/>
    <mergeCell ref="O18:O19"/>
    <mergeCell ref="P18:S18"/>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37D75-D9B3-4F8B-B2F5-E025D6A7C46A}">
  <dimension ref="A1:D35"/>
  <sheetViews>
    <sheetView topLeftCell="A6" workbookViewId="0">
      <selection activeCell="D4" sqref="D4"/>
    </sheetView>
  </sheetViews>
  <sheetFormatPr defaultColWidth="8.85546875" defaultRowHeight="15" x14ac:dyDescent="0.25"/>
  <cols>
    <col min="1" max="1" width="3.85546875" style="80" customWidth="1"/>
    <col min="2" max="2" width="24.140625" style="80" customWidth="1"/>
    <col min="3" max="3" width="52" style="82" customWidth="1"/>
    <col min="4" max="4" width="94" style="80" customWidth="1"/>
    <col min="5" max="5" width="26.5703125" style="80" customWidth="1"/>
    <col min="6" max="16384" width="8.85546875" style="80"/>
  </cols>
  <sheetData>
    <row r="1" spans="1:4" x14ac:dyDescent="0.25">
      <c r="A1" s="90" t="s">
        <v>129</v>
      </c>
    </row>
    <row r="2" spans="1:4" x14ac:dyDescent="0.25">
      <c r="A2" s="83" t="s">
        <v>132</v>
      </c>
      <c r="B2" s="83" t="s">
        <v>133</v>
      </c>
      <c r="C2" s="84" t="s">
        <v>134</v>
      </c>
      <c r="D2" s="83" t="s">
        <v>135</v>
      </c>
    </row>
    <row r="3" spans="1:4" ht="30" x14ac:dyDescent="0.25">
      <c r="A3" s="83">
        <v>1</v>
      </c>
      <c r="B3" s="83" t="s">
        <v>137</v>
      </c>
      <c r="C3" s="85" t="s">
        <v>138</v>
      </c>
      <c r="D3" s="83" t="s">
        <v>139</v>
      </c>
    </row>
    <row r="4" spans="1:4" ht="45" x14ac:dyDescent="0.25">
      <c r="A4" s="83">
        <v>2</v>
      </c>
      <c r="B4" s="83" t="s">
        <v>130</v>
      </c>
      <c r="C4" s="84" t="s">
        <v>131</v>
      </c>
      <c r="D4" s="84" t="s">
        <v>136</v>
      </c>
    </row>
    <row r="5" spans="1:4" ht="30" x14ac:dyDescent="0.25">
      <c r="A5" s="83">
        <v>3</v>
      </c>
      <c r="B5" s="86" t="s">
        <v>140</v>
      </c>
      <c r="C5" s="87" t="s">
        <v>142</v>
      </c>
      <c r="D5" s="86" t="s">
        <v>141</v>
      </c>
    </row>
    <row r="6" spans="1:4" ht="120" x14ac:dyDescent="0.25">
      <c r="A6" s="83">
        <v>4</v>
      </c>
      <c r="B6" s="86" t="s">
        <v>143</v>
      </c>
      <c r="C6" s="88" t="s">
        <v>144</v>
      </c>
      <c r="D6" s="89" t="s">
        <v>145</v>
      </c>
    </row>
    <row r="7" spans="1:4" ht="135" x14ac:dyDescent="0.25">
      <c r="A7" s="83">
        <v>5</v>
      </c>
      <c r="B7" s="86" t="s">
        <v>146</v>
      </c>
      <c r="C7" s="88" t="s">
        <v>147</v>
      </c>
      <c r="D7" s="87" t="s">
        <v>148</v>
      </c>
    </row>
    <row r="8" spans="1:4" x14ac:dyDescent="0.25">
      <c r="A8" s="83">
        <v>6</v>
      </c>
      <c r="B8" s="86"/>
      <c r="C8" s="87"/>
      <c r="D8" s="86"/>
    </row>
    <row r="9" spans="1:4" x14ac:dyDescent="0.25">
      <c r="A9" s="83">
        <v>7</v>
      </c>
      <c r="B9" s="86"/>
      <c r="C9" s="87"/>
      <c r="D9" s="86"/>
    </row>
    <row r="10" spans="1:4" x14ac:dyDescent="0.25">
      <c r="A10" s="83">
        <v>8</v>
      </c>
      <c r="B10" s="86"/>
      <c r="C10" s="87"/>
      <c r="D10" s="86"/>
    </row>
    <row r="11" spans="1:4" x14ac:dyDescent="0.25">
      <c r="A11" s="83">
        <v>9</v>
      </c>
      <c r="B11" s="86"/>
      <c r="C11" s="87"/>
      <c r="D11" s="86"/>
    </row>
    <row r="12" spans="1:4" x14ac:dyDescent="0.25">
      <c r="A12" s="83">
        <v>10</v>
      </c>
      <c r="B12" s="86"/>
      <c r="C12" s="87"/>
      <c r="D12" s="86"/>
    </row>
    <row r="13" spans="1:4" x14ac:dyDescent="0.25">
      <c r="A13" s="83">
        <v>11</v>
      </c>
      <c r="B13" s="86"/>
      <c r="C13" s="87"/>
      <c r="D13" s="86"/>
    </row>
    <row r="14" spans="1:4" x14ac:dyDescent="0.25">
      <c r="A14" s="83">
        <v>12</v>
      </c>
      <c r="B14" s="86"/>
      <c r="C14" s="87"/>
      <c r="D14" s="86"/>
    </row>
    <row r="15" spans="1:4" x14ac:dyDescent="0.25">
      <c r="A15" s="83">
        <v>13</v>
      </c>
      <c r="B15" s="86"/>
      <c r="C15" s="87"/>
      <c r="D15" s="86"/>
    </row>
    <row r="16" spans="1:4" x14ac:dyDescent="0.25">
      <c r="A16" s="83">
        <v>14</v>
      </c>
      <c r="B16" s="86"/>
      <c r="C16" s="87"/>
      <c r="D16" s="86"/>
    </row>
    <row r="17" spans="1:4" x14ac:dyDescent="0.25">
      <c r="A17" s="83">
        <v>15</v>
      </c>
      <c r="B17" s="86"/>
      <c r="C17" s="87"/>
      <c r="D17" s="86"/>
    </row>
    <row r="18" spans="1:4" x14ac:dyDescent="0.25">
      <c r="A18" s="86"/>
      <c r="B18" s="86"/>
      <c r="C18" s="87"/>
      <c r="D18" s="86"/>
    </row>
    <row r="19" spans="1:4" x14ac:dyDescent="0.25">
      <c r="A19" s="86"/>
      <c r="B19" s="86"/>
      <c r="C19" s="87"/>
      <c r="D19" s="86"/>
    </row>
    <row r="20" spans="1:4" x14ac:dyDescent="0.25">
      <c r="A20" s="86"/>
      <c r="B20" s="86"/>
      <c r="C20" s="87"/>
      <c r="D20" s="86"/>
    </row>
    <row r="21" spans="1:4" x14ac:dyDescent="0.25">
      <c r="A21" s="86"/>
      <c r="B21" s="86"/>
      <c r="C21" s="87"/>
      <c r="D21" s="86"/>
    </row>
    <row r="22" spans="1:4" x14ac:dyDescent="0.25">
      <c r="A22" s="86"/>
      <c r="B22" s="86"/>
      <c r="C22" s="87"/>
      <c r="D22" s="86"/>
    </row>
    <row r="23" spans="1:4" x14ac:dyDescent="0.25">
      <c r="A23" s="86"/>
      <c r="B23" s="86"/>
      <c r="C23" s="87"/>
      <c r="D23" s="86"/>
    </row>
    <row r="24" spans="1:4" x14ac:dyDescent="0.25">
      <c r="A24" s="86"/>
      <c r="B24" s="86"/>
      <c r="C24" s="87"/>
      <c r="D24" s="86"/>
    </row>
    <row r="25" spans="1:4" x14ac:dyDescent="0.25">
      <c r="A25" s="86"/>
      <c r="B25" s="86"/>
      <c r="C25" s="87"/>
      <c r="D25" s="86"/>
    </row>
    <row r="26" spans="1:4" x14ac:dyDescent="0.25">
      <c r="A26" s="86"/>
      <c r="B26" s="86"/>
      <c r="C26" s="87"/>
      <c r="D26" s="86"/>
    </row>
    <row r="27" spans="1:4" x14ac:dyDescent="0.25">
      <c r="A27" s="86"/>
      <c r="B27" s="86"/>
      <c r="C27" s="87"/>
      <c r="D27" s="86"/>
    </row>
    <row r="28" spans="1:4" x14ac:dyDescent="0.25">
      <c r="A28" s="86"/>
      <c r="B28" s="86"/>
      <c r="C28" s="87"/>
      <c r="D28" s="86"/>
    </row>
    <row r="29" spans="1:4" x14ac:dyDescent="0.25">
      <c r="A29" s="86"/>
      <c r="B29" s="86"/>
      <c r="C29" s="87"/>
      <c r="D29" s="86"/>
    </row>
    <row r="30" spans="1:4" x14ac:dyDescent="0.25">
      <c r="A30" s="86"/>
      <c r="B30" s="86"/>
      <c r="C30" s="87"/>
      <c r="D30" s="86"/>
    </row>
    <row r="31" spans="1:4" x14ac:dyDescent="0.25">
      <c r="A31" s="86"/>
      <c r="B31" s="86"/>
      <c r="C31" s="87"/>
      <c r="D31" s="86"/>
    </row>
    <row r="32" spans="1:4" x14ac:dyDescent="0.25">
      <c r="A32" s="86"/>
      <c r="B32" s="86"/>
      <c r="C32" s="87"/>
      <c r="D32" s="86"/>
    </row>
    <row r="33" spans="1:4" x14ac:dyDescent="0.25">
      <c r="A33" s="86"/>
      <c r="B33" s="86"/>
      <c r="C33" s="87"/>
      <c r="D33" s="86"/>
    </row>
    <row r="34" spans="1:4" x14ac:dyDescent="0.25">
      <c r="A34" s="86"/>
      <c r="B34" s="86"/>
      <c r="C34" s="87"/>
      <c r="D34" s="86"/>
    </row>
    <row r="35" spans="1:4" x14ac:dyDescent="0.25">
      <c r="A35" s="86"/>
      <c r="B35" s="86"/>
      <c r="C35" s="87"/>
      <c r="D35" s="86"/>
    </row>
  </sheetData>
  <hyperlinks>
    <hyperlink ref="C3" r:id="rId1" xr:uid="{8F312E76-925B-45E7-9059-0244F1910810}"/>
    <hyperlink ref="C6" r:id="rId2" location=":~:text=Standard%20rates,%25%2C%20depending%20on%20each%20contract." display="https://taxsummaries.pwc.com/vietnam/corporate/taxes-on-corporate-income#:~:text=Standard%20rates,%25%2C%20depending%20on%20each%20contract." xr:uid="{1934CCDF-0700-4640-8DA2-62B03635294E}"/>
    <hyperlink ref="C7" r:id="rId3" display="https://research.hktdc.com/en/article/Mjk1NzQ2NzQz" xr:uid="{2C69BE8D-05A2-44AE-A754-7A5761F5207C}"/>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3D3B-C480-4FB7-873C-489868115B19}">
  <sheetPr codeName="Sheet4"/>
  <dimension ref="A1:C19"/>
  <sheetViews>
    <sheetView zoomScaleNormal="100" workbookViewId="0">
      <selection activeCell="A17" sqref="A17:A19"/>
    </sheetView>
  </sheetViews>
  <sheetFormatPr defaultRowHeight="15" x14ac:dyDescent="0.25"/>
  <cols>
    <col min="1" max="1" width="47.42578125" customWidth="1"/>
    <col min="3" max="3" width="11" bestFit="1" customWidth="1"/>
  </cols>
  <sheetData>
    <row r="1" spans="1:3" x14ac:dyDescent="0.25">
      <c r="A1" t="s">
        <v>47</v>
      </c>
      <c r="B1" t="s">
        <v>48</v>
      </c>
      <c r="C1" t="s">
        <v>49</v>
      </c>
    </row>
    <row r="2" spans="1:3" x14ac:dyDescent="0.25">
      <c r="A2" t="s">
        <v>187</v>
      </c>
      <c r="B2" t="s">
        <v>50</v>
      </c>
    </row>
    <row r="3" spans="1:3" x14ac:dyDescent="0.25">
      <c r="A3" t="s">
        <v>5</v>
      </c>
      <c r="B3" t="s">
        <v>50</v>
      </c>
    </row>
    <row r="4" spans="1:3" x14ac:dyDescent="0.25">
      <c r="A4" t="s">
        <v>6</v>
      </c>
      <c r="B4" t="s">
        <v>50</v>
      </c>
    </row>
    <row r="5" spans="1:3" x14ac:dyDescent="0.25">
      <c r="A5" t="s">
        <v>7</v>
      </c>
      <c r="B5" t="s">
        <v>50</v>
      </c>
    </row>
    <row r="6" spans="1:3" x14ac:dyDescent="0.25">
      <c r="A6" t="s">
        <v>8</v>
      </c>
      <c r="B6" t="s">
        <v>50</v>
      </c>
    </row>
    <row r="7" spans="1:3" x14ac:dyDescent="0.25">
      <c r="A7" t="s">
        <v>53</v>
      </c>
      <c r="B7" t="s">
        <v>51</v>
      </c>
      <c r="C7" t="s">
        <v>13</v>
      </c>
    </row>
    <row r="8" spans="1:3" x14ac:dyDescent="0.25">
      <c r="A8" t="s">
        <v>197</v>
      </c>
      <c r="B8" t="s">
        <v>50</v>
      </c>
    </row>
    <row r="9" spans="1:3" x14ac:dyDescent="0.25">
      <c r="A9" t="s">
        <v>198</v>
      </c>
    </row>
    <row r="10" spans="1:3" x14ac:dyDescent="0.25">
      <c r="A10" t="s">
        <v>14</v>
      </c>
      <c r="B10" t="s">
        <v>52</v>
      </c>
    </row>
    <row r="11" spans="1:3" x14ac:dyDescent="0.25">
      <c r="A11" t="s">
        <v>15</v>
      </c>
      <c r="B11" t="s">
        <v>50</v>
      </c>
    </row>
    <row r="12" spans="1:3" x14ac:dyDescent="0.25">
      <c r="A12" t="s">
        <v>17</v>
      </c>
    </row>
    <row r="13" spans="1:3" x14ac:dyDescent="0.25">
      <c r="A13" t="s">
        <v>16</v>
      </c>
    </row>
    <row r="17" spans="1:1" x14ac:dyDescent="0.25">
      <c r="A17" s="101" t="s">
        <v>170</v>
      </c>
    </row>
    <row r="18" spans="1:1" x14ac:dyDescent="0.25">
      <c r="A18" s="101" t="s">
        <v>171</v>
      </c>
    </row>
    <row r="19" spans="1:1" x14ac:dyDescent="0.25">
      <c r="A19" s="10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E-Bus LA</vt:lpstr>
      <vt:lpstr>ICE-Bus LA</vt:lpstr>
      <vt:lpstr>E-Truck LA</vt:lpstr>
      <vt:lpstr>ICE-Truck LA</vt:lpstr>
      <vt:lpstr>E-Cargo LA</vt:lpstr>
      <vt:lpstr>ICE-Cargo LA</vt:lpstr>
      <vt:lpstr>Sensitivity</vt:lpstr>
      <vt:lpstr>Reference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Indra Al Irsyad</dc:creator>
  <cp:lastModifiedBy>Valentinus Tri Frebrina Harisetyawan</cp:lastModifiedBy>
  <dcterms:created xsi:type="dcterms:W3CDTF">2015-06-05T18:17:20Z</dcterms:created>
  <dcterms:modified xsi:type="dcterms:W3CDTF">2024-09-30T04:35:43Z</dcterms:modified>
</cp:coreProperties>
</file>