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1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1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1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1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harts/chart1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6908e728f1b34df/Paper ERIA/Xls baru 29092024/"/>
    </mc:Choice>
  </mc:AlternateContent>
  <xr:revisionPtr revIDLastSave="79" documentId="13_ncr:1_{A86A7F06-69CB-471D-88AE-8200D5A40090}" xr6:coauthVersionLast="47" xr6:coauthVersionMax="47" xr10:uidLastSave="{2D9CE1DF-6EBF-4B1C-80EC-1F953FA4CDBC}"/>
  <bookViews>
    <workbookView xWindow="-105" yWindow="0" windowWidth="14610" windowHeight="16305" firstSheet="2" activeTab="6" xr2:uid="{00000000-000D-0000-FFFF-FFFF00000000}"/>
  </bookViews>
  <sheets>
    <sheet name="E-Bus Malay" sheetId="1" r:id="rId1"/>
    <sheet name="ICE-Bus Malay" sheetId="2" r:id="rId2"/>
    <sheet name="E-Truck Malay" sheetId="3" r:id="rId3"/>
    <sheet name="ICE-Truck Malay" sheetId="4" r:id="rId4"/>
    <sheet name="E-Cargo Malay" sheetId="5" r:id="rId5"/>
    <sheet name="ICE-Cargo Malay" sheetId="6" r:id="rId6"/>
    <sheet name="Sensitivity" sheetId="8" r:id="rId7"/>
    <sheet name="Description" sheetId="7" r:id="rId8"/>
  </sheets>
  <externalReferences>
    <externalReference r:id="rId9"/>
  </externalReferenc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gpyNCCI7XgSsGYsqsJjhzK0i0gsCx6rOSerjnWn70JM="/>
    </ext>
  </extLst>
</workbook>
</file>

<file path=xl/calcChain.xml><?xml version="1.0" encoding="utf-8"?>
<calcChain xmlns="http://schemas.openxmlformats.org/spreadsheetml/2006/main">
  <c r="AA59" i="6" l="1"/>
  <c r="AC73" i="5"/>
  <c r="AC74" i="5"/>
  <c r="AA59" i="4"/>
  <c r="AC74" i="3"/>
  <c r="AC75" i="3"/>
  <c r="AA57" i="2"/>
  <c r="AA59" i="2"/>
  <c r="AC74" i="1"/>
  <c r="AC55" i="6"/>
  <c r="AO23" i="6" s="1"/>
  <c r="T36" i="8" s="1"/>
  <c r="AC56" i="6"/>
  <c r="AO24" i="6" s="1"/>
  <c r="T37" i="8" s="1"/>
  <c r="AC57" i="6"/>
  <c r="AO25" i="6" s="1"/>
  <c r="T38" i="8" s="1"/>
  <c r="AC58" i="6"/>
  <c r="AO26" i="6" s="1"/>
  <c r="T39" i="8" s="1"/>
  <c r="AC59" i="6"/>
  <c r="AO27" i="6" s="1"/>
  <c r="T40" i="8" s="1"/>
  <c r="AC60" i="6"/>
  <c r="AO28" i="6" s="1"/>
  <c r="T41" i="8" s="1"/>
  <c r="AC61" i="6"/>
  <c r="AO29" i="6" s="1"/>
  <c r="T42" i="8" s="1"/>
  <c r="AC62" i="6"/>
  <c r="AO30" i="6" s="1"/>
  <c r="T43" i="8" s="1"/>
  <c r="AC63" i="6"/>
  <c r="AO31" i="6" s="1"/>
  <c r="T44" i="8" s="1"/>
  <c r="AC64" i="6"/>
  <c r="AO32" i="6" s="1"/>
  <c r="T45" i="8" s="1"/>
  <c r="AC54" i="6"/>
  <c r="AO22" i="6" s="1"/>
  <c r="T35" i="8" s="1"/>
  <c r="AE70" i="5"/>
  <c r="AR23" i="5" s="1"/>
  <c r="H36" i="8" s="1"/>
  <c r="AE71" i="5"/>
  <c r="AR24" i="5" s="1"/>
  <c r="H37" i="8" s="1"/>
  <c r="AE72" i="5"/>
  <c r="AR25" i="5" s="1"/>
  <c r="H38" i="8" s="1"/>
  <c r="AE73" i="5"/>
  <c r="AR26" i="5" s="1"/>
  <c r="H39" i="8" s="1"/>
  <c r="AE74" i="5"/>
  <c r="AR27" i="5" s="1"/>
  <c r="H40" i="8" s="1"/>
  <c r="AE75" i="5"/>
  <c r="AR28" i="5" s="1"/>
  <c r="H41" i="8" s="1"/>
  <c r="AE76" i="5"/>
  <c r="AR29" i="5" s="1"/>
  <c r="H42" i="8" s="1"/>
  <c r="AE77" i="5"/>
  <c r="AR30" i="5" s="1"/>
  <c r="H43" i="8" s="1"/>
  <c r="AE78" i="5"/>
  <c r="AR31" i="5" s="1"/>
  <c r="H44" i="8" s="1"/>
  <c r="AE79" i="5"/>
  <c r="AR32" i="5" s="1"/>
  <c r="H45" i="8" s="1"/>
  <c r="AE69" i="5"/>
  <c r="AR22" i="5" s="1"/>
  <c r="H35" i="8" s="1"/>
  <c r="AC55" i="4"/>
  <c r="AO23" i="4" s="1"/>
  <c r="T21" i="8" s="1"/>
  <c r="AC56" i="4"/>
  <c r="AO24" i="4" s="1"/>
  <c r="T22" i="8" s="1"/>
  <c r="AC57" i="4"/>
  <c r="AO25" i="4" s="1"/>
  <c r="T23" i="8" s="1"/>
  <c r="AC58" i="4"/>
  <c r="AO26" i="4" s="1"/>
  <c r="T24" i="8" s="1"/>
  <c r="AC59" i="4"/>
  <c r="AO27" i="4" s="1"/>
  <c r="T25" i="8" s="1"/>
  <c r="AC60" i="4"/>
  <c r="AO28" i="4" s="1"/>
  <c r="T26" i="8" s="1"/>
  <c r="AC61" i="4"/>
  <c r="AO29" i="4" s="1"/>
  <c r="T27" i="8" s="1"/>
  <c r="AC62" i="4"/>
  <c r="AO30" i="4" s="1"/>
  <c r="T28" i="8" s="1"/>
  <c r="AC63" i="4"/>
  <c r="AO31" i="4" s="1"/>
  <c r="T29" i="8" s="1"/>
  <c r="AC64" i="4"/>
  <c r="AO32" i="4" s="1"/>
  <c r="T30" i="8" s="1"/>
  <c r="AC54" i="4"/>
  <c r="AO22" i="4" s="1"/>
  <c r="T20" i="8" s="1"/>
  <c r="AE70" i="3"/>
  <c r="AR23" i="3" s="1"/>
  <c r="H21" i="8" s="1"/>
  <c r="AE71" i="3"/>
  <c r="AR24" i="3" s="1"/>
  <c r="H22" i="8" s="1"/>
  <c r="AE72" i="3"/>
  <c r="AR25" i="3" s="1"/>
  <c r="H23" i="8" s="1"/>
  <c r="AE73" i="3"/>
  <c r="AR26" i="3" s="1"/>
  <c r="H24" i="8" s="1"/>
  <c r="AE74" i="3"/>
  <c r="AR27" i="3" s="1"/>
  <c r="H25" i="8" s="1"/>
  <c r="AE75" i="3"/>
  <c r="AR28" i="3" s="1"/>
  <c r="H26" i="8" s="1"/>
  <c r="AE76" i="3"/>
  <c r="AR29" i="3" s="1"/>
  <c r="H27" i="8" s="1"/>
  <c r="AE77" i="3"/>
  <c r="AR30" i="3" s="1"/>
  <c r="H28" i="8" s="1"/>
  <c r="AE78" i="3"/>
  <c r="AR31" i="3" s="1"/>
  <c r="H29" i="8" s="1"/>
  <c r="AE79" i="3"/>
  <c r="AR32" i="3" s="1"/>
  <c r="H30" i="8" s="1"/>
  <c r="AE69" i="3"/>
  <c r="AR22" i="3" s="1"/>
  <c r="H20" i="8" s="1"/>
  <c r="AC55" i="2"/>
  <c r="AO23" i="2" s="1"/>
  <c r="T6" i="8" s="1"/>
  <c r="AC56" i="2"/>
  <c r="AO24" i="2" s="1"/>
  <c r="T7" i="8" s="1"/>
  <c r="AC57" i="2"/>
  <c r="AO25" i="2" s="1"/>
  <c r="T8" i="8" s="1"/>
  <c r="AC58" i="2"/>
  <c r="AO26" i="2" s="1"/>
  <c r="T9" i="8" s="1"/>
  <c r="AC59" i="2"/>
  <c r="AO27" i="2" s="1"/>
  <c r="T10" i="8" s="1"/>
  <c r="AC60" i="2"/>
  <c r="AO28" i="2" s="1"/>
  <c r="T11" i="8" s="1"/>
  <c r="AC61" i="2"/>
  <c r="AO29" i="2" s="1"/>
  <c r="T12" i="8" s="1"/>
  <c r="AC62" i="2"/>
  <c r="AO30" i="2" s="1"/>
  <c r="T13" i="8" s="1"/>
  <c r="AC63" i="2"/>
  <c r="AO31" i="2" s="1"/>
  <c r="T14" i="8" s="1"/>
  <c r="AC64" i="2"/>
  <c r="AO32" i="2" s="1"/>
  <c r="T15" i="8" s="1"/>
  <c r="AC54" i="2"/>
  <c r="AO22" i="2" s="1"/>
  <c r="T5" i="8" s="1"/>
  <c r="AE70" i="1"/>
  <c r="AR23" i="1" s="1"/>
  <c r="H6" i="8" s="1"/>
  <c r="AE71" i="1"/>
  <c r="AR24" i="1" s="1"/>
  <c r="H7" i="8" s="1"/>
  <c r="AE72" i="1"/>
  <c r="AR25" i="1" s="1"/>
  <c r="H8" i="8" s="1"/>
  <c r="AE73" i="1"/>
  <c r="AR26" i="1" s="1"/>
  <c r="H9" i="8" s="1"/>
  <c r="AE74" i="1"/>
  <c r="AR27" i="1" s="1"/>
  <c r="H10" i="8" s="1"/>
  <c r="AE75" i="1"/>
  <c r="AR28" i="1" s="1"/>
  <c r="H11" i="8" s="1"/>
  <c r="AE76" i="1"/>
  <c r="AR29" i="1" s="1"/>
  <c r="H12" i="8" s="1"/>
  <c r="AE77" i="1"/>
  <c r="AR30" i="1" s="1"/>
  <c r="H13" i="8" s="1"/>
  <c r="AE78" i="1"/>
  <c r="AR31" i="1" s="1"/>
  <c r="H14" i="8" s="1"/>
  <c r="AE79" i="1"/>
  <c r="AR32" i="1" s="1"/>
  <c r="H15" i="8" s="1"/>
  <c r="AE69" i="1"/>
  <c r="AR22" i="1" s="1"/>
  <c r="H5" i="8" s="1"/>
  <c r="AO21" i="6"/>
  <c r="T34" i="8" s="1"/>
  <c r="AA12" i="6"/>
  <c r="Z60" i="6"/>
  <c r="AA60" i="6" s="1"/>
  <c r="Z58" i="6"/>
  <c r="AA58" i="6" s="1"/>
  <c r="AO21" i="4"/>
  <c r="T19" i="8" s="1"/>
  <c r="AA12" i="4"/>
  <c r="Z60" i="4"/>
  <c r="Z61" i="4" s="1"/>
  <c r="AA61" i="4" s="1"/>
  <c r="Z58" i="4"/>
  <c r="AA58" i="4" s="1"/>
  <c r="AO21" i="2"/>
  <c r="T4" i="8" s="1"/>
  <c r="AA12" i="2"/>
  <c r="Z60" i="2"/>
  <c r="Z61" i="2" s="1"/>
  <c r="AA61" i="2" s="1"/>
  <c r="Z58" i="2"/>
  <c r="AA58" i="2" s="1"/>
  <c r="Z57" i="2"/>
  <c r="Z56" i="2" s="1"/>
  <c r="AA56" i="2" s="1"/>
  <c r="H34" i="8"/>
  <c r="AR21" i="5"/>
  <c r="AC14" i="5"/>
  <c r="AB75" i="5"/>
  <c r="AB76" i="5" s="1"/>
  <c r="AC76" i="5" s="1"/>
  <c r="AB73" i="5"/>
  <c r="AB72" i="5"/>
  <c r="AB71" i="5" s="1"/>
  <c r="AC71" i="5" s="1"/>
  <c r="AR21" i="3"/>
  <c r="H19" i="8" s="1"/>
  <c r="AC14" i="3"/>
  <c r="AB76" i="3"/>
  <c r="AB77" i="3" s="1"/>
  <c r="AC77" i="3" s="1"/>
  <c r="AB75" i="3"/>
  <c r="AB73" i="3"/>
  <c r="AC73" i="3" s="1"/>
  <c r="AR21" i="1"/>
  <c r="H4" i="8" s="1"/>
  <c r="AB75" i="1"/>
  <c r="AC75" i="1" s="1"/>
  <c r="AB73" i="1"/>
  <c r="AC73" i="1" s="1"/>
  <c r="AC14" i="1"/>
  <c r="O35" i="8"/>
  <c r="O36" i="8"/>
  <c r="O37" i="8"/>
  <c r="O38" i="8"/>
  <c r="O39" i="8"/>
  <c r="O40" i="8"/>
  <c r="O41" i="8"/>
  <c r="O42" i="8"/>
  <c r="O43" i="8"/>
  <c r="O44" i="8"/>
  <c r="O45" i="8"/>
  <c r="O20" i="8"/>
  <c r="O21" i="8"/>
  <c r="O22" i="8"/>
  <c r="O23" i="8"/>
  <c r="O24" i="8"/>
  <c r="O25" i="8"/>
  <c r="O26" i="8"/>
  <c r="O27" i="8"/>
  <c r="O28" i="8"/>
  <c r="O29" i="8"/>
  <c r="O30" i="8"/>
  <c r="O5" i="8"/>
  <c r="O6" i="8"/>
  <c r="O7" i="8"/>
  <c r="O8" i="8"/>
  <c r="O9" i="8"/>
  <c r="O10" i="8"/>
  <c r="O11" i="8"/>
  <c r="O12" i="8"/>
  <c r="O13" i="8"/>
  <c r="O14" i="8"/>
  <c r="O15" i="8"/>
  <c r="B35" i="8"/>
  <c r="B36" i="8"/>
  <c r="B37" i="8"/>
  <c r="B38" i="8"/>
  <c r="B39" i="8"/>
  <c r="B40" i="8"/>
  <c r="B41" i="8"/>
  <c r="B42" i="8"/>
  <c r="B43" i="8"/>
  <c r="B44" i="8"/>
  <c r="B45" i="8"/>
  <c r="B20" i="8"/>
  <c r="B21" i="8"/>
  <c r="B22" i="8"/>
  <c r="B23" i="8"/>
  <c r="B24" i="8"/>
  <c r="B25" i="8"/>
  <c r="B26" i="8"/>
  <c r="B27" i="8"/>
  <c r="B28" i="8"/>
  <c r="B29" i="8"/>
  <c r="B30" i="8"/>
  <c r="B5" i="8"/>
  <c r="B6" i="8"/>
  <c r="B7" i="8"/>
  <c r="B8" i="8"/>
  <c r="B9" i="8"/>
  <c r="B10" i="8"/>
  <c r="B11" i="8"/>
  <c r="B12" i="8"/>
  <c r="B13" i="8"/>
  <c r="B14" i="8"/>
  <c r="B15" i="8"/>
  <c r="B46" i="6"/>
  <c r="AJ64" i="5"/>
  <c r="AJ63" i="5"/>
  <c r="AJ62" i="5"/>
  <c r="AJ61" i="5"/>
  <c r="AJ60" i="5"/>
  <c r="AJ59" i="5"/>
  <c r="AJ58" i="5"/>
  <c r="AJ57" i="5"/>
  <c r="AJ56" i="5"/>
  <c r="AJ55" i="5"/>
  <c r="AJ54" i="5"/>
  <c r="AJ64" i="3"/>
  <c r="AJ63" i="3"/>
  <c r="AJ62" i="3"/>
  <c r="AJ61" i="3"/>
  <c r="AJ60" i="3"/>
  <c r="AJ59" i="3"/>
  <c r="AJ58" i="3"/>
  <c r="AJ57" i="3"/>
  <c r="AJ56" i="3"/>
  <c r="AJ55" i="3"/>
  <c r="AJ54" i="3"/>
  <c r="AJ64" i="1"/>
  <c r="AJ63" i="1"/>
  <c r="AJ62" i="1"/>
  <c r="AJ61" i="1"/>
  <c r="AJ60" i="1"/>
  <c r="AJ59" i="1"/>
  <c r="AJ58" i="1"/>
  <c r="AJ57" i="1"/>
  <c r="AJ56" i="1"/>
  <c r="AJ55" i="1"/>
  <c r="AJ54" i="1"/>
  <c r="AJ39" i="1"/>
  <c r="AP22" i="1" s="1"/>
  <c r="F5" i="8" s="1"/>
  <c r="AG60" i="5"/>
  <c r="AG61" i="5" s="1"/>
  <c r="AH59" i="5"/>
  <c r="AG58" i="5"/>
  <c r="AH58" i="5" s="1"/>
  <c r="AG57" i="5"/>
  <c r="AG56" i="5" s="1"/>
  <c r="AG60" i="1"/>
  <c r="AH60" i="1" s="1"/>
  <c r="AH59" i="1"/>
  <c r="AG58" i="1"/>
  <c r="AH58" i="1" s="1"/>
  <c r="AG57" i="1"/>
  <c r="AG56" i="1" s="1"/>
  <c r="AC13" i="3"/>
  <c r="AG60" i="3"/>
  <c r="AG61" i="3" s="1"/>
  <c r="AH59" i="3"/>
  <c r="AG58" i="3"/>
  <c r="AH58" i="3" s="1"/>
  <c r="F47" i="5"/>
  <c r="F45" i="5"/>
  <c r="F46" i="5" s="1"/>
  <c r="F48" i="5" s="1"/>
  <c r="B47" i="5"/>
  <c r="B49" i="5" s="1"/>
  <c r="AC9" i="5" s="1"/>
  <c r="J26" i="5"/>
  <c r="F49" i="5" s="1"/>
  <c r="F51" i="5" s="1"/>
  <c r="F47" i="3"/>
  <c r="F45" i="3"/>
  <c r="F46" i="3" s="1"/>
  <c r="F48" i="3" s="1"/>
  <c r="B47" i="3"/>
  <c r="B49" i="3" s="1"/>
  <c r="AC9" i="3" s="1"/>
  <c r="J26" i="3"/>
  <c r="F49" i="3" s="1"/>
  <c r="F51" i="3" s="1"/>
  <c r="J26" i="1"/>
  <c r="F49" i="1" s="1"/>
  <c r="F47" i="1"/>
  <c r="F46" i="1"/>
  <c r="F45" i="1"/>
  <c r="B47" i="1"/>
  <c r="J39" i="1"/>
  <c r="AC12" i="1" s="1"/>
  <c r="J34" i="2"/>
  <c r="AA11" i="2" s="1"/>
  <c r="J39" i="3"/>
  <c r="AC12" i="3" s="1"/>
  <c r="J34" i="4"/>
  <c r="AA11" i="4" s="1"/>
  <c r="J39" i="5"/>
  <c r="AC12" i="5" s="1"/>
  <c r="J34" i="6"/>
  <c r="AA11" i="6" s="1"/>
  <c r="P54" i="6"/>
  <c r="AH49" i="6"/>
  <c r="AN32" i="6" s="1"/>
  <c r="S45" i="8" s="1"/>
  <c r="AC49" i="6"/>
  <c r="AM32" i="6" s="1"/>
  <c r="R45" i="8" s="1"/>
  <c r="AH48" i="6"/>
  <c r="AN31" i="6" s="1"/>
  <c r="S44" i="8" s="1"/>
  <c r="AC48" i="6"/>
  <c r="AM31" i="6" s="1"/>
  <c r="R44" i="8" s="1"/>
  <c r="AH47" i="6"/>
  <c r="AN30" i="6" s="1"/>
  <c r="S43" i="8" s="1"/>
  <c r="AC47" i="6"/>
  <c r="AM30" i="6" s="1"/>
  <c r="R43" i="8" s="1"/>
  <c r="B47" i="6"/>
  <c r="B48" i="6" s="1"/>
  <c r="B40" i="6" s="1"/>
  <c r="AH46" i="6"/>
  <c r="AN29" i="6" s="1"/>
  <c r="S42" i="8" s="1"/>
  <c r="AC46" i="6"/>
  <c r="AM29" i="6" s="1"/>
  <c r="R42" i="8" s="1"/>
  <c r="AH45" i="6"/>
  <c r="AN28" i="6" s="1"/>
  <c r="S41" i="8" s="1"/>
  <c r="AE45" i="6"/>
  <c r="AE46" i="6" s="1"/>
  <c r="AF46" i="6" s="1"/>
  <c r="AC45" i="6"/>
  <c r="AM28" i="6" s="1"/>
  <c r="R41" i="8" s="1"/>
  <c r="Z45" i="6"/>
  <c r="AH44" i="6"/>
  <c r="AN27" i="6" s="1"/>
  <c r="S40" i="8" s="1"/>
  <c r="AF44" i="6"/>
  <c r="AC44" i="6"/>
  <c r="AM27" i="6" s="1"/>
  <c r="R40" i="8" s="1"/>
  <c r="AA44" i="6"/>
  <c r="AH43" i="6"/>
  <c r="AN26" i="6" s="1"/>
  <c r="S39" i="8" s="1"/>
  <c r="AE43" i="6"/>
  <c r="AC43" i="6"/>
  <c r="AM26" i="6" s="1"/>
  <c r="R39" i="8" s="1"/>
  <c r="Z43" i="6"/>
  <c r="B43" i="6"/>
  <c r="AH42" i="6"/>
  <c r="AN25" i="6" s="1"/>
  <c r="S38" i="8" s="1"/>
  <c r="AC42" i="6"/>
  <c r="AM25" i="6" s="1"/>
  <c r="R38" i="8" s="1"/>
  <c r="B42" i="6"/>
  <c r="AH41" i="6"/>
  <c r="AN24" i="6" s="1"/>
  <c r="S37" i="8" s="1"/>
  <c r="AC41" i="6"/>
  <c r="AM24" i="6" s="1"/>
  <c r="R37" i="8" s="1"/>
  <c r="B41" i="6"/>
  <c r="AH40" i="6"/>
  <c r="AN23" i="6" s="1"/>
  <c r="S36" i="8" s="1"/>
  <c r="AC40" i="6"/>
  <c r="AM23" i="6" s="1"/>
  <c r="R36" i="8" s="1"/>
  <c r="F40" i="6"/>
  <c r="AH39" i="6"/>
  <c r="AN22" i="6" s="1"/>
  <c r="S35" i="8" s="1"/>
  <c r="AC39" i="6"/>
  <c r="AM22" i="6" s="1"/>
  <c r="R35" i="8" s="1"/>
  <c r="B38" i="6"/>
  <c r="B37" i="6"/>
  <c r="F36" i="6"/>
  <c r="F37" i="6" s="1"/>
  <c r="F38" i="6" s="1"/>
  <c r="B36" i="6"/>
  <c r="B35" i="6"/>
  <c r="AH34" i="6"/>
  <c r="AK32" i="6" s="1"/>
  <c r="P45" i="8" s="1"/>
  <c r="AC34" i="6"/>
  <c r="AL32" i="6" s="1"/>
  <c r="Q45" i="8" s="1"/>
  <c r="B34" i="6"/>
  <c r="AH33" i="6"/>
  <c r="AK31" i="6" s="1"/>
  <c r="P44" i="8" s="1"/>
  <c r="AC33" i="6"/>
  <c r="AL31" i="6" s="1"/>
  <c r="Q44" i="8" s="1"/>
  <c r="J33" i="6"/>
  <c r="AH32" i="6"/>
  <c r="AK30" i="6" s="1"/>
  <c r="P43" i="8" s="1"/>
  <c r="AC32" i="6"/>
  <c r="AL30" i="6" s="1"/>
  <c r="Q43" i="8" s="1"/>
  <c r="J32" i="6"/>
  <c r="B32" i="6"/>
  <c r="AH31" i="6"/>
  <c r="AK29" i="6" s="1"/>
  <c r="P42" i="8" s="1"/>
  <c r="AC31" i="6"/>
  <c r="AL29" i="6" s="1"/>
  <c r="Q42" i="8" s="1"/>
  <c r="B31" i="6"/>
  <c r="AH30" i="6"/>
  <c r="AK28" i="6" s="1"/>
  <c r="P41" i="8" s="1"/>
  <c r="AE30" i="6"/>
  <c r="AF30" i="6" s="1"/>
  <c r="AC30" i="6"/>
  <c r="AL28" i="6" s="1"/>
  <c r="Q41" i="8" s="1"/>
  <c r="Z30" i="6"/>
  <c r="Z31" i="6" s="1"/>
  <c r="AH29" i="6"/>
  <c r="AK27" i="6" s="1"/>
  <c r="P40" i="8" s="1"/>
  <c r="AF29" i="6"/>
  <c r="AC29" i="6"/>
  <c r="AL27" i="6" s="1"/>
  <c r="Q40" i="8" s="1"/>
  <c r="AA29" i="6"/>
  <c r="AH28" i="6"/>
  <c r="AK26" i="6" s="1"/>
  <c r="P39" i="8" s="1"/>
  <c r="AE28" i="6"/>
  <c r="AC28" i="6"/>
  <c r="AL26" i="6" s="1"/>
  <c r="Q39" i="8" s="1"/>
  <c r="Z28" i="6"/>
  <c r="AA28" i="6" s="1"/>
  <c r="AH27" i="6"/>
  <c r="AK25" i="6" s="1"/>
  <c r="P38" i="8" s="1"/>
  <c r="AC27" i="6"/>
  <c r="AL25" i="6" s="1"/>
  <c r="Q38" i="8" s="1"/>
  <c r="AH26" i="6"/>
  <c r="AK24" i="6" s="1"/>
  <c r="P37" i="8" s="1"/>
  <c r="AC26" i="6"/>
  <c r="AL24" i="6" s="1"/>
  <c r="Q37" i="8" s="1"/>
  <c r="AH25" i="6"/>
  <c r="AK23" i="6" s="1"/>
  <c r="P36" i="8" s="1"/>
  <c r="AC25" i="6"/>
  <c r="AL23" i="6" s="1"/>
  <c r="Q36" i="8" s="1"/>
  <c r="AH24" i="6"/>
  <c r="AK22" i="6" s="1"/>
  <c r="P35" i="8" s="1"/>
  <c r="AC24" i="6"/>
  <c r="AL22" i="6" s="1"/>
  <c r="Q35" i="8" s="1"/>
  <c r="F19" i="6"/>
  <c r="J31" i="6" s="1"/>
  <c r="AA10" i="6"/>
  <c r="N10" i="6"/>
  <c r="T10" i="6" s="1"/>
  <c r="T9" i="6"/>
  <c r="S9" i="6"/>
  <c r="AA8" i="6"/>
  <c r="AE64" i="5"/>
  <c r="AQ32" i="5" s="1"/>
  <c r="G45" i="8" s="1"/>
  <c r="AE63" i="5"/>
  <c r="AQ31" i="5" s="1"/>
  <c r="G44" i="8" s="1"/>
  <c r="AE62" i="5"/>
  <c r="AQ30" i="5" s="1"/>
  <c r="G43" i="8" s="1"/>
  <c r="AE61" i="5"/>
  <c r="AQ29" i="5" s="1"/>
  <c r="G42" i="8" s="1"/>
  <c r="AE60" i="5"/>
  <c r="AQ28" i="5" s="1"/>
  <c r="G41" i="8" s="1"/>
  <c r="AB60" i="5"/>
  <c r="AC60" i="5" s="1"/>
  <c r="AE59" i="5"/>
  <c r="AQ27" i="5" s="1"/>
  <c r="G40" i="8" s="1"/>
  <c r="AC59" i="5"/>
  <c r="AE58" i="5"/>
  <c r="AQ26" i="5" s="1"/>
  <c r="G39" i="8" s="1"/>
  <c r="AB58" i="5"/>
  <c r="AC58" i="5" s="1"/>
  <c r="AE57" i="5"/>
  <c r="AQ25" i="5" s="1"/>
  <c r="G38" i="8" s="1"/>
  <c r="AE56" i="5"/>
  <c r="AQ24" i="5" s="1"/>
  <c r="G37" i="8" s="1"/>
  <c r="AE55" i="5"/>
  <c r="AQ23" i="5" s="1"/>
  <c r="G36" i="8" s="1"/>
  <c r="B55" i="5"/>
  <c r="AE54" i="5"/>
  <c r="AQ22" i="5" s="1"/>
  <c r="G35" i="8" s="1"/>
  <c r="P54" i="5"/>
  <c r="AJ49" i="5"/>
  <c r="AP32" i="5" s="1"/>
  <c r="F45" i="8" s="1"/>
  <c r="AE49" i="5"/>
  <c r="AO32" i="5" s="1"/>
  <c r="E45" i="8" s="1"/>
  <c r="AJ48" i="5"/>
  <c r="AP31" i="5" s="1"/>
  <c r="F44" i="8" s="1"/>
  <c r="AE48" i="5"/>
  <c r="AO31" i="5" s="1"/>
  <c r="E44" i="8" s="1"/>
  <c r="AJ47" i="5"/>
  <c r="AP30" i="5" s="1"/>
  <c r="F43" i="8" s="1"/>
  <c r="AE47" i="5"/>
  <c r="AO30" i="5" s="1"/>
  <c r="E43" i="8" s="1"/>
  <c r="AJ46" i="5"/>
  <c r="AP29" i="5" s="1"/>
  <c r="F42" i="8" s="1"/>
  <c r="AG46" i="5"/>
  <c r="AE46" i="5"/>
  <c r="AO29" i="5" s="1"/>
  <c r="E42" i="8" s="1"/>
  <c r="B46" i="5"/>
  <c r="B48" i="5" s="1"/>
  <c r="AJ45" i="5"/>
  <c r="AP28" i="5" s="1"/>
  <c r="F41" i="8" s="1"/>
  <c r="AG45" i="5"/>
  <c r="AH45" i="5" s="1"/>
  <c r="AE45" i="5"/>
  <c r="AO28" i="5" s="1"/>
  <c r="E41" i="8" s="1"/>
  <c r="AB45" i="5"/>
  <c r="AB46" i="5" s="1"/>
  <c r="AJ44" i="5"/>
  <c r="AP27" i="5" s="1"/>
  <c r="F40" i="8" s="1"/>
  <c r="AH44" i="5"/>
  <c r="AE44" i="5"/>
  <c r="AO27" i="5" s="1"/>
  <c r="E40" i="8" s="1"/>
  <c r="AC44" i="5"/>
  <c r="AJ43" i="5"/>
  <c r="AP26" i="5" s="1"/>
  <c r="F39" i="8" s="1"/>
  <c r="AG43" i="5"/>
  <c r="AE43" i="5"/>
  <c r="AO26" i="5" s="1"/>
  <c r="E39" i="8" s="1"/>
  <c r="AB43" i="5"/>
  <c r="AC43" i="5" s="1"/>
  <c r="B43" i="5"/>
  <c r="AJ42" i="5"/>
  <c r="AP25" i="5" s="1"/>
  <c r="F38" i="8" s="1"/>
  <c r="AE42" i="5"/>
  <c r="AO25" i="5" s="1"/>
  <c r="E38" i="8" s="1"/>
  <c r="B42" i="5"/>
  <c r="AJ41" i="5"/>
  <c r="AP24" i="5" s="1"/>
  <c r="F37" i="8" s="1"/>
  <c r="AE41" i="5"/>
  <c r="AO24" i="5" s="1"/>
  <c r="E37" i="8" s="1"/>
  <c r="B41" i="5"/>
  <c r="AJ40" i="5"/>
  <c r="AP23" i="5" s="1"/>
  <c r="F36" i="8" s="1"/>
  <c r="AE40" i="5"/>
  <c r="AO23" i="5" s="1"/>
  <c r="E36" i="8" s="1"/>
  <c r="AJ39" i="5"/>
  <c r="AP22" i="5" s="1"/>
  <c r="F35" i="8" s="1"/>
  <c r="AE39" i="5"/>
  <c r="AO22" i="5" s="1"/>
  <c r="E35" i="8" s="1"/>
  <c r="J38" i="5"/>
  <c r="B38" i="5"/>
  <c r="J37" i="5"/>
  <c r="F37" i="5"/>
  <c r="F40" i="5" s="1"/>
  <c r="R9" i="5" s="1"/>
  <c r="B37" i="5"/>
  <c r="F36" i="5"/>
  <c r="F38" i="5" s="1"/>
  <c r="F41" i="5" s="1"/>
  <c r="Q9" i="5" s="1"/>
  <c r="B36" i="5"/>
  <c r="B35" i="5"/>
  <c r="AJ34" i="5"/>
  <c r="AM32" i="5" s="1"/>
  <c r="C45" i="8" s="1"/>
  <c r="AE34" i="5"/>
  <c r="AN32" i="5" s="1"/>
  <c r="D45" i="8" s="1"/>
  <c r="B34" i="5"/>
  <c r="AJ33" i="5"/>
  <c r="AM31" i="5" s="1"/>
  <c r="C44" i="8" s="1"/>
  <c r="AE33" i="5"/>
  <c r="AN31" i="5" s="1"/>
  <c r="D44" i="8" s="1"/>
  <c r="J33" i="5"/>
  <c r="AJ32" i="5"/>
  <c r="AM30" i="5" s="1"/>
  <c r="C43" i="8" s="1"/>
  <c r="AE32" i="5"/>
  <c r="AN30" i="5" s="1"/>
  <c r="D43" i="8" s="1"/>
  <c r="B32" i="5"/>
  <c r="AJ31" i="5"/>
  <c r="AM29" i="5" s="1"/>
  <c r="C42" i="8" s="1"/>
  <c r="AE31" i="5"/>
  <c r="AN29" i="5" s="1"/>
  <c r="D42" i="8" s="1"/>
  <c r="J31" i="5"/>
  <c r="U9" i="5" s="1"/>
  <c r="B31" i="5"/>
  <c r="B53" i="5" s="1"/>
  <c r="AJ30" i="5"/>
  <c r="AM28" i="5" s="1"/>
  <c r="C41" i="8" s="1"/>
  <c r="AG30" i="5"/>
  <c r="AH30" i="5" s="1"/>
  <c r="AE30" i="5"/>
  <c r="AN28" i="5" s="1"/>
  <c r="D41" i="8" s="1"/>
  <c r="AB30" i="5"/>
  <c r="AC30" i="5" s="1"/>
  <c r="AJ29" i="5"/>
  <c r="AM27" i="5" s="1"/>
  <c r="C40" i="8" s="1"/>
  <c r="AH29" i="5"/>
  <c r="AE29" i="5"/>
  <c r="AN27" i="5" s="1"/>
  <c r="D40" i="8" s="1"/>
  <c r="AC29" i="5"/>
  <c r="AJ28" i="5"/>
  <c r="AM26" i="5" s="1"/>
  <c r="C39" i="8" s="1"/>
  <c r="AG28" i="5"/>
  <c r="AG27" i="5" s="1"/>
  <c r="AE28" i="5"/>
  <c r="AN26" i="5" s="1"/>
  <c r="D39" i="8" s="1"/>
  <c r="AB28" i="5"/>
  <c r="AC28" i="5" s="1"/>
  <c r="AJ27" i="5"/>
  <c r="AM25" i="5" s="1"/>
  <c r="C38" i="8" s="1"/>
  <c r="AE27" i="5"/>
  <c r="AN25" i="5" s="1"/>
  <c r="D38" i="8" s="1"/>
  <c r="AB27" i="5"/>
  <c r="AB26" i="5" s="1"/>
  <c r="AC26" i="5" s="1"/>
  <c r="AJ26" i="5"/>
  <c r="AM24" i="5" s="1"/>
  <c r="C37" i="8" s="1"/>
  <c r="AE26" i="5"/>
  <c r="AN24" i="5" s="1"/>
  <c r="D37" i="8" s="1"/>
  <c r="AJ25" i="5"/>
  <c r="AM23" i="5" s="1"/>
  <c r="C36" i="8" s="1"/>
  <c r="AE25" i="5"/>
  <c r="AN23" i="5" s="1"/>
  <c r="D36" i="8" s="1"/>
  <c r="AJ24" i="5"/>
  <c r="AM22" i="5" s="1"/>
  <c r="C35" i="8" s="1"/>
  <c r="AE24" i="5"/>
  <c r="AN22" i="5" s="1"/>
  <c r="D35" i="8" s="1"/>
  <c r="F20" i="5"/>
  <c r="J36" i="5" s="1"/>
  <c r="AC11" i="5"/>
  <c r="N10" i="5"/>
  <c r="W9" i="5"/>
  <c r="T9" i="5"/>
  <c r="AC8" i="5"/>
  <c r="P54" i="4"/>
  <c r="AH49" i="4"/>
  <c r="AN32" i="4" s="1"/>
  <c r="S30" i="8" s="1"/>
  <c r="AC49" i="4"/>
  <c r="AM32" i="4" s="1"/>
  <c r="R30" i="8" s="1"/>
  <c r="AH48" i="4"/>
  <c r="AN31" i="4" s="1"/>
  <c r="S29" i="8" s="1"/>
  <c r="AC48" i="4"/>
  <c r="AM31" i="4" s="1"/>
  <c r="R29" i="8" s="1"/>
  <c r="AH47" i="4"/>
  <c r="AN30" i="4" s="1"/>
  <c r="S28" i="8" s="1"/>
  <c r="AC47" i="4"/>
  <c r="AM30" i="4" s="1"/>
  <c r="R28" i="8" s="1"/>
  <c r="AH46" i="4"/>
  <c r="AN29" i="4" s="1"/>
  <c r="S27" i="8" s="1"/>
  <c r="AC46" i="4"/>
  <c r="AM29" i="4" s="1"/>
  <c r="R27" i="8" s="1"/>
  <c r="Z46" i="4"/>
  <c r="Z47" i="4" s="1"/>
  <c r="Z48" i="4" s="1"/>
  <c r="Z49" i="4" s="1"/>
  <c r="AA49" i="4" s="1"/>
  <c r="B46" i="4"/>
  <c r="B47" i="4" s="1"/>
  <c r="B48" i="4" s="1"/>
  <c r="B39" i="4" s="1"/>
  <c r="AH45" i="4"/>
  <c r="AN28" i="4" s="1"/>
  <c r="S26" i="8" s="1"/>
  <c r="AE45" i="4"/>
  <c r="AF45" i="4" s="1"/>
  <c r="AC45" i="4"/>
  <c r="AM28" i="4" s="1"/>
  <c r="R26" i="8" s="1"/>
  <c r="Z45" i="4"/>
  <c r="AA45" i="4" s="1"/>
  <c r="AH44" i="4"/>
  <c r="AN27" i="4" s="1"/>
  <c r="S25" i="8" s="1"/>
  <c r="AF44" i="4"/>
  <c r="AC44" i="4"/>
  <c r="AM27" i="4" s="1"/>
  <c r="R25" i="8" s="1"/>
  <c r="AA44" i="4"/>
  <c r="AH43" i="4"/>
  <c r="AN26" i="4" s="1"/>
  <c r="S24" i="8" s="1"/>
  <c r="AE43" i="4"/>
  <c r="AF43" i="4" s="1"/>
  <c r="AC43" i="4"/>
  <c r="AM26" i="4" s="1"/>
  <c r="R24" i="8" s="1"/>
  <c r="Z43" i="4"/>
  <c r="Z42" i="4" s="1"/>
  <c r="Z41" i="4" s="1"/>
  <c r="B43" i="4"/>
  <c r="AH42" i="4"/>
  <c r="AN25" i="4" s="1"/>
  <c r="S23" i="8" s="1"/>
  <c r="AE42" i="4"/>
  <c r="AC42" i="4"/>
  <c r="AM25" i="4" s="1"/>
  <c r="R23" i="8" s="1"/>
  <c r="B42" i="4"/>
  <c r="AH41" i="4"/>
  <c r="AN24" i="4" s="1"/>
  <c r="S22" i="8" s="1"/>
  <c r="AC41" i="4"/>
  <c r="AM24" i="4" s="1"/>
  <c r="R22" i="8" s="1"/>
  <c r="B41" i="4"/>
  <c r="AH40" i="4"/>
  <c r="AN23" i="4" s="1"/>
  <c r="S21" i="8" s="1"/>
  <c r="AC40" i="4"/>
  <c r="AM23" i="4" s="1"/>
  <c r="R21" i="8" s="1"/>
  <c r="F40" i="4"/>
  <c r="AH39" i="4"/>
  <c r="AN22" i="4" s="1"/>
  <c r="S20" i="8" s="1"/>
  <c r="AC39" i="4"/>
  <c r="AM22" i="4" s="1"/>
  <c r="R20" i="8" s="1"/>
  <c r="B38" i="4"/>
  <c r="B37" i="4"/>
  <c r="F36" i="4"/>
  <c r="F37" i="4" s="1"/>
  <c r="F38" i="4" s="1"/>
  <c r="Q9" i="4" s="1"/>
  <c r="B36" i="4"/>
  <c r="B35" i="4"/>
  <c r="AH34" i="4"/>
  <c r="AK32" i="4" s="1"/>
  <c r="P30" i="8" s="1"/>
  <c r="AC34" i="4"/>
  <c r="AL32" i="4" s="1"/>
  <c r="Q30" i="8" s="1"/>
  <c r="B34" i="4"/>
  <c r="AH33" i="4"/>
  <c r="AK31" i="4" s="1"/>
  <c r="P29" i="8" s="1"/>
  <c r="AC33" i="4"/>
  <c r="AL31" i="4" s="1"/>
  <c r="Q29" i="8" s="1"/>
  <c r="J33" i="4"/>
  <c r="AH32" i="4"/>
  <c r="AK30" i="4" s="1"/>
  <c r="P28" i="8" s="1"/>
  <c r="AC32" i="4"/>
  <c r="AL30" i="4" s="1"/>
  <c r="Q28" i="8" s="1"/>
  <c r="J32" i="4"/>
  <c r="B32" i="4"/>
  <c r="AH31" i="4"/>
  <c r="AK29" i="4" s="1"/>
  <c r="P27" i="8" s="1"/>
  <c r="AC31" i="4"/>
  <c r="AL29" i="4" s="1"/>
  <c r="Q27" i="8" s="1"/>
  <c r="B31" i="4"/>
  <c r="AH30" i="4"/>
  <c r="AK28" i="4" s="1"/>
  <c r="P26" i="8" s="1"/>
  <c r="AE30" i="4"/>
  <c r="AE31" i="4" s="1"/>
  <c r="AE32" i="4" s="1"/>
  <c r="AE33" i="4" s="1"/>
  <c r="AE34" i="4" s="1"/>
  <c r="AF34" i="4" s="1"/>
  <c r="AC30" i="4"/>
  <c r="AL28" i="4" s="1"/>
  <c r="Q26" i="8" s="1"/>
  <c r="Z30" i="4"/>
  <c r="AA30" i="4" s="1"/>
  <c r="AH29" i="4"/>
  <c r="AK27" i="4" s="1"/>
  <c r="P25" i="8" s="1"/>
  <c r="AF29" i="4"/>
  <c r="AC29" i="4"/>
  <c r="AL27" i="4" s="1"/>
  <c r="Q25" i="8" s="1"/>
  <c r="AA29" i="4"/>
  <c r="AH28" i="4"/>
  <c r="AK26" i="4" s="1"/>
  <c r="P24" i="8" s="1"/>
  <c r="AE28" i="4"/>
  <c r="AF28" i="4" s="1"/>
  <c r="AC28" i="4"/>
  <c r="AL26" i="4" s="1"/>
  <c r="Q24" i="8" s="1"/>
  <c r="Z28" i="4"/>
  <c r="Z27" i="4" s="1"/>
  <c r="AH27" i="4"/>
  <c r="AK25" i="4" s="1"/>
  <c r="P23" i="8" s="1"/>
  <c r="AE27" i="4"/>
  <c r="AF27" i="4" s="1"/>
  <c r="AC27" i="4"/>
  <c r="AL25" i="4" s="1"/>
  <c r="Q23" i="8" s="1"/>
  <c r="AH26" i="4"/>
  <c r="AK24" i="4" s="1"/>
  <c r="P22" i="8" s="1"/>
  <c r="AC26" i="4"/>
  <c r="AL24" i="4" s="1"/>
  <c r="Q22" i="8" s="1"/>
  <c r="AH25" i="4"/>
  <c r="AK23" i="4" s="1"/>
  <c r="P21" i="8" s="1"/>
  <c r="AC25" i="4"/>
  <c r="AL23" i="4" s="1"/>
  <c r="Q21" i="8" s="1"/>
  <c r="AH24" i="4"/>
  <c r="AK22" i="4" s="1"/>
  <c r="P20" i="8" s="1"/>
  <c r="AC24" i="4"/>
  <c r="AL22" i="4" s="1"/>
  <c r="Q20" i="8" s="1"/>
  <c r="F19" i="4"/>
  <c r="J31" i="4" s="1"/>
  <c r="AA10" i="4"/>
  <c r="N10" i="4"/>
  <c r="T9" i="4"/>
  <c r="S9" i="4"/>
  <c r="AA8" i="4"/>
  <c r="AE64" i="3"/>
  <c r="AQ32" i="3" s="1"/>
  <c r="G30" i="8" s="1"/>
  <c r="AE63" i="3"/>
  <c r="AQ31" i="3" s="1"/>
  <c r="G29" i="8" s="1"/>
  <c r="AE62" i="3"/>
  <c r="AQ30" i="3" s="1"/>
  <c r="G28" i="8" s="1"/>
  <c r="AE61" i="3"/>
  <c r="AQ29" i="3" s="1"/>
  <c r="G27" i="8" s="1"/>
  <c r="AE60" i="3"/>
  <c r="AQ28" i="3" s="1"/>
  <c r="G26" i="8" s="1"/>
  <c r="AB60" i="3"/>
  <c r="AB61" i="3" s="1"/>
  <c r="AE59" i="3"/>
  <c r="AQ27" i="3" s="1"/>
  <c r="G25" i="8" s="1"/>
  <c r="AC59" i="3"/>
  <c r="AE58" i="3"/>
  <c r="AQ26" i="3" s="1"/>
  <c r="G24" i="8" s="1"/>
  <c r="AB58" i="3"/>
  <c r="AB57" i="3" s="1"/>
  <c r="AB56" i="3" s="1"/>
  <c r="AE57" i="3"/>
  <c r="AQ25" i="3" s="1"/>
  <c r="G23" i="8" s="1"/>
  <c r="AE56" i="3"/>
  <c r="AQ24" i="3" s="1"/>
  <c r="G22" i="8" s="1"/>
  <c r="AE55" i="3"/>
  <c r="AQ23" i="3" s="1"/>
  <c r="G21" i="8" s="1"/>
  <c r="B55" i="3"/>
  <c r="AE54" i="3"/>
  <c r="AQ22" i="3" s="1"/>
  <c r="G20" i="8" s="1"/>
  <c r="P54" i="3"/>
  <c r="AJ49" i="3"/>
  <c r="AP32" i="3" s="1"/>
  <c r="F30" i="8" s="1"/>
  <c r="AE49" i="3"/>
  <c r="AO32" i="3" s="1"/>
  <c r="E30" i="8" s="1"/>
  <c r="AJ48" i="3"/>
  <c r="AP31" i="3" s="1"/>
  <c r="F29" i="8" s="1"/>
  <c r="AE48" i="3"/>
  <c r="AO31" i="3" s="1"/>
  <c r="E29" i="8" s="1"/>
  <c r="AJ47" i="3"/>
  <c r="AP30" i="3" s="1"/>
  <c r="F28" i="8" s="1"/>
  <c r="AE47" i="3"/>
  <c r="AO30" i="3" s="1"/>
  <c r="E28" i="8" s="1"/>
  <c r="AJ46" i="3"/>
  <c r="AP29" i="3" s="1"/>
  <c r="F27" i="8" s="1"/>
  <c r="AE46" i="3"/>
  <c r="AO29" i="3" s="1"/>
  <c r="E27" i="8" s="1"/>
  <c r="B46" i="3"/>
  <c r="B48" i="3" s="1"/>
  <c r="AJ45" i="3"/>
  <c r="AP28" i="3" s="1"/>
  <c r="F26" i="8" s="1"/>
  <c r="AG45" i="3"/>
  <c r="AG46" i="3" s="1"/>
  <c r="AH46" i="3" s="1"/>
  <c r="AE45" i="3"/>
  <c r="AO28" i="3" s="1"/>
  <c r="E26" i="8" s="1"/>
  <c r="AB45" i="3"/>
  <c r="AB46" i="3" s="1"/>
  <c r="AJ44" i="3"/>
  <c r="AP27" i="3" s="1"/>
  <c r="F25" i="8" s="1"/>
  <c r="AH44" i="3"/>
  <c r="AE44" i="3"/>
  <c r="AO27" i="3" s="1"/>
  <c r="E25" i="8" s="1"/>
  <c r="AC44" i="3"/>
  <c r="AJ43" i="3"/>
  <c r="AP26" i="3" s="1"/>
  <c r="F24" i="8" s="1"/>
  <c r="AG43" i="3"/>
  <c r="AG42" i="3" s="1"/>
  <c r="AH42" i="3" s="1"/>
  <c r="AE43" i="3"/>
  <c r="AO26" i="3" s="1"/>
  <c r="E24" i="8" s="1"/>
  <c r="AB43" i="3"/>
  <c r="AC43" i="3" s="1"/>
  <c r="B43" i="3"/>
  <c r="AJ42" i="3"/>
  <c r="AP25" i="3" s="1"/>
  <c r="F23" i="8" s="1"/>
  <c r="AE42" i="3"/>
  <c r="AO25" i="3" s="1"/>
  <c r="E23" i="8" s="1"/>
  <c r="B42" i="3"/>
  <c r="AJ41" i="3"/>
  <c r="AP24" i="3" s="1"/>
  <c r="F22" i="8" s="1"/>
  <c r="AG41" i="3"/>
  <c r="AH41" i="3" s="1"/>
  <c r="AE41" i="3"/>
  <c r="AO24" i="3" s="1"/>
  <c r="E22" i="8" s="1"/>
  <c r="B41" i="3"/>
  <c r="AJ40" i="3"/>
  <c r="AP23" i="3" s="1"/>
  <c r="F21" i="8" s="1"/>
  <c r="AE40" i="3"/>
  <c r="AO23" i="3" s="1"/>
  <c r="E21" i="8" s="1"/>
  <c r="AJ39" i="3"/>
  <c r="AP22" i="3" s="1"/>
  <c r="F20" i="8" s="1"/>
  <c r="AE39" i="3"/>
  <c r="AO22" i="3" s="1"/>
  <c r="E20" i="8" s="1"/>
  <c r="J38" i="3"/>
  <c r="B38" i="3"/>
  <c r="J37" i="3"/>
  <c r="F37" i="3"/>
  <c r="F40" i="3" s="1"/>
  <c r="R9" i="3" s="1"/>
  <c r="B37" i="3"/>
  <c r="F36" i="3"/>
  <c r="F38" i="3" s="1"/>
  <c r="F41" i="3" s="1"/>
  <c r="Q9" i="3" s="1"/>
  <c r="B36" i="3"/>
  <c r="B35" i="3"/>
  <c r="AJ34" i="3"/>
  <c r="AM32" i="3" s="1"/>
  <c r="C30" i="8" s="1"/>
  <c r="AE34" i="3"/>
  <c r="AN32" i="3" s="1"/>
  <c r="D30" i="8" s="1"/>
  <c r="B34" i="3"/>
  <c r="AJ33" i="3"/>
  <c r="AM31" i="3" s="1"/>
  <c r="C29" i="8" s="1"/>
  <c r="AE33" i="3"/>
  <c r="AN31" i="3" s="1"/>
  <c r="D29" i="8" s="1"/>
  <c r="J33" i="3"/>
  <c r="AJ32" i="3"/>
  <c r="AM30" i="3" s="1"/>
  <c r="C28" i="8" s="1"/>
  <c r="AE32" i="3"/>
  <c r="AN30" i="3" s="1"/>
  <c r="D28" i="8" s="1"/>
  <c r="B32" i="3"/>
  <c r="AJ31" i="3"/>
  <c r="AM29" i="3" s="1"/>
  <c r="C27" i="8" s="1"/>
  <c r="AE31" i="3"/>
  <c r="AN29" i="3" s="1"/>
  <c r="D27" i="8" s="1"/>
  <c r="J31" i="3"/>
  <c r="U9" i="3" s="1"/>
  <c r="B31" i="3"/>
  <c r="AJ30" i="3"/>
  <c r="AM28" i="3" s="1"/>
  <c r="C26" i="8" s="1"/>
  <c r="AG30" i="3"/>
  <c r="AG31" i="3" s="1"/>
  <c r="AE30" i="3"/>
  <c r="AN28" i="3" s="1"/>
  <c r="D26" i="8" s="1"/>
  <c r="AB30" i="3"/>
  <c r="AC30" i="3" s="1"/>
  <c r="AJ29" i="3"/>
  <c r="AM27" i="3" s="1"/>
  <c r="C25" i="8" s="1"/>
  <c r="AH29" i="3"/>
  <c r="AE29" i="3"/>
  <c r="AN27" i="3" s="1"/>
  <c r="D25" i="8" s="1"/>
  <c r="AC29" i="3"/>
  <c r="AJ28" i="3"/>
  <c r="AM26" i="3" s="1"/>
  <c r="C24" i="8" s="1"/>
  <c r="AG28" i="3"/>
  <c r="AH28" i="3" s="1"/>
  <c r="AE28" i="3"/>
  <c r="AN26" i="3" s="1"/>
  <c r="D24" i="8" s="1"/>
  <c r="AB28" i="3"/>
  <c r="AC28" i="3" s="1"/>
  <c r="AJ27" i="3"/>
  <c r="AM25" i="3" s="1"/>
  <c r="C23" i="8" s="1"/>
  <c r="AE27" i="3"/>
  <c r="AN25" i="3" s="1"/>
  <c r="D23" i="8" s="1"/>
  <c r="AJ26" i="3"/>
  <c r="AM24" i="3" s="1"/>
  <c r="C22" i="8" s="1"/>
  <c r="AE26" i="3"/>
  <c r="AN24" i="3" s="1"/>
  <c r="D22" i="8" s="1"/>
  <c r="AJ25" i="3"/>
  <c r="AM23" i="3" s="1"/>
  <c r="C21" i="8" s="1"/>
  <c r="AE25" i="3"/>
  <c r="AN23" i="3" s="1"/>
  <c r="D21" i="8" s="1"/>
  <c r="AJ24" i="3"/>
  <c r="AM22" i="3" s="1"/>
  <c r="C20" i="8" s="1"/>
  <c r="AE24" i="3"/>
  <c r="AN22" i="3" s="1"/>
  <c r="D20" i="8" s="1"/>
  <c r="F20" i="3"/>
  <c r="J36" i="3" s="1"/>
  <c r="AC11" i="3"/>
  <c r="N10" i="3"/>
  <c r="T10" i="3" s="1"/>
  <c r="W9" i="3"/>
  <c r="T9" i="3"/>
  <c r="AC8" i="3"/>
  <c r="P54" i="2"/>
  <c r="AH49" i="2"/>
  <c r="AN32" i="2" s="1"/>
  <c r="S15" i="8" s="1"/>
  <c r="AC49" i="2"/>
  <c r="AM32" i="2" s="1"/>
  <c r="R15" i="8" s="1"/>
  <c r="AH48" i="2"/>
  <c r="AN31" i="2" s="1"/>
  <c r="S14" i="8" s="1"/>
  <c r="AC48" i="2"/>
  <c r="AM31" i="2" s="1"/>
  <c r="R14" i="8" s="1"/>
  <c r="AH47" i="2"/>
  <c r="AN30" i="2" s="1"/>
  <c r="S13" i="8" s="1"/>
  <c r="AC47" i="2"/>
  <c r="AM30" i="2" s="1"/>
  <c r="R13" i="8" s="1"/>
  <c r="AH46" i="2"/>
  <c r="AN29" i="2" s="1"/>
  <c r="S12" i="8" s="1"/>
  <c r="AC46" i="2"/>
  <c r="AM29" i="2" s="1"/>
  <c r="R12" i="8" s="1"/>
  <c r="B46" i="2"/>
  <c r="B47" i="2" s="1"/>
  <c r="B48" i="2" s="1"/>
  <c r="AH45" i="2"/>
  <c r="AN28" i="2" s="1"/>
  <c r="S11" i="8" s="1"/>
  <c r="AE45" i="2"/>
  <c r="AC45" i="2"/>
  <c r="AM28" i="2" s="1"/>
  <c r="R11" i="8" s="1"/>
  <c r="Z45" i="2"/>
  <c r="AA45" i="2" s="1"/>
  <c r="AH44" i="2"/>
  <c r="AN27" i="2" s="1"/>
  <c r="S10" i="8" s="1"/>
  <c r="AF44" i="2"/>
  <c r="AC44" i="2"/>
  <c r="AM27" i="2" s="1"/>
  <c r="R10" i="8" s="1"/>
  <c r="AA44" i="2"/>
  <c r="AH43" i="2"/>
  <c r="AN26" i="2" s="1"/>
  <c r="S9" i="8" s="1"/>
  <c r="AE43" i="2"/>
  <c r="AC43" i="2"/>
  <c r="AM26" i="2" s="1"/>
  <c r="R9" i="8" s="1"/>
  <c r="Z43" i="2"/>
  <c r="Z42" i="2" s="1"/>
  <c r="B43" i="2"/>
  <c r="B52" i="2" s="1"/>
  <c r="AH42" i="2"/>
  <c r="AN25" i="2" s="1"/>
  <c r="S8" i="8" s="1"/>
  <c r="AC42" i="2"/>
  <c r="AM25" i="2" s="1"/>
  <c r="R8" i="8" s="1"/>
  <c r="B42" i="2"/>
  <c r="AH41" i="2"/>
  <c r="AN24" i="2" s="1"/>
  <c r="S7" i="8" s="1"/>
  <c r="AC41" i="2"/>
  <c r="AM24" i="2" s="1"/>
  <c r="R7" i="8" s="1"/>
  <c r="B41" i="2"/>
  <c r="AH40" i="2"/>
  <c r="AN23" i="2" s="1"/>
  <c r="S6" i="8" s="1"/>
  <c r="AC40" i="2"/>
  <c r="AM23" i="2" s="1"/>
  <c r="R6" i="8" s="1"/>
  <c r="F40" i="2"/>
  <c r="AH39" i="2"/>
  <c r="AN22" i="2" s="1"/>
  <c r="S5" i="8" s="1"/>
  <c r="AC39" i="2"/>
  <c r="AM22" i="2" s="1"/>
  <c r="R5" i="8" s="1"/>
  <c r="B38" i="2"/>
  <c r="B37" i="2"/>
  <c r="F36" i="2"/>
  <c r="F37" i="2" s="1"/>
  <c r="F38" i="2" s="1"/>
  <c r="Q9" i="2" s="1"/>
  <c r="B36" i="2"/>
  <c r="B35" i="2"/>
  <c r="AH34" i="2"/>
  <c r="AK32" i="2" s="1"/>
  <c r="P15" i="8" s="1"/>
  <c r="AC34" i="2"/>
  <c r="AL32" i="2" s="1"/>
  <c r="Q15" i="8" s="1"/>
  <c r="B34" i="2"/>
  <c r="AH33" i="2"/>
  <c r="AK31" i="2" s="1"/>
  <c r="P14" i="8" s="1"/>
  <c r="AC33" i="2"/>
  <c r="AL31" i="2" s="1"/>
  <c r="Q14" i="8" s="1"/>
  <c r="J33" i="2"/>
  <c r="AH32" i="2"/>
  <c r="AK30" i="2" s="1"/>
  <c r="P13" i="8" s="1"/>
  <c r="AC32" i="2"/>
  <c r="AL30" i="2" s="1"/>
  <c r="Q13" i="8" s="1"/>
  <c r="J32" i="2"/>
  <c r="B32" i="2"/>
  <c r="AH31" i="2"/>
  <c r="AK29" i="2" s="1"/>
  <c r="P12" i="8" s="1"/>
  <c r="AC31" i="2"/>
  <c r="AL29" i="2" s="1"/>
  <c r="Q12" i="8" s="1"/>
  <c r="B31" i="2"/>
  <c r="AH30" i="2"/>
  <c r="AK28" i="2" s="1"/>
  <c r="P11" i="8" s="1"/>
  <c r="AE30" i="2"/>
  <c r="AE31" i="2" s="1"/>
  <c r="AE32" i="2" s="1"/>
  <c r="AE33" i="2" s="1"/>
  <c r="AF33" i="2" s="1"/>
  <c r="AC30" i="2"/>
  <c r="AL28" i="2" s="1"/>
  <c r="Q11" i="8" s="1"/>
  <c r="Z30" i="2"/>
  <c r="AH29" i="2"/>
  <c r="AK27" i="2" s="1"/>
  <c r="P10" i="8" s="1"/>
  <c r="AF29" i="2"/>
  <c r="AC29" i="2"/>
  <c r="AL27" i="2" s="1"/>
  <c r="Q10" i="8" s="1"/>
  <c r="AA29" i="2"/>
  <c r="AH28" i="2"/>
  <c r="AK26" i="2" s="1"/>
  <c r="P9" i="8" s="1"/>
  <c r="AE28" i="2"/>
  <c r="AF28" i="2" s="1"/>
  <c r="AC28" i="2"/>
  <c r="AL26" i="2" s="1"/>
  <c r="Q9" i="8" s="1"/>
  <c r="Z28" i="2"/>
  <c r="AA28" i="2" s="1"/>
  <c r="AH27" i="2"/>
  <c r="AK25" i="2" s="1"/>
  <c r="P8" i="8" s="1"/>
  <c r="AC27" i="2"/>
  <c r="AL25" i="2" s="1"/>
  <c r="Q8" i="8" s="1"/>
  <c r="AH26" i="2"/>
  <c r="AK24" i="2" s="1"/>
  <c r="P7" i="8" s="1"/>
  <c r="AC26" i="2"/>
  <c r="AL24" i="2" s="1"/>
  <c r="Q7" i="8" s="1"/>
  <c r="AH25" i="2"/>
  <c r="AK23" i="2" s="1"/>
  <c r="P6" i="8" s="1"/>
  <c r="AC25" i="2"/>
  <c r="AL23" i="2" s="1"/>
  <c r="Q6" i="8" s="1"/>
  <c r="AH24" i="2"/>
  <c r="AK22" i="2" s="1"/>
  <c r="P5" i="8" s="1"/>
  <c r="AC24" i="2"/>
  <c r="AL22" i="2" s="1"/>
  <c r="Q5" i="8" s="1"/>
  <c r="F19" i="2"/>
  <c r="J31" i="2" s="1"/>
  <c r="AA10" i="2"/>
  <c r="N10" i="2"/>
  <c r="T9" i="2"/>
  <c r="S9" i="2"/>
  <c r="AE64" i="1"/>
  <c r="AQ32" i="1" s="1"/>
  <c r="G15" i="8" s="1"/>
  <c r="AE63" i="1"/>
  <c r="AQ31" i="1" s="1"/>
  <c r="G14" i="8" s="1"/>
  <c r="AE62" i="1"/>
  <c r="AQ30" i="1" s="1"/>
  <c r="G13" i="8" s="1"/>
  <c r="AE61" i="1"/>
  <c r="AQ29" i="1" s="1"/>
  <c r="G12" i="8" s="1"/>
  <c r="AE60" i="1"/>
  <c r="AQ28" i="1" s="1"/>
  <c r="G11" i="8" s="1"/>
  <c r="AB60" i="1"/>
  <c r="AC60" i="1" s="1"/>
  <c r="AE59" i="1"/>
  <c r="AQ27" i="1" s="1"/>
  <c r="G10" i="8" s="1"/>
  <c r="AC59" i="1"/>
  <c r="AE58" i="1"/>
  <c r="AQ26" i="1" s="1"/>
  <c r="G9" i="8" s="1"/>
  <c r="AB58" i="1"/>
  <c r="AB57" i="1" s="1"/>
  <c r="AC57" i="1" s="1"/>
  <c r="AE57" i="1"/>
  <c r="AQ25" i="1" s="1"/>
  <c r="G8" i="8" s="1"/>
  <c r="AE56" i="1"/>
  <c r="AQ24" i="1" s="1"/>
  <c r="G7" i="8" s="1"/>
  <c r="AE55" i="1"/>
  <c r="AQ23" i="1" s="1"/>
  <c r="G6" i="8" s="1"/>
  <c r="AE54" i="1"/>
  <c r="P55" i="1"/>
  <c r="B55" i="1"/>
  <c r="AJ49" i="1"/>
  <c r="AP32" i="1" s="1"/>
  <c r="F15" i="8" s="1"/>
  <c r="AE49" i="1"/>
  <c r="AO32" i="1" s="1"/>
  <c r="E15" i="8" s="1"/>
  <c r="B49" i="1"/>
  <c r="AC9" i="1" s="1"/>
  <c r="AJ48" i="1"/>
  <c r="AP31" i="1" s="1"/>
  <c r="F14" i="8" s="1"/>
  <c r="AE48" i="1"/>
  <c r="AO31" i="1" s="1"/>
  <c r="E14" i="8" s="1"/>
  <c r="AJ47" i="1"/>
  <c r="AP30" i="1" s="1"/>
  <c r="F13" i="8" s="1"/>
  <c r="AE47" i="1"/>
  <c r="AO30" i="1" s="1"/>
  <c r="E13" i="8" s="1"/>
  <c r="AJ46" i="1"/>
  <c r="AP29" i="1" s="1"/>
  <c r="F12" i="8" s="1"/>
  <c r="AE46" i="1"/>
  <c r="AO29" i="1" s="1"/>
  <c r="E12" i="8" s="1"/>
  <c r="B46" i="1"/>
  <c r="B48" i="1" s="1"/>
  <c r="AJ45" i="1"/>
  <c r="AP28" i="1" s="1"/>
  <c r="F11" i="8" s="1"/>
  <c r="AG45" i="1"/>
  <c r="AH45" i="1" s="1"/>
  <c r="AE45" i="1"/>
  <c r="AO28" i="1" s="1"/>
  <c r="E11" i="8" s="1"/>
  <c r="AB45" i="1"/>
  <c r="AB46" i="1" s="1"/>
  <c r="AC46" i="1" s="1"/>
  <c r="AJ44" i="1"/>
  <c r="AP27" i="1" s="1"/>
  <c r="F10" i="8" s="1"/>
  <c r="AH44" i="1"/>
  <c r="AE44" i="1"/>
  <c r="AO27" i="1" s="1"/>
  <c r="E10" i="8" s="1"/>
  <c r="AC44" i="1"/>
  <c r="AJ43" i="1"/>
  <c r="AP26" i="1" s="1"/>
  <c r="F9" i="8" s="1"/>
  <c r="AG43" i="1"/>
  <c r="AH43" i="1" s="1"/>
  <c r="AE43" i="1"/>
  <c r="AO26" i="1" s="1"/>
  <c r="E9" i="8" s="1"/>
  <c r="AB43" i="1"/>
  <c r="AC43" i="1" s="1"/>
  <c r="B43" i="1"/>
  <c r="AJ42" i="1"/>
  <c r="AP25" i="1" s="1"/>
  <c r="F8" i="8" s="1"/>
  <c r="AE42" i="1"/>
  <c r="AO25" i="1" s="1"/>
  <c r="E8" i="8" s="1"/>
  <c r="B42" i="1"/>
  <c r="AJ41" i="1"/>
  <c r="AP24" i="1" s="1"/>
  <c r="F7" i="8" s="1"/>
  <c r="AE41" i="1"/>
  <c r="AO24" i="1" s="1"/>
  <c r="E7" i="8" s="1"/>
  <c r="B41" i="1"/>
  <c r="AJ40" i="1"/>
  <c r="AP23" i="1" s="1"/>
  <c r="F6" i="8" s="1"/>
  <c r="AE40" i="1"/>
  <c r="AO23" i="1" s="1"/>
  <c r="E6" i="8" s="1"/>
  <c r="AE39" i="1"/>
  <c r="AO22" i="1" s="1"/>
  <c r="E5" i="8" s="1"/>
  <c r="J38" i="1"/>
  <c r="B38" i="1"/>
  <c r="J37" i="1"/>
  <c r="F37" i="1"/>
  <c r="F40" i="1" s="1"/>
  <c r="R9" i="1" s="1"/>
  <c r="B37" i="1"/>
  <c r="F36" i="1"/>
  <c r="AC8" i="1" s="1"/>
  <c r="B36" i="1"/>
  <c r="B35" i="1"/>
  <c r="AJ34" i="1"/>
  <c r="AM32" i="1" s="1"/>
  <c r="C15" i="8" s="1"/>
  <c r="AE34" i="1"/>
  <c r="AN32" i="1" s="1"/>
  <c r="D15" i="8" s="1"/>
  <c r="B34" i="1"/>
  <c r="AJ33" i="1"/>
  <c r="AM31" i="1" s="1"/>
  <c r="C14" i="8" s="1"/>
  <c r="AE33" i="1"/>
  <c r="AN31" i="1" s="1"/>
  <c r="D14" i="8" s="1"/>
  <c r="J33" i="1"/>
  <c r="AJ32" i="1"/>
  <c r="AM30" i="1" s="1"/>
  <c r="C13" i="8" s="1"/>
  <c r="AE32" i="1"/>
  <c r="AN30" i="1" s="1"/>
  <c r="D13" i="8" s="1"/>
  <c r="B32" i="1"/>
  <c r="AJ31" i="1"/>
  <c r="AM29" i="1" s="1"/>
  <c r="C12" i="8" s="1"/>
  <c r="AE31" i="1"/>
  <c r="AN29" i="1" s="1"/>
  <c r="D12" i="8" s="1"/>
  <c r="J31" i="1"/>
  <c r="U9" i="1" s="1"/>
  <c r="B31" i="1"/>
  <c r="AJ30" i="1"/>
  <c r="AM28" i="1" s="1"/>
  <c r="C11" i="8" s="1"/>
  <c r="AG30" i="1"/>
  <c r="AH30" i="1" s="1"/>
  <c r="AE30" i="1"/>
  <c r="AN28" i="1" s="1"/>
  <c r="D11" i="8" s="1"/>
  <c r="AB30" i="1"/>
  <c r="AC30" i="1" s="1"/>
  <c r="AJ29" i="1"/>
  <c r="AM27" i="1" s="1"/>
  <c r="C10" i="8" s="1"/>
  <c r="AH29" i="1"/>
  <c r="AE29" i="1"/>
  <c r="AN27" i="1" s="1"/>
  <c r="D10" i="8" s="1"/>
  <c r="AC29" i="1"/>
  <c r="AJ28" i="1"/>
  <c r="AM26" i="1" s="1"/>
  <c r="C9" i="8" s="1"/>
  <c r="AG28" i="1"/>
  <c r="AH28" i="1" s="1"/>
  <c r="AE28" i="1"/>
  <c r="AN26" i="1" s="1"/>
  <c r="D9" i="8" s="1"/>
  <c r="AB28" i="1"/>
  <c r="AC28" i="1" s="1"/>
  <c r="AJ27" i="1"/>
  <c r="AM25" i="1" s="1"/>
  <c r="C8" i="8" s="1"/>
  <c r="AG27" i="1"/>
  <c r="AH27" i="1" s="1"/>
  <c r="AE27" i="1"/>
  <c r="AN25" i="1" s="1"/>
  <c r="D8" i="8" s="1"/>
  <c r="AJ26" i="1"/>
  <c r="AM24" i="1" s="1"/>
  <c r="C7" i="8" s="1"/>
  <c r="AE26" i="1"/>
  <c r="AN24" i="1" s="1"/>
  <c r="D7" i="8" s="1"/>
  <c r="AJ25" i="1"/>
  <c r="AM23" i="1" s="1"/>
  <c r="C6" i="8" s="1"/>
  <c r="AE25" i="1"/>
  <c r="AN23" i="1" s="1"/>
  <c r="D6" i="8" s="1"/>
  <c r="AJ24" i="1"/>
  <c r="AM22" i="1" s="1"/>
  <c r="C5" i="8" s="1"/>
  <c r="AE24" i="1"/>
  <c r="AN22" i="1" s="1"/>
  <c r="D5" i="8" s="1"/>
  <c r="F20" i="1"/>
  <c r="J36" i="1" s="1"/>
  <c r="AC11" i="1"/>
  <c r="N10" i="1"/>
  <c r="W9" i="1"/>
  <c r="T9" i="1"/>
  <c r="Z57" i="4" l="1"/>
  <c r="AA57" i="4" s="1"/>
  <c r="Z61" i="6"/>
  <c r="AC76" i="3"/>
  <c r="Z27" i="2"/>
  <c r="AA27" i="2" s="1"/>
  <c r="AA43" i="2"/>
  <c r="AC13" i="5"/>
  <c r="AC72" i="5"/>
  <c r="B50" i="2"/>
  <c r="AG31" i="5"/>
  <c r="B50" i="6"/>
  <c r="B33" i="6"/>
  <c r="AB76" i="1"/>
  <c r="AE27" i="2"/>
  <c r="AE26" i="2" s="1"/>
  <c r="AE25" i="2" s="1"/>
  <c r="AG47" i="3"/>
  <c r="AB57" i="5"/>
  <c r="AB61" i="5"/>
  <c r="AC61" i="5" s="1"/>
  <c r="AA60" i="4"/>
  <c r="B50" i="4"/>
  <c r="AE31" i="6"/>
  <c r="AG57" i="3"/>
  <c r="AG56" i="3" s="1"/>
  <c r="AA60" i="2"/>
  <c r="Z31" i="4"/>
  <c r="AC75" i="5"/>
  <c r="Z57" i="6"/>
  <c r="AA57" i="6" s="1"/>
  <c r="Z62" i="4"/>
  <c r="AA62" i="4" s="1"/>
  <c r="Z62" i="2"/>
  <c r="AA62" i="2" s="1"/>
  <c r="Z55" i="2"/>
  <c r="AA55" i="2" s="1"/>
  <c r="AB77" i="5"/>
  <c r="AC77" i="5" s="1"/>
  <c r="AB70" i="5"/>
  <c r="AC70" i="5" s="1"/>
  <c r="AB78" i="3"/>
  <c r="AC78" i="3" s="1"/>
  <c r="AB72" i="3"/>
  <c r="AC72" i="3" s="1"/>
  <c r="AB72" i="1"/>
  <c r="AC72" i="1" s="1"/>
  <c r="AQ22" i="1"/>
  <c r="G5" i="8" s="1"/>
  <c r="AB31" i="1"/>
  <c r="F48" i="1"/>
  <c r="F51" i="1" s="1"/>
  <c r="AG42" i="1"/>
  <c r="AG41" i="1" s="1"/>
  <c r="AH41" i="1" s="1"/>
  <c r="AG46" i="1"/>
  <c r="AG47" i="1" s="1"/>
  <c r="AC13" i="1"/>
  <c r="AB61" i="1"/>
  <c r="AC61" i="1" s="1"/>
  <c r="AG62" i="5"/>
  <c r="AH61" i="5"/>
  <c r="AH56" i="5"/>
  <c r="AG55" i="5"/>
  <c r="AH57" i="5"/>
  <c r="AH60" i="5"/>
  <c r="AH56" i="1"/>
  <c r="AG55" i="1"/>
  <c r="AG61" i="1"/>
  <c r="AH57" i="1"/>
  <c r="AG62" i="3"/>
  <c r="AH61" i="3"/>
  <c r="AH56" i="3"/>
  <c r="AG55" i="3"/>
  <c r="AH57" i="3"/>
  <c r="AH60" i="3"/>
  <c r="F50" i="3"/>
  <c r="AA27" i="4"/>
  <c r="Z26" i="4"/>
  <c r="AA26" i="4" s="1"/>
  <c r="Z40" i="4"/>
  <c r="AA41" i="4"/>
  <c r="F50" i="5"/>
  <c r="J32" i="5" s="1"/>
  <c r="V9" i="5" s="1"/>
  <c r="AH30" i="3"/>
  <c r="AA28" i="4"/>
  <c r="AF32" i="2"/>
  <c r="AE34" i="2"/>
  <c r="AF34" i="2" s="1"/>
  <c r="AB31" i="5"/>
  <c r="AC31" i="5" s="1"/>
  <c r="AG31" i="1"/>
  <c r="AH31" i="1" s="1"/>
  <c r="AF31" i="2"/>
  <c r="Z46" i="2"/>
  <c r="Z47" i="2" s="1"/>
  <c r="B56" i="3"/>
  <c r="AH45" i="3"/>
  <c r="AE26" i="4"/>
  <c r="AA43" i="4"/>
  <c r="AE46" i="4"/>
  <c r="AC27" i="5"/>
  <c r="AH28" i="5"/>
  <c r="AC45" i="5"/>
  <c r="AA30" i="6"/>
  <c r="B52" i="6"/>
  <c r="B53" i="3"/>
  <c r="AB42" i="3"/>
  <c r="AC42" i="3" s="1"/>
  <c r="B52" i="4"/>
  <c r="AB62" i="5"/>
  <c r="AB27" i="1"/>
  <c r="AC27" i="1" s="1"/>
  <c r="B56" i="1"/>
  <c r="AG27" i="3"/>
  <c r="AH27" i="3" s="1"/>
  <c r="AG40" i="3"/>
  <c r="AF30" i="4"/>
  <c r="B56" i="5"/>
  <c r="AB42" i="5"/>
  <c r="Z27" i="6"/>
  <c r="B53" i="1"/>
  <c r="AF30" i="2"/>
  <c r="J32" i="3"/>
  <c r="V9" i="3" s="1"/>
  <c r="AC61" i="3"/>
  <c r="AB62" i="3"/>
  <c r="AB47" i="3"/>
  <c r="AC46" i="3"/>
  <c r="AC45" i="3"/>
  <c r="AC60" i="3"/>
  <c r="AB27" i="3"/>
  <c r="AC27" i="3" s="1"/>
  <c r="AH43" i="3"/>
  <c r="AC57" i="3"/>
  <c r="J30" i="6"/>
  <c r="R10" i="6" s="1"/>
  <c r="J30" i="2"/>
  <c r="R9" i="2" s="1"/>
  <c r="J35" i="5"/>
  <c r="S9" i="5" s="1"/>
  <c r="J30" i="4"/>
  <c r="R9" i="4" s="1"/>
  <c r="AF25" i="2"/>
  <c r="AE24" i="2"/>
  <c r="AF24" i="2" s="1"/>
  <c r="AF27" i="2"/>
  <c r="AA48" i="4"/>
  <c r="B50" i="1"/>
  <c r="B51" i="1" s="1"/>
  <c r="B33" i="1" s="1"/>
  <c r="AG26" i="1"/>
  <c r="AG25" i="1" s="1"/>
  <c r="AG24" i="1" s="1"/>
  <c r="AH24" i="1" s="1"/>
  <c r="Z25" i="4"/>
  <c r="Z24" i="4" s="1"/>
  <c r="AA24" i="4" s="1"/>
  <c r="B40" i="4"/>
  <c r="B39" i="6"/>
  <c r="J35" i="1"/>
  <c r="S9" i="1" s="1"/>
  <c r="J35" i="3"/>
  <c r="S9" i="3" s="1"/>
  <c r="AF43" i="2"/>
  <c r="AE42" i="2"/>
  <c r="Z31" i="2"/>
  <c r="AA30" i="2"/>
  <c r="AG32" i="3"/>
  <c r="AH31" i="3"/>
  <c r="AE25" i="4"/>
  <c r="AF26" i="4"/>
  <c r="AE41" i="4"/>
  <c r="AF42" i="4"/>
  <c r="U10" i="1"/>
  <c r="T10" i="1"/>
  <c r="AC31" i="1"/>
  <c r="AB32" i="1"/>
  <c r="Z41" i="2"/>
  <c r="AA42" i="2"/>
  <c r="Q10" i="2"/>
  <c r="S10" i="2"/>
  <c r="N11" i="2"/>
  <c r="AF45" i="2"/>
  <c r="AE46" i="2"/>
  <c r="B39" i="2"/>
  <c r="B40" i="2"/>
  <c r="B33" i="2"/>
  <c r="AH25" i="1"/>
  <c r="AC45" i="1"/>
  <c r="W10" i="1"/>
  <c r="AH42" i="1"/>
  <c r="T10" i="2"/>
  <c r="R10" i="1"/>
  <c r="N11" i="1"/>
  <c r="F38" i="1"/>
  <c r="F41" i="1" s="1"/>
  <c r="Q9" i="1" s="1"/>
  <c r="AB42" i="1"/>
  <c r="AB47" i="1"/>
  <c r="B50" i="3"/>
  <c r="B51" i="3" s="1"/>
  <c r="AB55" i="3"/>
  <c r="AC56" i="3"/>
  <c r="Q10" i="4"/>
  <c r="T10" i="4"/>
  <c r="S10" i="4"/>
  <c r="AH27" i="5"/>
  <c r="AG26" i="5"/>
  <c r="N11" i="3"/>
  <c r="R10" i="3"/>
  <c r="U10" i="3"/>
  <c r="Q10" i="3"/>
  <c r="AG32" i="1"/>
  <c r="AA8" i="2"/>
  <c r="Z26" i="2"/>
  <c r="AG48" i="3"/>
  <c r="AH47" i="3"/>
  <c r="AA31" i="4"/>
  <c r="Z32" i="4"/>
  <c r="W10" i="3"/>
  <c r="AG39" i="3"/>
  <c r="AH39" i="3" s="1"/>
  <c r="AH40" i="3"/>
  <c r="AF26" i="2"/>
  <c r="AB56" i="1"/>
  <c r="AC58" i="1"/>
  <c r="AB48" i="3"/>
  <c r="AC47" i="3"/>
  <c r="N11" i="4"/>
  <c r="AB31" i="3"/>
  <c r="AF32" i="4"/>
  <c r="AG32" i="5"/>
  <c r="AH31" i="5"/>
  <c r="AF31" i="4"/>
  <c r="AA40" i="4"/>
  <c r="Z39" i="4"/>
  <c r="AA39" i="4" s="1"/>
  <c r="U10" i="5"/>
  <c r="Q10" i="5"/>
  <c r="N11" i="5"/>
  <c r="T10" i="5"/>
  <c r="R10" i="5"/>
  <c r="AB25" i="5"/>
  <c r="AB41" i="3"/>
  <c r="AC58" i="3"/>
  <c r="AA25" i="4"/>
  <c r="AF33" i="4"/>
  <c r="AE47" i="4"/>
  <c r="AF46" i="4"/>
  <c r="W10" i="5"/>
  <c r="AB41" i="5"/>
  <c r="AC42" i="5"/>
  <c r="AA47" i="4"/>
  <c r="AG42" i="5"/>
  <c r="AH43" i="5"/>
  <c r="AC62" i="5"/>
  <c r="AB63" i="5"/>
  <c r="B33" i="4"/>
  <c r="B49" i="4" s="1"/>
  <c r="AA42" i="4"/>
  <c r="AA46" i="4"/>
  <c r="AB56" i="5"/>
  <c r="AC57" i="5"/>
  <c r="AB32" i="5"/>
  <c r="AA31" i="6"/>
  <c r="Z32" i="6"/>
  <c r="Q9" i="6"/>
  <c r="Q10" i="6"/>
  <c r="AE42" i="6"/>
  <c r="AF43" i="6"/>
  <c r="AB47" i="5"/>
  <c r="AC46" i="5"/>
  <c r="AG47" i="5"/>
  <c r="AH46" i="5"/>
  <c r="AF31" i="6"/>
  <c r="AE32" i="6"/>
  <c r="B49" i="6"/>
  <c r="B50" i="5"/>
  <c r="B51" i="5" s="1"/>
  <c r="AE27" i="6"/>
  <c r="AF28" i="6"/>
  <c r="AF45" i="6"/>
  <c r="AE47" i="6"/>
  <c r="S10" i="6"/>
  <c r="N11" i="6"/>
  <c r="Z42" i="6"/>
  <c r="AA43" i="6"/>
  <c r="Z46" i="6"/>
  <c r="AA45" i="6"/>
  <c r="AG26" i="3" l="1"/>
  <c r="AG40" i="1"/>
  <c r="AB77" i="1"/>
  <c r="AC76" i="1"/>
  <c r="Z56" i="4"/>
  <c r="AA56" i="4" s="1"/>
  <c r="Z62" i="6"/>
  <c r="AA61" i="6"/>
  <c r="Z56" i="6"/>
  <c r="AA56" i="6" s="1"/>
  <c r="Z55" i="4"/>
  <c r="AA55" i="4" s="1"/>
  <c r="Z63" i="4"/>
  <c r="AA63" i="4" s="1"/>
  <c r="Z54" i="2"/>
  <c r="AA54" i="2" s="1"/>
  <c r="Z63" i="2"/>
  <c r="AA63" i="2" s="1"/>
  <c r="AB69" i="5"/>
  <c r="AC69" i="5" s="1"/>
  <c r="AB78" i="5"/>
  <c r="AC78" i="5" s="1"/>
  <c r="AB71" i="3"/>
  <c r="AC71" i="3" s="1"/>
  <c r="AB79" i="3"/>
  <c r="AC79" i="3" s="1"/>
  <c r="AB71" i="1"/>
  <c r="AC71" i="1" s="1"/>
  <c r="F50" i="1"/>
  <c r="AH46" i="1"/>
  <c r="AB62" i="1"/>
  <c r="AB63" i="1" s="1"/>
  <c r="AC63" i="1" s="1"/>
  <c r="AC62" i="1"/>
  <c r="J32" i="1"/>
  <c r="V10" i="1" s="1"/>
  <c r="AH55" i="5"/>
  <c r="AG54" i="5"/>
  <c r="AH54" i="5" s="1"/>
  <c r="AG63" i="5"/>
  <c r="AH62" i="5"/>
  <c r="V10" i="5"/>
  <c r="AH55" i="1"/>
  <c r="AG54" i="1"/>
  <c r="AH54" i="1" s="1"/>
  <c r="AG62" i="1"/>
  <c r="AH61" i="1"/>
  <c r="AG63" i="3"/>
  <c r="AH62" i="3"/>
  <c r="AH55" i="3"/>
  <c r="AG54" i="3"/>
  <c r="AH54" i="3" s="1"/>
  <c r="AA46" i="2"/>
  <c r="Z26" i="6"/>
  <c r="AA27" i="6"/>
  <c r="AB26" i="1"/>
  <c r="AC26" i="1" s="1"/>
  <c r="V10" i="3"/>
  <c r="AB26" i="3"/>
  <c r="AC26" i="3" s="1"/>
  <c r="AB63" i="3"/>
  <c r="AC62" i="3"/>
  <c r="R9" i="6"/>
  <c r="R10" i="2"/>
  <c r="R10" i="4"/>
  <c r="S10" i="5"/>
  <c r="S10" i="1"/>
  <c r="B49" i="2"/>
  <c r="B56" i="2" s="1"/>
  <c r="AH26" i="1"/>
  <c r="B40" i="1"/>
  <c r="B39" i="1"/>
  <c r="S10" i="3"/>
  <c r="Z47" i="6"/>
  <c r="AA46" i="6"/>
  <c r="AB33" i="5"/>
  <c r="AC32" i="5"/>
  <c r="AC56" i="5"/>
  <c r="AB55" i="5"/>
  <c r="AG41" i="5"/>
  <c r="AH42" i="5"/>
  <c r="N12" i="5"/>
  <c r="V11" i="5"/>
  <c r="R11" i="5"/>
  <c r="U11" i="5"/>
  <c r="T11" i="5"/>
  <c r="S11" i="5"/>
  <c r="Q11" i="5"/>
  <c r="W11" i="5"/>
  <c r="W11" i="3"/>
  <c r="S11" i="3"/>
  <c r="N12" i="3"/>
  <c r="V11" i="3"/>
  <c r="R11" i="3"/>
  <c r="U11" i="3"/>
  <c r="T11" i="3"/>
  <c r="Q11" i="3"/>
  <c r="AC42" i="1"/>
  <c r="AB41" i="1"/>
  <c r="AA41" i="2"/>
  <c r="Z40" i="2"/>
  <c r="AE24" i="4"/>
  <c r="AF24" i="4" s="1"/>
  <c r="AF25" i="4"/>
  <c r="AB25" i="3"/>
  <c r="AE41" i="2"/>
  <c r="AF42" i="2"/>
  <c r="AG48" i="5"/>
  <c r="AH47" i="5"/>
  <c r="AF42" i="6"/>
  <c r="AE41" i="6"/>
  <c r="Q11" i="4"/>
  <c r="T11" i="4"/>
  <c r="S11" i="4"/>
  <c r="R11" i="4"/>
  <c r="N12" i="4"/>
  <c r="N12" i="1"/>
  <c r="R11" i="1"/>
  <c r="U11" i="1"/>
  <c r="Q11" i="1"/>
  <c r="W11" i="1"/>
  <c r="T11" i="1"/>
  <c r="S11" i="1"/>
  <c r="AE47" i="2"/>
  <c r="AF46" i="2"/>
  <c r="AG33" i="3"/>
  <c r="AH32" i="3"/>
  <c r="Z48" i="2"/>
  <c r="AA47" i="2"/>
  <c r="AH47" i="1"/>
  <c r="AG48" i="1"/>
  <c r="AF32" i="6"/>
  <c r="AE33" i="6"/>
  <c r="B51" i="4"/>
  <c r="B56" i="4"/>
  <c r="AG33" i="5"/>
  <c r="AH32" i="5"/>
  <c r="B51" i="2"/>
  <c r="AE26" i="6"/>
  <c r="AF27" i="6"/>
  <c r="AB48" i="5"/>
  <c r="AC47" i="5"/>
  <c r="AB64" i="5"/>
  <c r="AC64" i="5" s="1"/>
  <c r="AC63" i="5"/>
  <c r="AC41" i="5"/>
  <c r="AB40" i="5"/>
  <c r="AF47" i="4"/>
  <c r="AE48" i="4"/>
  <c r="AB40" i="3"/>
  <c r="AC41" i="3"/>
  <c r="AC56" i="1"/>
  <c r="AB55" i="1"/>
  <c r="AA26" i="2"/>
  <c r="Z25" i="2"/>
  <c r="AG25" i="5"/>
  <c r="AH26" i="5"/>
  <c r="AC55" i="3"/>
  <c r="AB54" i="3"/>
  <c r="AC54" i="3" s="1"/>
  <c r="AG39" i="1"/>
  <c r="AH39" i="1" s="1"/>
  <c r="AH40" i="1"/>
  <c r="AA31" i="2"/>
  <c r="Z32" i="2"/>
  <c r="T11" i="6"/>
  <c r="N12" i="6"/>
  <c r="S11" i="6"/>
  <c r="R11" i="6"/>
  <c r="Q11" i="6"/>
  <c r="B56" i="6"/>
  <c r="B51" i="6"/>
  <c r="AB24" i="5"/>
  <c r="AC24" i="5" s="1"/>
  <c r="AC25" i="5"/>
  <c r="AA32" i="4"/>
  <c r="Z33" i="4"/>
  <c r="AG49" i="3"/>
  <c r="AH49" i="3" s="1"/>
  <c r="AH48" i="3"/>
  <c r="AG33" i="1"/>
  <c r="AH32" i="1"/>
  <c r="AB48" i="1"/>
  <c r="AC47" i="1"/>
  <c r="AA42" i="6"/>
  <c r="Z41" i="6"/>
  <c r="AE48" i="6"/>
  <c r="AF47" i="6"/>
  <c r="B39" i="5"/>
  <c r="B33" i="5"/>
  <c r="B40" i="5"/>
  <c r="AA32" i="6"/>
  <c r="Z33" i="6"/>
  <c r="AC31" i="3"/>
  <c r="AB32" i="3"/>
  <c r="AB49" i="3"/>
  <c r="AC49" i="3" s="1"/>
  <c r="AC48" i="3"/>
  <c r="B39" i="3"/>
  <c r="B33" i="3"/>
  <c r="B40" i="3"/>
  <c r="Q11" i="2"/>
  <c r="T11" i="2"/>
  <c r="N12" i="2"/>
  <c r="S11" i="2"/>
  <c r="R11" i="2"/>
  <c r="AB33" i="1"/>
  <c r="AC32" i="1"/>
  <c r="Q10" i="1"/>
  <c r="AF41" i="4"/>
  <c r="AE40" i="4"/>
  <c r="AB64" i="1" l="1"/>
  <c r="AC64" i="1" s="1"/>
  <c r="AA62" i="6"/>
  <c r="Z63" i="6"/>
  <c r="AC77" i="1"/>
  <c r="AB78" i="1"/>
  <c r="AG25" i="3"/>
  <c r="AH26" i="3"/>
  <c r="Z55" i="6"/>
  <c r="AA55" i="6" s="1"/>
  <c r="Z64" i="4"/>
  <c r="AA64" i="4" s="1"/>
  <c r="Z54" i="4"/>
  <c r="AA54" i="4" s="1"/>
  <c r="Z64" i="2"/>
  <c r="AA64" i="2" s="1"/>
  <c r="AB79" i="5"/>
  <c r="AC79" i="5" s="1"/>
  <c r="AB70" i="3"/>
  <c r="AC70" i="3" s="1"/>
  <c r="AB70" i="1"/>
  <c r="AC70" i="1" s="1"/>
  <c r="V9" i="1"/>
  <c r="V11" i="1"/>
  <c r="AG64" i="5"/>
  <c r="AH64" i="5" s="1"/>
  <c r="AH63" i="5"/>
  <c r="AG63" i="1"/>
  <c r="AH62" i="1"/>
  <c r="AG64" i="3"/>
  <c r="AH64" i="3" s="1"/>
  <c r="AH63" i="3"/>
  <c r="AB25" i="1"/>
  <c r="AC25" i="1" s="1"/>
  <c r="Z25" i="6"/>
  <c r="AA26" i="6"/>
  <c r="AB64" i="3"/>
  <c r="AC64" i="3" s="1"/>
  <c r="AC63" i="3"/>
  <c r="B52" i="3"/>
  <c r="B52" i="1"/>
  <c r="B54" i="1" s="1"/>
  <c r="AF48" i="4"/>
  <c r="AE49" i="4"/>
  <c r="AF49" i="4" s="1"/>
  <c r="AA9" i="2"/>
  <c r="B53" i="2"/>
  <c r="W12" i="1"/>
  <c r="S12" i="1"/>
  <c r="N13" i="1"/>
  <c r="R12" i="1"/>
  <c r="V12" i="1"/>
  <c r="Q12" i="1"/>
  <c r="U12" i="1"/>
  <c r="T12" i="1"/>
  <c r="Z48" i="6"/>
  <c r="AA47" i="6"/>
  <c r="B52" i="5"/>
  <c r="B53" i="6"/>
  <c r="AA9" i="6"/>
  <c r="AG24" i="5"/>
  <c r="AH24" i="5" s="1"/>
  <c r="AH25" i="5"/>
  <c r="Q12" i="2"/>
  <c r="S12" i="2"/>
  <c r="R12" i="2"/>
  <c r="T12" i="2"/>
  <c r="N13" i="2"/>
  <c r="AA33" i="6"/>
  <c r="Z34" i="6"/>
  <c r="AA34" i="6" s="1"/>
  <c r="AG34" i="1"/>
  <c r="AH34" i="1" s="1"/>
  <c r="AH33" i="1"/>
  <c r="T12" i="6"/>
  <c r="S12" i="6"/>
  <c r="R12" i="6"/>
  <c r="Q12" i="6"/>
  <c r="N13" i="6"/>
  <c r="Z24" i="2"/>
  <c r="AA24" i="2" s="1"/>
  <c r="AA25" i="2"/>
  <c r="AB39" i="5"/>
  <c r="AC39" i="5" s="1"/>
  <c r="AC40" i="5"/>
  <c r="AF26" i="6"/>
  <c r="AE25" i="6"/>
  <c r="AG34" i="5"/>
  <c r="AH34" i="5" s="1"/>
  <c r="AH33" i="5"/>
  <c r="Z49" i="2"/>
  <c r="AA49" i="2" s="1"/>
  <c r="AA48" i="2"/>
  <c r="Q12" i="4"/>
  <c r="T12" i="4"/>
  <c r="N13" i="4"/>
  <c r="S12" i="4"/>
  <c r="R12" i="4"/>
  <c r="AF41" i="2"/>
  <c r="AE40" i="2"/>
  <c r="AH41" i="5"/>
  <c r="AG40" i="5"/>
  <c r="AC33" i="5"/>
  <c r="AB34" i="5"/>
  <c r="AC34" i="5" s="1"/>
  <c r="AB33" i="3"/>
  <c r="AC32" i="3"/>
  <c r="AF48" i="6"/>
  <c r="AE49" i="6"/>
  <c r="AF49" i="6" s="1"/>
  <c r="AB49" i="1"/>
  <c r="AC49" i="1" s="1"/>
  <c r="AC48" i="1"/>
  <c r="AC55" i="1"/>
  <c r="AB54" i="1"/>
  <c r="AC54" i="1" s="1"/>
  <c r="AB49" i="5"/>
  <c r="AC49" i="5" s="1"/>
  <c r="AC48" i="5"/>
  <c r="B53" i="4"/>
  <c r="AA9" i="4"/>
  <c r="AG34" i="3"/>
  <c r="AH34" i="3" s="1"/>
  <c r="AH33" i="3"/>
  <c r="AE40" i="6"/>
  <c r="AF41" i="6"/>
  <c r="W12" i="5"/>
  <c r="S12" i="5"/>
  <c r="N13" i="5"/>
  <c r="U12" i="5"/>
  <c r="T12" i="5"/>
  <c r="Q12" i="5"/>
  <c r="V12" i="5"/>
  <c r="R12" i="5"/>
  <c r="Z40" i="6"/>
  <c r="AA41" i="6"/>
  <c r="Z34" i="4"/>
  <c r="AA34" i="4" s="1"/>
  <c r="AA33" i="4"/>
  <c r="AA32" i="2"/>
  <c r="Z33" i="2"/>
  <c r="AF33" i="6"/>
  <c r="AE34" i="6"/>
  <c r="AF34" i="6" s="1"/>
  <c r="AB40" i="1"/>
  <c r="AC41" i="1"/>
  <c r="T12" i="3"/>
  <c r="W12" i="3"/>
  <c r="S12" i="3"/>
  <c r="U12" i="3"/>
  <c r="Q12" i="3"/>
  <c r="N13" i="3"/>
  <c r="R12" i="3"/>
  <c r="V12" i="3"/>
  <c r="AF40" i="4"/>
  <c r="AE39" i="4"/>
  <c r="AF39" i="4" s="1"/>
  <c r="AB34" i="1"/>
  <c r="AC34" i="1" s="1"/>
  <c r="AC33" i="1"/>
  <c r="AB39" i="3"/>
  <c r="AC39" i="3" s="1"/>
  <c r="AC40" i="3"/>
  <c r="AG49" i="1"/>
  <c r="AH49" i="1" s="1"/>
  <c r="AH48" i="1"/>
  <c r="AF47" i="2"/>
  <c r="AE48" i="2"/>
  <c r="AH48" i="5"/>
  <c r="AG49" i="5"/>
  <c r="AH49" i="5" s="1"/>
  <c r="AC25" i="3"/>
  <c r="AB24" i="3"/>
  <c r="AC24" i="3" s="1"/>
  <c r="AA40" i="2"/>
  <c r="Z39" i="2"/>
  <c r="AA39" i="2" s="1"/>
  <c r="AB54" i="5"/>
  <c r="AC54" i="5" s="1"/>
  <c r="AC55" i="5"/>
  <c r="AH25" i="3" l="1"/>
  <c r="AG24" i="3"/>
  <c r="AH24" i="3" s="1"/>
  <c r="AB24" i="1"/>
  <c r="AC24" i="1" s="1"/>
  <c r="AC78" i="1"/>
  <c r="AB79" i="1"/>
  <c r="AC79" i="1" s="1"/>
  <c r="AA63" i="6"/>
  <c r="Z64" i="6"/>
  <c r="AA64" i="6" s="1"/>
  <c r="Z54" i="6"/>
  <c r="AA54" i="6" s="1"/>
  <c r="AB69" i="3"/>
  <c r="AC69" i="3" s="1"/>
  <c r="AB69" i="1"/>
  <c r="AC69" i="1" s="1"/>
  <c r="AG64" i="1"/>
  <c r="AH64" i="1" s="1"/>
  <c r="AH63" i="1"/>
  <c r="AA25" i="6"/>
  <c r="Z24" i="6"/>
  <c r="AA24" i="6" s="1"/>
  <c r="B54" i="3"/>
  <c r="B57" i="3" s="1"/>
  <c r="B60" i="1"/>
  <c r="Q13" i="6"/>
  <c r="T13" i="6"/>
  <c r="S13" i="6"/>
  <c r="R13" i="6"/>
  <c r="N14" i="6"/>
  <c r="F31" i="2"/>
  <c r="O8" i="2" s="1"/>
  <c r="F31" i="4"/>
  <c r="O8" i="4" s="1"/>
  <c r="AE39" i="2"/>
  <c r="AF39" i="2" s="1"/>
  <c r="AF40" i="2"/>
  <c r="N14" i="4"/>
  <c r="R13" i="4"/>
  <c r="Q13" i="4"/>
  <c r="T13" i="4"/>
  <c r="S13" i="4"/>
  <c r="F31" i="6"/>
  <c r="O8" i="6" s="1"/>
  <c r="B57" i="1"/>
  <c r="AC10" i="1"/>
  <c r="T13" i="1"/>
  <c r="W13" i="1"/>
  <c r="S13" i="1"/>
  <c r="V13" i="1"/>
  <c r="Q13" i="1"/>
  <c r="U13" i="1"/>
  <c r="R13" i="1"/>
  <c r="N14" i="1"/>
  <c r="AF48" i="2"/>
  <c r="AE49" i="2"/>
  <c r="AF49" i="2" s="1"/>
  <c r="N14" i="3"/>
  <c r="U13" i="3"/>
  <c r="Q13" i="3"/>
  <c r="T13" i="3"/>
  <c r="R13" i="3"/>
  <c r="V13" i="3"/>
  <c r="W13" i="3"/>
  <c r="S13" i="3"/>
  <c r="AC40" i="1"/>
  <c r="AB39" i="1"/>
  <c r="AC39" i="1" s="1"/>
  <c r="AA40" i="6"/>
  <c r="Z39" i="6"/>
  <c r="AA39" i="6" s="1"/>
  <c r="T13" i="5"/>
  <c r="U13" i="5"/>
  <c r="N14" i="5"/>
  <c r="S13" i="5"/>
  <c r="Q13" i="5"/>
  <c r="W13" i="5"/>
  <c r="V13" i="5"/>
  <c r="R13" i="5"/>
  <c r="AF40" i="6"/>
  <c r="AE39" i="6"/>
  <c r="AF39" i="6" s="1"/>
  <c r="AC33" i="3"/>
  <c r="AB34" i="3"/>
  <c r="AC34" i="3" s="1"/>
  <c r="Z49" i="6"/>
  <c r="AA49" i="6" s="1"/>
  <c r="AA48" i="6"/>
  <c r="Z34" i="2"/>
  <c r="AA34" i="2" s="1"/>
  <c r="AA33" i="2"/>
  <c r="AG39" i="5"/>
  <c r="AH39" i="5" s="1"/>
  <c r="AH40" i="5"/>
  <c r="AF25" i="6"/>
  <c r="AE24" i="6"/>
  <c r="AF24" i="6" s="1"/>
  <c r="N14" i="2"/>
  <c r="R13" i="2"/>
  <c r="Q13" i="2"/>
  <c r="T13" i="2"/>
  <c r="S13" i="2"/>
  <c r="B60" i="5"/>
  <c r="B54" i="5"/>
  <c r="F31" i="3" l="1"/>
  <c r="O8" i="3" s="1"/>
  <c r="X8" i="3" s="1"/>
  <c r="AC10" i="3"/>
  <c r="F32" i="4"/>
  <c r="F33" i="4" s="1"/>
  <c r="P13" i="4" s="1"/>
  <c r="U13" i="4" s="1"/>
  <c r="B57" i="5"/>
  <c r="AC10" i="5"/>
  <c r="F31" i="5"/>
  <c r="O8" i="5" s="1"/>
  <c r="V14" i="1"/>
  <c r="R14" i="1"/>
  <c r="U14" i="1"/>
  <c r="N15" i="1"/>
  <c r="Q14" i="1"/>
  <c r="T14" i="1"/>
  <c r="S14" i="1"/>
  <c r="P14" i="1"/>
  <c r="W14" i="1"/>
  <c r="O49" i="6"/>
  <c r="U8" i="6"/>
  <c r="O49" i="2"/>
  <c r="U8" i="2"/>
  <c r="V14" i="5"/>
  <c r="R14" i="5"/>
  <c r="U14" i="5"/>
  <c r="P14" i="5"/>
  <c r="N15" i="5"/>
  <c r="T14" i="5"/>
  <c r="Q14" i="5"/>
  <c r="W14" i="5"/>
  <c r="S14" i="5"/>
  <c r="W14" i="3"/>
  <c r="S14" i="3"/>
  <c r="V14" i="3"/>
  <c r="R14" i="3"/>
  <c r="P14" i="3"/>
  <c r="U14" i="3"/>
  <c r="T14" i="3"/>
  <c r="Q14" i="3"/>
  <c r="N15" i="3"/>
  <c r="F32" i="6"/>
  <c r="F32" i="2"/>
  <c r="O49" i="4"/>
  <c r="U8" i="4"/>
  <c r="N15" i="6"/>
  <c r="R14" i="6"/>
  <c r="Q14" i="6"/>
  <c r="T14" i="6"/>
  <c r="S14" i="6"/>
  <c r="P14" i="6"/>
  <c r="S14" i="2"/>
  <c r="P14" i="2"/>
  <c r="T14" i="2"/>
  <c r="R14" i="2"/>
  <c r="Q14" i="2"/>
  <c r="N15" i="2"/>
  <c r="F31" i="1"/>
  <c r="O8" i="1" s="1"/>
  <c r="S14" i="4"/>
  <c r="N15" i="4"/>
  <c r="R14" i="4"/>
  <c r="P14" i="4"/>
  <c r="T14" i="4"/>
  <c r="Q14" i="4"/>
  <c r="O49" i="3" l="1"/>
  <c r="F32" i="3"/>
  <c r="F33" i="3" s="1"/>
  <c r="P9" i="3" s="1"/>
  <c r="P12" i="4"/>
  <c r="U12" i="4" s="1"/>
  <c r="F32" i="5"/>
  <c r="F33" i="5" s="1"/>
  <c r="P9" i="5" s="1"/>
  <c r="U14" i="2"/>
  <c r="X14" i="3"/>
  <c r="P11" i="4"/>
  <c r="U11" i="4" s="1"/>
  <c r="O49" i="1"/>
  <c r="X8" i="1"/>
  <c r="T15" i="5"/>
  <c r="P15" i="5"/>
  <c r="V15" i="5"/>
  <c r="Q15" i="5"/>
  <c r="U15" i="5"/>
  <c r="R15" i="5"/>
  <c r="N16" i="5"/>
  <c r="W15" i="5"/>
  <c r="S15" i="5"/>
  <c r="O49" i="5"/>
  <c r="X8" i="5"/>
  <c r="P10" i="4"/>
  <c r="U10" i="4" s="1"/>
  <c r="F32" i="1"/>
  <c r="F33" i="6"/>
  <c r="P9" i="6" s="1"/>
  <c r="X14" i="5"/>
  <c r="T15" i="2"/>
  <c r="P15" i="2"/>
  <c r="S15" i="2"/>
  <c r="N16" i="2"/>
  <c r="R15" i="2"/>
  <c r="Q15" i="2"/>
  <c r="S15" i="6"/>
  <c r="N16" i="6"/>
  <c r="R15" i="6"/>
  <c r="T15" i="6"/>
  <c r="Q15" i="6"/>
  <c r="P15" i="6"/>
  <c r="N16" i="3"/>
  <c r="U15" i="3"/>
  <c r="Q15" i="3"/>
  <c r="T15" i="3"/>
  <c r="P15" i="3"/>
  <c r="V15" i="3"/>
  <c r="R15" i="3"/>
  <c r="S15" i="3"/>
  <c r="W15" i="3"/>
  <c r="U14" i="4"/>
  <c r="F33" i="2"/>
  <c r="P9" i="2" s="1"/>
  <c r="P9" i="4"/>
  <c r="T15" i="4"/>
  <c r="P15" i="4"/>
  <c r="S15" i="4"/>
  <c r="Q15" i="4"/>
  <c r="N16" i="4"/>
  <c r="R15" i="4"/>
  <c r="U14" i="6"/>
  <c r="X14" i="1"/>
  <c r="T15" i="1"/>
  <c r="P15" i="1"/>
  <c r="S15" i="1"/>
  <c r="W15" i="1"/>
  <c r="R15" i="1"/>
  <c r="Q15" i="1"/>
  <c r="V15" i="1"/>
  <c r="N16" i="1"/>
  <c r="U15" i="1"/>
  <c r="P11" i="6" l="1"/>
  <c r="U11" i="6" s="1"/>
  <c r="P13" i="6"/>
  <c r="U13" i="6" s="1"/>
  <c r="P12" i="5"/>
  <c r="X12" i="5" s="1"/>
  <c r="P12" i="2"/>
  <c r="U12" i="2" s="1"/>
  <c r="P10" i="6"/>
  <c r="U10" i="6" s="1"/>
  <c r="P11" i="3"/>
  <c r="X11" i="3" s="1"/>
  <c r="P10" i="3"/>
  <c r="X10" i="3" s="1"/>
  <c r="P12" i="3"/>
  <c r="X12" i="3" s="1"/>
  <c r="P13" i="3"/>
  <c r="X13" i="3" s="1"/>
  <c r="X9" i="5"/>
  <c r="U9" i="2"/>
  <c r="U9" i="6"/>
  <c r="U15" i="4"/>
  <c r="F33" i="1"/>
  <c r="P13" i="1" s="1"/>
  <c r="X13" i="1" s="1"/>
  <c r="V16" i="5"/>
  <c r="R16" i="5"/>
  <c r="W16" i="5"/>
  <c r="Q16" i="5"/>
  <c r="U16" i="5"/>
  <c r="P16" i="5"/>
  <c r="S16" i="5"/>
  <c r="N17" i="5"/>
  <c r="T16" i="5"/>
  <c r="X15" i="1"/>
  <c r="X9" i="3"/>
  <c r="Q16" i="4"/>
  <c r="T16" i="4"/>
  <c r="P16" i="4"/>
  <c r="R16" i="4"/>
  <c r="N17" i="4"/>
  <c r="S16" i="4"/>
  <c r="P11" i="2"/>
  <c r="U11" i="2" s="1"/>
  <c r="P11" i="5"/>
  <c r="X11" i="5" s="1"/>
  <c r="U15" i="2"/>
  <c r="X15" i="5"/>
  <c r="U9" i="4"/>
  <c r="P10" i="2"/>
  <c r="U10" i="2" s="1"/>
  <c r="P10" i="5"/>
  <c r="X10" i="5" s="1"/>
  <c r="X15" i="3"/>
  <c r="W16" i="3"/>
  <c r="S16" i="3"/>
  <c r="V16" i="3"/>
  <c r="R16" i="3"/>
  <c r="T16" i="3"/>
  <c r="P16" i="3"/>
  <c r="N17" i="3"/>
  <c r="Q16" i="3"/>
  <c r="U16" i="3"/>
  <c r="P12" i="6"/>
  <c r="U12" i="6" s="1"/>
  <c r="V16" i="1"/>
  <c r="R16" i="1"/>
  <c r="N17" i="1"/>
  <c r="Q16" i="1"/>
  <c r="U16" i="1"/>
  <c r="P16" i="1"/>
  <c r="W16" i="1"/>
  <c r="S16" i="1"/>
  <c r="T16" i="1"/>
  <c r="P13" i="2"/>
  <c r="U13" i="2" s="1"/>
  <c r="P13" i="5"/>
  <c r="X13" i="5" s="1"/>
  <c r="U15" i="6"/>
  <c r="T16" i="6"/>
  <c r="P16" i="6"/>
  <c r="S16" i="6"/>
  <c r="N17" i="6"/>
  <c r="R16" i="6"/>
  <c r="Q16" i="6"/>
  <c r="Q16" i="2"/>
  <c r="R16" i="2"/>
  <c r="P16" i="2"/>
  <c r="N17" i="2"/>
  <c r="T16" i="2"/>
  <c r="S16" i="2"/>
  <c r="P12" i="1" l="1"/>
  <c r="X12" i="1" s="1"/>
  <c r="P10" i="1"/>
  <c r="X10" i="1" s="1"/>
  <c r="P11" i="1"/>
  <c r="X11" i="1" s="1"/>
  <c r="P9" i="1"/>
  <c r="X9" i="1" s="1"/>
  <c r="Q17" i="6"/>
  <c r="T17" i="6"/>
  <c r="P17" i="6"/>
  <c r="N18" i="6"/>
  <c r="S17" i="6"/>
  <c r="R17" i="6"/>
  <c r="N18" i="3"/>
  <c r="U17" i="3"/>
  <c r="Q17" i="3"/>
  <c r="T17" i="3"/>
  <c r="P17" i="3"/>
  <c r="R17" i="3"/>
  <c r="V17" i="3"/>
  <c r="W17" i="3"/>
  <c r="S17" i="3"/>
  <c r="T17" i="1"/>
  <c r="P17" i="1"/>
  <c r="W17" i="1"/>
  <c r="S17" i="1"/>
  <c r="V17" i="1"/>
  <c r="R17" i="1"/>
  <c r="N18" i="1"/>
  <c r="U17" i="1"/>
  <c r="Q17" i="1"/>
  <c r="X16" i="3"/>
  <c r="N18" i="4"/>
  <c r="R17" i="4"/>
  <c r="Q17" i="4"/>
  <c r="S17" i="4"/>
  <c r="P17" i="4"/>
  <c r="T17" i="4"/>
  <c r="X16" i="5"/>
  <c r="N18" i="2"/>
  <c r="R17" i="2"/>
  <c r="P17" i="2"/>
  <c r="T17" i="2"/>
  <c r="S17" i="2"/>
  <c r="Q17" i="2"/>
  <c r="U16" i="6"/>
  <c r="X16" i="1"/>
  <c r="U16" i="2"/>
  <c r="U16" i="4"/>
  <c r="T17" i="5"/>
  <c r="P17" i="5"/>
  <c r="W17" i="5"/>
  <c r="R17" i="5"/>
  <c r="V17" i="5"/>
  <c r="Q17" i="5"/>
  <c r="S17" i="5"/>
  <c r="N18" i="5"/>
  <c r="U17" i="5"/>
  <c r="U17" i="6" l="1"/>
  <c r="N19" i="2"/>
  <c r="S18" i="2"/>
  <c r="T18" i="2"/>
  <c r="R18" i="2"/>
  <c r="Q18" i="2"/>
  <c r="P18" i="2"/>
  <c r="N19" i="4"/>
  <c r="S18" i="4"/>
  <c r="R18" i="4"/>
  <c r="T18" i="4"/>
  <c r="Q18" i="4"/>
  <c r="P18" i="4"/>
  <c r="U17" i="2"/>
  <c r="U17" i="4"/>
  <c r="V18" i="1"/>
  <c r="R18" i="1"/>
  <c r="U18" i="1"/>
  <c r="N19" i="1"/>
  <c r="Q18" i="1"/>
  <c r="T18" i="1"/>
  <c r="S18" i="1"/>
  <c r="P18" i="1"/>
  <c r="W18" i="1"/>
  <c r="X17" i="3"/>
  <c r="W18" i="3"/>
  <c r="S18" i="3"/>
  <c r="V18" i="3"/>
  <c r="R18" i="3"/>
  <c r="P18" i="3"/>
  <c r="U18" i="3"/>
  <c r="T18" i="3"/>
  <c r="N19" i="3"/>
  <c r="Q18" i="3"/>
  <c r="V18" i="5"/>
  <c r="R18" i="5"/>
  <c r="S18" i="5"/>
  <c r="W18" i="5"/>
  <c r="Q18" i="5"/>
  <c r="T18" i="5"/>
  <c r="P18" i="5"/>
  <c r="N19" i="5"/>
  <c r="U18" i="5"/>
  <c r="X17" i="1"/>
  <c r="X17" i="5"/>
  <c r="T18" i="6"/>
  <c r="N19" i="6"/>
  <c r="R18" i="6"/>
  <c r="Q18" i="6"/>
  <c r="P18" i="6"/>
  <c r="S18" i="6"/>
  <c r="U18" i="4" l="1"/>
  <c r="U18" i="6"/>
  <c r="X18" i="5"/>
  <c r="U19" i="3"/>
  <c r="Q19" i="3"/>
  <c r="T19" i="3"/>
  <c r="P19" i="3"/>
  <c r="V19" i="3"/>
  <c r="R19" i="3"/>
  <c r="N20" i="3"/>
  <c r="S19" i="3"/>
  <c r="W19" i="3"/>
  <c r="U18" i="2"/>
  <c r="T19" i="5"/>
  <c r="P19" i="5"/>
  <c r="S19" i="5"/>
  <c r="W19" i="5"/>
  <c r="R19" i="5"/>
  <c r="U19" i="5"/>
  <c r="N20" i="5"/>
  <c r="Q19" i="5"/>
  <c r="V19" i="5"/>
  <c r="X18" i="3"/>
  <c r="S19" i="4"/>
  <c r="N20" i="4"/>
  <c r="R19" i="4"/>
  <c r="Q19" i="4"/>
  <c r="P19" i="4"/>
  <c r="T19" i="4"/>
  <c r="T19" i="6"/>
  <c r="P19" i="6"/>
  <c r="S19" i="6"/>
  <c r="Q19" i="6"/>
  <c r="R19" i="6"/>
  <c r="N20" i="6"/>
  <c r="X18" i="1"/>
  <c r="T19" i="1"/>
  <c r="P19" i="1"/>
  <c r="S19" i="1"/>
  <c r="W19" i="1"/>
  <c r="N20" i="1"/>
  <c r="R19" i="1"/>
  <c r="Q19" i="1"/>
  <c r="U19" i="1"/>
  <c r="V19" i="1"/>
  <c r="S19" i="2"/>
  <c r="N20" i="2"/>
  <c r="Q19" i="2"/>
  <c r="P19" i="2"/>
  <c r="T19" i="2"/>
  <c r="R19" i="2"/>
  <c r="T20" i="2" l="1"/>
  <c r="P20" i="2"/>
  <c r="R20" i="2"/>
  <c r="S20" i="2"/>
  <c r="N21" i="2"/>
  <c r="Q20" i="2"/>
  <c r="V20" i="3"/>
  <c r="R20" i="3"/>
  <c r="N21" i="3"/>
  <c r="U20" i="3"/>
  <c r="Q20" i="3"/>
  <c r="P20" i="3"/>
  <c r="W20" i="3"/>
  <c r="T20" i="3"/>
  <c r="S20" i="3"/>
  <c r="Q20" i="6"/>
  <c r="S20" i="6"/>
  <c r="R20" i="6"/>
  <c r="T20" i="6"/>
  <c r="P20" i="6"/>
  <c r="N21" i="6"/>
  <c r="U19" i="6"/>
  <c r="T20" i="4"/>
  <c r="P20" i="4"/>
  <c r="S20" i="4"/>
  <c r="R20" i="4"/>
  <c r="Q20" i="4"/>
  <c r="N21" i="4"/>
  <c r="U19" i="2"/>
  <c r="X19" i="1"/>
  <c r="U19" i="4"/>
  <c r="N21" i="5"/>
  <c r="U20" i="5"/>
  <c r="Q20" i="5"/>
  <c r="S20" i="5"/>
  <c r="W20" i="5"/>
  <c r="R20" i="5"/>
  <c r="P20" i="5"/>
  <c r="V20" i="5"/>
  <c r="T20" i="5"/>
  <c r="N21" i="1"/>
  <c r="U20" i="1"/>
  <c r="Q20" i="1"/>
  <c r="T20" i="1"/>
  <c r="P20" i="1"/>
  <c r="W20" i="1"/>
  <c r="V20" i="1"/>
  <c r="S20" i="1"/>
  <c r="R20" i="1"/>
  <c r="X19" i="5"/>
  <c r="X19" i="3"/>
  <c r="X20" i="1" l="1"/>
  <c r="U20" i="4"/>
  <c r="W21" i="5"/>
  <c r="S21" i="5"/>
  <c r="N22" i="5"/>
  <c r="T21" i="5"/>
  <c r="R21" i="5"/>
  <c r="Q21" i="5"/>
  <c r="P21" i="5"/>
  <c r="V21" i="5"/>
  <c r="U21" i="5"/>
  <c r="U20" i="2"/>
  <c r="W21" i="1"/>
  <c r="S21" i="1"/>
  <c r="R21" i="1"/>
  <c r="V21" i="1"/>
  <c r="U21" i="1"/>
  <c r="N22" i="1"/>
  <c r="T21" i="1"/>
  <c r="Q21" i="1"/>
  <c r="P21" i="1"/>
  <c r="Q21" i="4"/>
  <c r="T21" i="4"/>
  <c r="P21" i="4"/>
  <c r="S21" i="4"/>
  <c r="R21" i="4"/>
  <c r="N22" i="4"/>
  <c r="U20" i="6"/>
  <c r="X20" i="3"/>
  <c r="X20" i="5"/>
  <c r="S21" i="6"/>
  <c r="N22" i="6"/>
  <c r="R21" i="6"/>
  <c r="Q21" i="6"/>
  <c r="P21" i="6"/>
  <c r="T21" i="6"/>
  <c r="T21" i="3"/>
  <c r="P21" i="3"/>
  <c r="W21" i="3"/>
  <c r="S21" i="3"/>
  <c r="V21" i="3"/>
  <c r="R21" i="3"/>
  <c r="U21" i="3"/>
  <c r="N22" i="3"/>
  <c r="Q21" i="3"/>
  <c r="Q21" i="2"/>
  <c r="S21" i="2"/>
  <c r="R21" i="2"/>
  <c r="N22" i="2"/>
  <c r="P21" i="2"/>
  <c r="T21" i="2"/>
  <c r="X21" i="3" l="1"/>
  <c r="X21" i="1"/>
  <c r="X21" i="5"/>
  <c r="V22" i="3"/>
  <c r="R22" i="3"/>
  <c r="N23" i="3"/>
  <c r="U22" i="3"/>
  <c r="Q22" i="3"/>
  <c r="T22" i="3"/>
  <c r="P22" i="3"/>
  <c r="S22" i="3"/>
  <c r="W22" i="3"/>
  <c r="T22" i="6"/>
  <c r="P22" i="6"/>
  <c r="S22" i="6"/>
  <c r="R22" i="6"/>
  <c r="Q22" i="6"/>
  <c r="N23" i="6"/>
  <c r="U21" i="6"/>
  <c r="N23" i="4"/>
  <c r="R22" i="4"/>
  <c r="Q22" i="4"/>
  <c r="T22" i="4"/>
  <c r="S22" i="4"/>
  <c r="P22" i="4"/>
  <c r="U21" i="2"/>
  <c r="N23" i="1"/>
  <c r="U22" i="1"/>
  <c r="Q22" i="1"/>
  <c r="T22" i="1"/>
  <c r="P22" i="1"/>
  <c r="S22" i="1"/>
  <c r="R22" i="1"/>
  <c r="W22" i="1"/>
  <c r="V22" i="1"/>
  <c r="N23" i="5"/>
  <c r="U22" i="5"/>
  <c r="Q22" i="5"/>
  <c r="T22" i="5"/>
  <c r="S22" i="5"/>
  <c r="R22" i="5"/>
  <c r="P22" i="5"/>
  <c r="W22" i="5"/>
  <c r="V22" i="5"/>
  <c r="N23" i="2"/>
  <c r="R22" i="2"/>
  <c r="Q22" i="2"/>
  <c r="P22" i="2"/>
  <c r="T22" i="2"/>
  <c r="S22" i="2"/>
  <c r="U21" i="4"/>
  <c r="N24" i="1" l="1"/>
  <c r="W23" i="1"/>
  <c r="S23" i="1"/>
  <c r="R23" i="1"/>
  <c r="V23" i="1"/>
  <c r="Q23" i="1"/>
  <c r="P23" i="1"/>
  <c r="T23" i="1"/>
  <c r="U23" i="1"/>
  <c r="X22" i="5"/>
  <c r="S23" i="2"/>
  <c r="P23" i="2"/>
  <c r="T23" i="2"/>
  <c r="N24" i="2"/>
  <c r="R23" i="2"/>
  <c r="Q23" i="2"/>
  <c r="Q23" i="6"/>
  <c r="N24" i="6"/>
  <c r="T23" i="6"/>
  <c r="P23" i="6"/>
  <c r="S23" i="6"/>
  <c r="R23" i="6"/>
  <c r="U22" i="6"/>
  <c r="X22" i="3"/>
  <c r="T23" i="3"/>
  <c r="P23" i="3"/>
  <c r="N24" i="3"/>
  <c r="W23" i="3"/>
  <c r="S23" i="3"/>
  <c r="R23" i="3"/>
  <c r="V23" i="3"/>
  <c r="Q23" i="3"/>
  <c r="U23" i="3"/>
  <c r="X22" i="1"/>
  <c r="S23" i="4"/>
  <c r="R23" i="4"/>
  <c r="T23" i="4"/>
  <c r="Q23" i="4"/>
  <c r="N24" i="4"/>
  <c r="P23" i="4"/>
  <c r="U22" i="2"/>
  <c r="N24" i="5"/>
  <c r="W23" i="5"/>
  <c r="S23" i="5"/>
  <c r="U23" i="5"/>
  <c r="P23" i="5"/>
  <c r="T23" i="5"/>
  <c r="R23" i="5"/>
  <c r="Q23" i="5"/>
  <c r="V23" i="5"/>
  <c r="U22" i="4"/>
  <c r="X23" i="3" l="1"/>
  <c r="R24" i="2"/>
  <c r="N25" i="2"/>
  <c r="Q24" i="2"/>
  <c r="T24" i="2"/>
  <c r="P24" i="2"/>
  <c r="S24" i="2"/>
  <c r="R24" i="4"/>
  <c r="Q24" i="4"/>
  <c r="N25" i="4"/>
  <c r="T24" i="4"/>
  <c r="S24" i="4"/>
  <c r="P24" i="4"/>
  <c r="U23" i="6"/>
  <c r="U23" i="2"/>
  <c r="X23" i="5"/>
  <c r="N25" i="5"/>
  <c r="W24" i="5"/>
  <c r="S24" i="5"/>
  <c r="T24" i="5"/>
  <c r="R24" i="5"/>
  <c r="Q24" i="5"/>
  <c r="P24" i="5"/>
  <c r="V24" i="5"/>
  <c r="U24" i="5"/>
  <c r="T24" i="3"/>
  <c r="P24" i="3"/>
  <c r="N25" i="3"/>
  <c r="W24" i="3"/>
  <c r="S24" i="3"/>
  <c r="V24" i="3"/>
  <c r="U24" i="3"/>
  <c r="R24" i="3"/>
  <c r="Q24" i="3"/>
  <c r="X23" i="1"/>
  <c r="N25" i="6"/>
  <c r="T24" i="6"/>
  <c r="P24" i="6"/>
  <c r="S24" i="6"/>
  <c r="R24" i="6"/>
  <c r="Q24" i="6"/>
  <c r="U23" i="4"/>
  <c r="N25" i="1"/>
  <c r="W24" i="1"/>
  <c r="S24" i="1"/>
  <c r="V24" i="1"/>
  <c r="R24" i="1"/>
  <c r="U24" i="1"/>
  <c r="T24" i="1"/>
  <c r="Q24" i="1"/>
  <c r="P24" i="1"/>
  <c r="S25" i="6" l="1"/>
  <c r="R25" i="6"/>
  <c r="Q25" i="6"/>
  <c r="P25" i="6"/>
  <c r="T25" i="6"/>
  <c r="N26" i="6"/>
  <c r="T25" i="3"/>
  <c r="P25" i="3"/>
  <c r="N26" i="3"/>
  <c r="W25" i="3"/>
  <c r="S25" i="3"/>
  <c r="V25" i="3"/>
  <c r="R25" i="3"/>
  <c r="U25" i="3"/>
  <c r="Q25" i="3"/>
  <c r="X24" i="1"/>
  <c r="N26" i="1"/>
  <c r="W25" i="1"/>
  <c r="S25" i="1"/>
  <c r="R25" i="1"/>
  <c r="V25" i="1"/>
  <c r="Q25" i="1"/>
  <c r="P25" i="1"/>
  <c r="T25" i="1"/>
  <c r="U25" i="1"/>
  <c r="X24" i="3"/>
  <c r="X24" i="5"/>
  <c r="U24" i="6"/>
  <c r="Q25" i="2"/>
  <c r="T25" i="2"/>
  <c r="N26" i="2"/>
  <c r="R25" i="2"/>
  <c r="S25" i="2"/>
  <c r="P25" i="2"/>
  <c r="N26" i="5"/>
  <c r="W25" i="5"/>
  <c r="S25" i="5"/>
  <c r="R25" i="5"/>
  <c r="V25" i="5"/>
  <c r="Q25" i="5"/>
  <c r="U25" i="5"/>
  <c r="T25" i="5"/>
  <c r="P25" i="5"/>
  <c r="Q25" i="4"/>
  <c r="N26" i="4"/>
  <c r="T25" i="4"/>
  <c r="P25" i="4"/>
  <c r="S25" i="4"/>
  <c r="R25" i="4"/>
  <c r="U24" i="2"/>
  <c r="U24" i="4"/>
  <c r="U25" i="6" l="1"/>
  <c r="U25" i="4"/>
  <c r="X25" i="5"/>
  <c r="N27" i="5"/>
  <c r="W26" i="5"/>
  <c r="S26" i="5"/>
  <c r="V26" i="5"/>
  <c r="Q26" i="5"/>
  <c r="U26" i="5"/>
  <c r="P26" i="5"/>
  <c r="T26" i="5"/>
  <c r="R26" i="5"/>
  <c r="N27" i="2"/>
  <c r="T26" i="2"/>
  <c r="P26" i="2"/>
  <c r="R26" i="2"/>
  <c r="Q26" i="2"/>
  <c r="S26" i="2"/>
  <c r="X25" i="1"/>
  <c r="X25" i="3"/>
  <c r="U25" i="2"/>
  <c r="R26" i="6"/>
  <c r="Q26" i="6"/>
  <c r="S26" i="6"/>
  <c r="P26" i="6"/>
  <c r="N27" i="6"/>
  <c r="T26" i="6"/>
  <c r="N27" i="4"/>
  <c r="T26" i="4"/>
  <c r="P26" i="4"/>
  <c r="S26" i="4"/>
  <c r="Q26" i="4"/>
  <c r="R26" i="4"/>
  <c r="N27" i="1"/>
  <c r="W26" i="1"/>
  <c r="S26" i="1"/>
  <c r="V26" i="1"/>
  <c r="Q26" i="1"/>
  <c r="P26" i="1"/>
  <c r="U26" i="1"/>
  <c r="R26" i="1"/>
  <c r="T26" i="1"/>
  <c r="T26" i="3"/>
  <c r="P26" i="3"/>
  <c r="N27" i="3"/>
  <c r="W26" i="3"/>
  <c r="S26" i="3"/>
  <c r="V26" i="3"/>
  <c r="R26" i="3"/>
  <c r="Q26" i="3"/>
  <c r="U26" i="3"/>
  <c r="U26" i="6" l="1"/>
  <c r="N28" i="5"/>
  <c r="W27" i="5"/>
  <c r="S27" i="5"/>
  <c r="U27" i="5"/>
  <c r="P27" i="5"/>
  <c r="T27" i="5"/>
  <c r="V27" i="5"/>
  <c r="R27" i="5"/>
  <c r="Q27" i="5"/>
  <c r="S27" i="2"/>
  <c r="T27" i="2"/>
  <c r="R27" i="2"/>
  <c r="Q27" i="2"/>
  <c r="N28" i="2"/>
  <c r="P27" i="2"/>
  <c r="X26" i="3"/>
  <c r="X26" i="1"/>
  <c r="U26" i="2"/>
  <c r="T27" i="3"/>
  <c r="P27" i="3"/>
  <c r="N28" i="3"/>
  <c r="W27" i="3"/>
  <c r="S27" i="3"/>
  <c r="V27" i="3"/>
  <c r="R27" i="3"/>
  <c r="U27" i="3"/>
  <c r="Q27" i="3"/>
  <c r="S27" i="4"/>
  <c r="R27" i="4"/>
  <c r="N28" i="4"/>
  <c r="P27" i="4"/>
  <c r="T27" i="4"/>
  <c r="Q27" i="4"/>
  <c r="N28" i="1"/>
  <c r="W27" i="1"/>
  <c r="S27" i="1"/>
  <c r="U27" i="1"/>
  <c r="P27" i="1"/>
  <c r="T27" i="1"/>
  <c r="Q27" i="1"/>
  <c r="R27" i="1"/>
  <c r="V27" i="1"/>
  <c r="U26" i="4"/>
  <c r="Q27" i="6"/>
  <c r="N28" i="6"/>
  <c r="T27" i="6"/>
  <c r="P27" i="6"/>
  <c r="S27" i="6"/>
  <c r="R27" i="6"/>
  <c r="X26" i="5"/>
  <c r="X27" i="1" l="1"/>
  <c r="N29" i="1"/>
  <c r="W28" i="1"/>
  <c r="S28" i="1"/>
  <c r="T28" i="1"/>
  <c r="R28" i="1"/>
  <c r="P28" i="1"/>
  <c r="V28" i="1"/>
  <c r="Q28" i="1"/>
  <c r="U28" i="1"/>
  <c r="N29" i="6"/>
  <c r="T28" i="6"/>
  <c r="P28" i="6"/>
  <c r="S28" i="6"/>
  <c r="Q28" i="6"/>
  <c r="R28" i="6"/>
  <c r="T28" i="3"/>
  <c r="P28" i="3"/>
  <c r="N29" i="3"/>
  <c r="W28" i="3"/>
  <c r="S28" i="3"/>
  <c r="V28" i="3"/>
  <c r="R28" i="3"/>
  <c r="U28" i="3"/>
  <c r="Q28" i="3"/>
  <c r="X27" i="5"/>
  <c r="X27" i="3"/>
  <c r="U27" i="6"/>
  <c r="U27" i="4"/>
  <c r="U27" i="2"/>
  <c r="R28" i="4"/>
  <c r="Q28" i="4"/>
  <c r="T28" i="4"/>
  <c r="S28" i="4"/>
  <c r="P28" i="4"/>
  <c r="N29" i="4"/>
  <c r="R28" i="2"/>
  <c r="P28" i="2"/>
  <c r="T28" i="2"/>
  <c r="N29" i="2"/>
  <c r="S28" i="2"/>
  <c r="Q28" i="2"/>
  <c r="N29" i="5"/>
  <c r="W28" i="5"/>
  <c r="S28" i="5"/>
  <c r="T28" i="5"/>
  <c r="R28" i="5"/>
  <c r="Q28" i="5"/>
  <c r="P28" i="5"/>
  <c r="V28" i="5"/>
  <c r="U28" i="5"/>
  <c r="U28" i="6" l="1"/>
  <c r="X28" i="5"/>
  <c r="Q29" i="4"/>
  <c r="T29" i="4"/>
  <c r="P29" i="4"/>
  <c r="N30" i="4"/>
  <c r="S29" i="4"/>
  <c r="R29" i="4"/>
  <c r="W29" i="5"/>
  <c r="S29" i="5"/>
  <c r="R29" i="5"/>
  <c r="V29" i="5"/>
  <c r="Q29" i="5"/>
  <c r="N30" i="5"/>
  <c r="U29" i="5"/>
  <c r="T29" i="5"/>
  <c r="P29" i="5"/>
  <c r="U28" i="4"/>
  <c r="T29" i="3"/>
  <c r="P29" i="3"/>
  <c r="W29" i="3"/>
  <c r="S29" i="3"/>
  <c r="V29" i="3"/>
  <c r="R29" i="3"/>
  <c r="N30" i="3"/>
  <c r="U29" i="3"/>
  <c r="Q29" i="3"/>
  <c r="N30" i="6"/>
  <c r="S29" i="6"/>
  <c r="R29" i="6"/>
  <c r="T29" i="6"/>
  <c r="Q29" i="6"/>
  <c r="P29" i="6"/>
  <c r="X28" i="1"/>
  <c r="Q29" i="2"/>
  <c r="N30" i="2"/>
  <c r="R29" i="2"/>
  <c r="T29" i="2"/>
  <c r="P29" i="2"/>
  <c r="S29" i="2"/>
  <c r="U28" i="2"/>
  <c r="X28" i="3"/>
  <c r="W29" i="1"/>
  <c r="S29" i="1"/>
  <c r="R29" i="1"/>
  <c r="V29" i="1"/>
  <c r="Q29" i="1"/>
  <c r="N30" i="1"/>
  <c r="U29" i="1"/>
  <c r="T29" i="1"/>
  <c r="P29" i="1"/>
  <c r="U29" i="4" l="1"/>
  <c r="Q30" i="4"/>
  <c r="T30" i="4"/>
  <c r="P30" i="4"/>
  <c r="N31" i="4"/>
  <c r="S30" i="4"/>
  <c r="R30" i="4"/>
  <c r="X29" i="5"/>
  <c r="U30" i="5"/>
  <c r="Q30" i="5"/>
  <c r="S30" i="5"/>
  <c r="W30" i="5"/>
  <c r="R30" i="5"/>
  <c r="N31" i="5"/>
  <c r="V30" i="5"/>
  <c r="T30" i="5"/>
  <c r="P30" i="5"/>
  <c r="U29" i="6"/>
  <c r="N31" i="3"/>
  <c r="V30" i="3"/>
  <c r="R30" i="3"/>
  <c r="U30" i="3"/>
  <c r="Q30" i="3"/>
  <c r="T30" i="3"/>
  <c r="P30" i="3"/>
  <c r="S30" i="3"/>
  <c r="W30" i="3"/>
  <c r="U30" i="1"/>
  <c r="Q30" i="1"/>
  <c r="S30" i="1"/>
  <c r="W30" i="1"/>
  <c r="R30" i="1"/>
  <c r="N31" i="1"/>
  <c r="V30" i="1"/>
  <c r="P30" i="1"/>
  <c r="T30" i="1"/>
  <c r="Q30" i="2"/>
  <c r="T30" i="2"/>
  <c r="S30" i="2"/>
  <c r="R30" i="2"/>
  <c r="N31" i="2"/>
  <c r="P30" i="2"/>
  <c r="N31" i="6"/>
  <c r="S30" i="6"/>
  <c r="R30" i="6"/>
  <c r="T30" i="6"/>
  <c r="P30" i="6"/>
  <c r="Q30" i="6"/>
  <c r="X29" i="3"/>
  <c r="X29" i="1"/>
  <c r="U29" i="2"/>
  <c r="U30" i="4" l="1"/>
  <c r="X30" i="3"/>
  <c r="Q31" i="4"/>
  <c r="T31" i="4"/>
  <c r="P31" i="4"/>
  <c r="N32" i="4"/>
  <c r="S31" i="4"/>
  <c r="R31" i="4"/>
  <c r="N32" i="1"/>
  <c r="V31" i="1"/>
  <c r="R31" i="1"/>
  <c r="S31" i="1"/>
  <c r="W31" i="1"/>
  <c r="Q31" i="1"/>
  <c r="P31" i="1"/>
  <c r="U31" i="1"/>
  <c r="T31" i="1"/>
  <c r="U30" i="6"/>
  <c r="N32" i="6"/>
  <c r="S31" i="6"/>
  <c r="R31" i="6"/>
  <c r="P31" i="6"/>
  <c r="Q31" i="6"/>
  <c r="T31" i="6"/>
  <c r="X30" i="1"/>
  <c r="W31" i="3"/>
  <c r="S31" i="3"/>
  <c r="N32" i="3"/>
  <c r="V31" i="3"/>
  <c r="R31" i="3"/>
  <c r="U31" i="3"/>
  <c r="Q31" i="3"/>
  <c r="T31" i="3"/>
  <c r="P31" i="3"/>
  <c r="Q31" i="2"/>
  <c r="S31" i="2"/>
  <c r="R31" i="2"/>
  <c r="P31" i="2"/>
  <c r="N32" i="2"/>
  <c r="T31" i="2"/>
  <c r="X30" i="5"/>
  <c r="U30" i="2"/>
  <c r="W31" i="5"/>
  <c r="S31" i="5"/>
  <c r="N32" i="5"/>
  <c r="V31" i="5"/>
  <c r="R31" i="5"/>
  <c r="T31" i="5"/>
  <c r="Q31" i="5"/>
  <c r="P31" i="5"/>
  <c r="U31" i="5"/>
  <c r="U31" i="4" l="1"/>
  <c r="T32" i="5"/>
  <c r="P32" i="5"/>
  <c r="W32" i="5"/>
  <c r="S32" i="5"/>
  <c r="R32" i="5"/>
  <c r="Q32" i="5"/>
  <c r="V32" i="5"/>
  <c r="U32" i="5"/>
  <c r="N33" i="5"/>
  <c r="X31" i="5"/>
  <c r="U31" i="2"/>
  <c r="X31" i="3"/>
  <c r="U31" i="6"/>
  <c r="Q32" i="4"/>
  <c r="T32" i="4"/>
  <c r="P32" i="4"/>
  <c r="N33" i="4"/>
  <c r="S32" i="4"/>
  <c r="R32" i="4"/>
  <c r="W32" i="1"/>
  <c r="S32" i="1"/>
  <c r="N33" i="1"/>
  <c r="T32" i="1"/>
  <c r="R32" i="1"/>
  <c r="V32" i="1"/>
  <c r="U32" i="1"/>
  <c r="Q32" i="1"/>
  <c r="P32" i="1"/>
  <c r="T32" i="3"/>
  <c r="P32" i="3"/>
  <c r="W32" i="3"/>
  <c r="S32" i="3"/>
  <c r="N33" i="3"/>
  <c r="V32" i="3"/>
  <c r="R32" i="3"/>
  <c r="Q32" i="3"/>
  <c r="U32" i="3"/>
  <c r="Q32" i="2"/>
  <c r="S32" i="2"/>
  <c r="R32" i="2"/>
  <c r="P32" i="2"/>
  <c r="T32" i="2"/>
  <c r="N33" i="2"/>
  <c r="N33" i="6"/>
  <c r="S32" i="6"/>
  <c r="R32" i="6"/>
  <c r="T32" i="6"/>
  <c r="Q32" i="6"/>
  <c r="P32" i="6"/>
  <c r="X31" i="1"/>
  <c r="U32" i="4" l="1"/>
  <c r="S33" i="6"/>
  <c r="N34" i="6"/>
  <c r="R33" i="6"/>
  <c r="P33" i="6"/>
  <c r="T33" i="6"/>
  <c r="Q33" i="6"/>
  <c r="X32" i="1"/>
  <c r="Q33" i="2"/>
  <c r="S33" i="2"/>
  <c r="R33" i="2"/>
  <c r="P33" i="2"/>
  <c r="N34" i="2"/>
  <c r="T33" i="2"/>
  <c r="X32" i="3"/>
  <c r="N34" i="1"/>
  <c r="T33" i="1"/>
  <c r="P33" i="1"/>
  <c r="U33" i="1"/>
  <c r="S33" i="1"/>
  <c r="V33" i="1"/>
  <c r="R33" i="1"/>
  <c r="Q33" i="1"/>
  <c r="W33" i="1"/>
  <c r="X32" i="5"/>
  <c r="U32" i="6"/>
  <c r="U32" i="2"/>
  <c r="U33" i="3"/>
  <c r="Q33" i="3"/>
  <c r="N34" i="3"/>
  <c r="T33" i="3"/>
  <c r="P33" i="3"/>
  <c r="W33" i="3"/>
  <c r="S33" i="3"/>
  <c r="V33" i="3"/>
  <c r="R33" i="3"/>
  <c r="Q33" i="4"/>
  <c r="T33" i="4"/>
  <c r="P33" i="4"/>
  <c r="S33" i="4"/>
  <c r="N34" i="4"/>
  <c r="R33" i="4"/>
  <c r="U33" i="5"/>
  <c r="Q33" i="5"/>
  <c r="N34" i="5"/>
  <c r="T33" i="5"/>
  <c r="P33" i="5"/>
  <c r="V33" i="5"/>
  <c r="S33" i="5"/>
  <c r="W33" i="5"/>
  <c r="R33" i="5"/>
  <c r="X33" i="3" l="1"/>
  <c r="X33" i="5"/>
  <c r="U33" i="4"/>
  <c r="T34" i="5"/>
  <c r="P34" i="5"/>
  <c r="W34" i="5"/>
  <c r="S34" i="5"/>
  <c r="N35" i="5"/>
  <c r="U34" i="5"/>
  <c r="R34" i="5"/>
  <c r="Q34" i="5"/>
  <c r="V34" i="5"/>
  <c r="R34" i="4"/>
  <c r="N35" i="4"/>
  <c r="Q34" i="4"/>
  <c r="T34" i="4"/>
  <c r="P34" i="4"/>
  <c r="S34" i="4"/>
  <c r="R34" i="2"/>
  <c r="N35" i="2"/>
  <c r="S34" i="2"/>
  <c r="P34" i="2"/>
  <c r="Q34" i="2"/>
  <c r="T34" i="2"/>
  <c r="U33" i="6"/>
  <c r="W34" i="1"/>
  <c r="S34" i="1"/>
  <c r="N35" i="1"/>
  <c r="T34" i="1"/>
  <c r="R34" i="1"/>
  <c r="U34" i="1"/>
  <c r="P34" i="1"/>
  <c r="Q34" i="1"/>
  <c r="V34" i="1"/>
  <c r="U33" i="2"/>
  <c r="T34" i="6"/>
  <c r="P34" i="6"/>
  <c r="S34" i="6"/>
  <c r="N35" i="6"/>
  <c r="Q34" i="6"/>
  <c r="R34" i="6"/>
  <c r="T34" i="3"/>
  <c r="P34" i="3"/>
  <c r="W34" i="3"/>
  <c r="S34" i="3"/>
  <c r="V34" i="3"/>
  <c r="R34" i="3"/>
  <c r="U34" i="3"/>
  <c r="N35" i="3"/>
  <c r="Q34" i="3"/>
  <c r="X33" i="1"/>
  <c r="X34" i="1" l="1"/>
  <c r="U35" i="1"/>
  <c r="Q35" i="1"/>
  <c r="T35" i="1"/>
  <c r="N36" i="1"/>
  <c r="S35" i="1"/>
  <c r="V35" i="1"/>
  <c r="P35" i="1"/>
  <c r="R35" i="1"/>
  <c r="W35" i="1"/>
  <c r="R35" i="6"/>
  <c r="Q35" i="6"/>
  <c r="N36" i="6"/>
  <c r="S35" i="6"/>
  <c r="P35" i="6"/>
  <c r="T35" i="6"/>
  <c r="N36" i="2"/>
  <c r="T35" i="2"/>
  <c r="P35" i="2"/>
  <c r="R35" i="2"/>
  <c r="S35" i="2"/>
  <c r="Q35" i="2"/>
  <c r="V35" i="5"/>
  <c r="R35" i="5"/>
  <c r="U35" i="5"/>
  <c r="Q35" i="5"/>
  <c r="W35" i="5"/>
  <c r="T35" i="5"/>
  <c r="N36" i="5"/>
  <c r="S35" i="5"/>
  <c r="P35" i="5"/>
  <c r="X34" i="3"/>
  <c r="U34" i="2"/>
  <c r="N36" i="4"/>
  <c r="T35" i="4"/>
  <c r="P35" i="4"/>
  <c r="S35" i="4"/>
  <c r="R35" i="4"/>
  <c r="Q35" i="4"/>
  <c r="V35" i="3"/>
  <c r="R35" i="3"/>
  <c r="U35" i="3"/>
  <c r="Q35" i="3"/>
  <c r="N36" i="3"/>
  <c r="T35" i="3"/>
  <c r="P35" i="3"/>
  <c r="W35" i="3"/>
  <c r="S35" i="3"/>
  <c r="U34" i="6"/>
  <c r="U34" i="4"/>
  <c r="X34" i="5"/>
  <c r="Q36" i="6" l="1"/>
  <c r="N37" i="6"/>
  <c r="T36" i="6"/>
  <c r="P36" i="6"/>
  <c r="S36" i="6"/>
  <c r="R36" i="6"/>
  <c r="U35" i="4"/>
  <c r="X35" i="1"/>
  <c r="N37" i="1"/>
  <c r="T36" i="1"/>
  <c r="P36" i="1"/>
  <c r="V36" i="1"/>
  <c r="Q36" i="1"/>
  <c r="U36" i="1"/>
  <c r="R36" i="1"/>
  <c r="W36" i="1"/>
  <c r="S36" i="1"/>
  <c r="X35" i="5"/>
  <c r="U35" i="2"/>
  <c r="U35" i="6"/>
  <c r="U36" i="5"/>
  <c r="Q36" i="5"/>
  <c r="N37" i="5"/>
  <c r="T36" i="5"/>
  <c r="P36" i="5"/>
  <c r="V36" i="5"/>
  <c r="S36" i="5"/>
  <c r="W36" i="5"/>
  <c r="R36" i="5"/>
  <c r="S36" i="2"/>
  <c r="Q36" i="2"/>
  <c r="P36" i="2"/>
  <c r="T36" i="2"/>
  <c r="N37" i="2"/>
  <c r="R36" i="2"/>
  <c r="U36" i="3"/>
  <c r="Q36" i="3"/>
  <c r="N37" i="3"/>
  <c r="T36" i="3"/>
  <c r="P36" i="3"/>
  <c r="W36" i="3"/>
  <c r="S36" i="3"/>
  <c r="R36" i="3"/>
  <c r="V36" i="3"/>
  <c r="X35" i="3"/>
  <c r="S36" i="4"/>
  <c r="R36" i="4"/>
  <c r="Q36" i="4"/>
  <c r="T36" i="4"/>
  <c r="P36" i="4"/>
  <c r="N37" i="4"/>
  <c r="U36" i="2" l="1"/>
  <c r="U36" i="6"/>
  <c r="X36" i="3"/>
  <c r="R37" i="4"/>
  <c r="Q37" i="4"/>
  <c r="N38" i="4"/>
  <c r="T37" i="4"/>
  <c r="P37" i="4"/>
  <c r="S37" i="4"/>
  <c r="N38" i="5"/>
  <c r="T37" i="5"/>
  <c r="P37" i="5"/>
  <c r="W37" i="5"/>
  <c r="S37" i="5"/>
  <c r="V37" i="5"/>
  <c r="U37" i="5"/>
  <c r="R37" i="5"/>
  <c r="Q37" i="5"/>
  <c r="X36" i="1"/>
  <c r="U36" i="4"/>
  <c r="N38" i="3"/>
  <c r="T37" i="3"/>
  <c r="P37" i="3"/>
  <c r="W37" i="3"/>
  <c r="S37" i="3"/>
  <c r="V37" i="3"/>
  <c r="R37" i="3"/>
  <c r="U37" i="3"/>
  <c r="Q37" i="3"/>
  <c r="R37" i="2"/>
  <c r="S37" i="2"/>
  <c r="P37" i="2"/>
  <c r="Q37" i="2"/>
  <c r="T37" i="2"/>
  <c r="N38" i="2"/>
  <c r="N38" i="6"/>
  <c r="T37" i="6"/>
  <c r="P37" i="6"/>
  <c r="S37" i="6"/>
  <c r="R37" i="6"/>
  <c r="Q37" i="6"/>
  <c r="X36" i="5"/>
  <c r="W37" i="1"/>
  <c r="S37" i="1"/>
  <c r="T37" i="1"/>
  <c r="N38" i="1"/>
  <c r="R37" i="1"/>
  <c r="Q37" i="1"/>
  <c r="P37" i="1"/>
  <c r="V37" i="1"/>
  <c r="U37" i="1"/>
  <c r="U37" i="6" l="1"/>
  <c r="N39" i="4"/>
  <c r="Q38" i="4"/>
  <c r="T38" i="4"/>
  <c r="P38" i="4"/>
  <c r="S38" i="4"/>
  <c r="R38" i="4"/>
  <c r="S38" i="6"/>
  <c r="R38" i="6"/>
  <c r="T38" i="6"/>
  <c r="N39" i="6"/>
  <c r="Q38" i="6"/>
  <c r="P38" i="6"/>
  <c r="U37" i="2"/>
  <c r="X37" i="5"/>
  <c r="U37" i="4"/>
  <c r="V38" i="1"/>
  <c r="R38" i="1"/>
  <c r="U38" i="1"/>
  <c r="P38" i="1"/>
  <c r="T38" i="1"/>
  <c r="W38" i="1"/>
  <c r="S38" i="1"/>
  <c r="N39" i="1"/>
  <c r="Q38" i="1"/>
  <c r="W38" i="5"/>
  <c r="S38" i="5"/>
  <c r="V38" i="5"/>
  <c r="R38" i="5"/>
  <c r="P38" i="5"/>
  <c r="N39" i="5"/>
  <c r="U38" i="5"/>
  <c r="T38" i="5"/>
  <c r="Q38" i="5"/>
  <c r="X37" i="1"/>
  <c r="W38" i="3"/>
  <c r="S38" i="3"/>
  <c r="V38" i="3"/>
  <c r="R38" i="3"/>
  <c r="N39" i="3"/>
  <c r="U38" i="3"/>
  <c r="Q38" i="3"/>
  <c r="T38" i="3"/>
  <c r="P38" i="3"/>
  <c r="N39" i="2"/>
  <c r="Q38" i="2"/>
  <c r="S38" i="2"/>
  <c r="P38" i="2"/>
  <c r="R38" i="2"/>
  <c r="T38" i="2"/>
  <c r="X37" i="3"/>
  <c r="U38" i="4" l="1"/>
  <c r="U38" i="6"/>
  <c r="X38" i="1"/>
  <c r="X38" i="3"/>
  <c r="N40" i="5"/>
  <c r="U39" i="5"/>
  <c r="Q39" i="5"/>
  <c r="T39" i="5"/>
  <c r="P39" i="5"/>
  <c r="R39" i="5"/>
  <c r="W39" i="5"/>
  <c r="V39" i="5"/>
  <c r="S39" i="5"/>
  <c r="Q39" i="6"/>
  <c r="T39" i="6"/>
  <c r="P39" i="6"/>
  <c r="S39" i="6"/>
  <c r="N40" i="6"/>
  <c r="R39" i="6"/>
  <c r="S39" i="2"/>
  <c r="T39" i="2"/>
  <c r="Q39" i="2"/>
  <c r="R39" i="2"/>
  <c r="P39" i="2"/>
  <c r="N40" i="2"/>
  <c r="U38" i="2"/>
  <c r="N40" i="3"/>
  <c r="U39" i="3"/>
  <c r="Q39" i="3"/>
  <c r="T39" i="3"/>
  <c r="P39" i="3"/>
  <c r="W39" i="3"/>
  <c r="S39" i="3"/>
  <c r="V39" i="3"/>
  <c r="R39" i="3"/>
  <c r="T39" i="1"/>
  <c r="P39" i="1"/>
  <c r="W39" i="1"/>
  <c r="R39" i="1"/>
  <c r="N40" i="1"/>
  <c r="V39" i="1"/>
  <c r="Q39" i="1"/>
  <c r="S39" i="1"/>
  <c r="U39" i="1"/>
  <c r="X38" i="5"/>
  <c r="S39" i="4"/>
  <c r="N40" i="4"/>
  <c r="R39" i="4"/>
  <c r="Q39" i="4"/>
  <c r="T39" i="4"/>
  <c r="P39" i="4"/>
  <c r="R40" i="6" l="1"/>
  <c r="N41" i="6"/>
  <c r="Q40" i="6"/>
  <c r="P40" i="6"/>
  <c r="T40" i="6"/>
  <c r="S40" i="6"/>
  <c r="X39" i="1"/>
  <c r="T40" i="2"/>
  <c r="P40" i="2"/>
  <c r="S40" i="2"/>
  <c r="Q40" i="2"/>
  <c r="R40" i="2"/>
  <c r="N41" i="2"/>
  <c r="X39" i="5"/>
  <c r="V40" i="1"/>
  <c r="R40" i="1"/>
  <c r="U40" i="1"/>
  <c r="P40" i="1"/>
  <c r="T40" i="1"/>
  <c r="S40" i="1"/>
  <c r="Q40" i="1"/>
  <c r="N41" i="1"/>
  <c r="W40" i="1"/>
  <c r="U39" i="2"/>
  <c r="U39" i="6"/>
  <c r="W40" i="5"/>
  <c r="S40" i="5"/>
  <c r="V40" i="5"/>
  <c r="R40" i="5"/>
  <c r="N41" i="5"/>
  <c r="P40" i="5"/>
  <c r="U40" i="5"/>
  <c r="T40" i="5"/>
  <c r="Q40" i="5"/>
  <c r="U39" i="4"/>
  <c r="T40" i="4"/>
  <c r="P40" i="4"/>
  <c r="S40" i="4"/>
  <c r="R40" i="4"/>
  <c r="N41" i="4"/>
  <c r="Q40" i="4"/>
  <c r="X39" i="3"/>
  <c r="W40" i="3"/>
  <c r="S40" i="3"/>
  <c r="V40" i="3"/>
  <c r="R40" i="3"/>
  <c r="N41" i="3"/>
  <c r="U40" i="3"/>
  <c r="Q40" i="3"/>
  <c r="T40" i="3"/>
  <c r="P40" i="3"/>
  <c r="U40" i="6" l="1"/>
  <c r="R41" i="4"/>
  <c r="N42" i="4"/>
  <c r="Q41" i="4"/>
  <c r="T41" i="4"/>
  <c r="P41" i="4"/>
  <c r="S41" i="4"/>
  <c r="X40" i="5"/>
  <c r="U41" i="3"/>
  <c r="Q41" i="3"/>
  <c r="N42" i="3"/>
  <c r="T41" i="3"/>
  <c r="P41" i="3"/>
  <c r="W41" i="3"/>
  <c r="S41" i="3"/>
  <c r="V41" i="3"/>
  <c r="R41" i="3"/>
  <c r="U41" i="5"/>
  <c r="Q41" i="5"/>
  <c r="N42" i="5"/>
  <c r="T41" i="5"/>
  <c r="P41" i="5"/>
  <c r="W41" i="5"/>
  <c r="V41" i="5"/>
  <c r="S41" i="5"/>
  <c r="R41" i="5"/>
  <c r="N42" i="1"/>
  <c r="T41" i="1"/>
  <c r="P41" i="1"/>
  <c r="W41" i="1"/>
  <c r="R41" i="1"/>
  <c r="V41" i="1"/>
  <c r="Q41" i="1"/>
  <c r="U41" i="1"/>
  <c r="S41" i="1"/>
  <c r="X40" i="1"/>
  <c r="T41" i="6"/>
  <c r="P41" i="6"/>
  <c r="S41" i="6"/>
  <c r="N42" i="6"/>
  <c r="R41" i="6"/>
  <c r="Q41" i="6"/>
  <c r="X40" i="3"/>
  <c r="U40" i="4"/>
  <c r="R41" i="2"/>
  <c r="N42" i="2"/>
  <c r="S41" i="2"/>
  <c r="Q41" i="2"/>
  <c r="P41" i="2"/>
  <c r="T41" i="2"/>
  <c r="U40" i="2"/>
  <c r="U41" i="2" l="1"/>
  <c r="X41" i="1"/>
  <c r="X41" i="3"/>
  <c r="N43" i="5"/>
  <c r="T42" i="5"/>
  <c r="P42" i="5"/>
  <c r="W42" i="5"/>
  <c r="S42" i="5"/>
  <c r="V42" i="5"/>
  <c r="U42" i="5"/>
  <c r="R42" i="5"/>
  <c r="Q42" i="5"/>
  <c r="R42" i="6"/>
  <c r="N43" i="6"/>
  <c r="Q42" i="6"/>
  <c r="T42" i="6"/>
  <c r="S42" i="6"/>
  <c r="P42" i="6"/>
  <c r="W42" i="1"/>
  <c r="S42" i="1"/>
  <c r="V42" i="1"/>
  <c r="Q42" i="1"/>
  <c r="P42" i="1"/>
  <c r="U42" i="1"/>
  <c r="N43" i="1"/>
  <c r="R42" i="1"/>
  <c r="T42" i="1"/>
  <c r="N43" i="3"/>
  <c r="W42" i="3"/>
  <c r="T42" i="3"/>
  <c r="P42" i="3"/>
  <c r="S42" i="3"/>
  <c r="V42" i="3"/>
  <c r="R42" i="3"/>
  <c r="U42" i="3"/>
  <c r="Q42" i="3"/>
  <c r="T42" i="4"/>
  <c r="P42" i="4"/>
  <c r="S42" i="4"/>
  <c r="R42" i="4"/>
  <c r="N43" i="4"/>
  <c r="Q42" i="4"/>
  <c r="T42" i="2"/>
  <c r="P42" i="2"/>
  <c r="N43" i="2"/>
  <c r="R42" i="2"/>
  <c r="S42" i="2"/>
  <c r="Q42" i="2"/>
  <c r="U41" i="6"/>
  <c r="X41" i="5"/>
  <c r="U41" i="4"/>
  <c r="X42" i="1" l="1"/>
  <c r="R43" i="2"/>
  <c r="T43" i="2"/>
  <c r="N44" i="2"/>
  <c r="S43" i="2"/>
  <c r="Q43" i="2"/>
  <c r="P43" i="2"/>
  <c r="R43" i="4"/>
  <c r="N44" i="4"/>
  <c r="S43" i="4"/>
  <c r="Q43" i="4"/>
  <c r="P43" i="4"/>
  <c r="T43" i="4"/>
  <c r="V43" i="1"/>
  <c r="R43" i="1"/>
  <c r="S43" i="1"/>
  <c r="W43" i="1"/>
  <c r="Q43" i="1"/>
  <c r="T43" i="1"/>
  <c r="P43" i="1"/>
  <c r="U43" i="1"/>
  <c r="N44" i="1"/>
  <c r="X42" i="3"/>
  <c r="U42" i="4"/>
  <c r="U42" i="6"/>
  <c r="U42" i="2"/>
  <c r="N44" i="3"/>
  <c r="W43" i="3"/>
  <c r="S43" i="3"/>
  <c r="V43" i="3"/>
  <c r="R43" i="3"/>
  <c r="U43" i="3"/>
  <c r="T43" i="3"/>
  <c r="Q43" i="3"/>
  <c r="P43" i="3"/>
  <c r="N44" i="5"/>
  <c r="W43" i="5"/>
  <c r="S43" i="5"/>
  <c r="V43" i="5"/>
  <c r="R43" i="5"/>
  <c r="Q43" i="5"/>
  <c r="P43" i="5"/>
  <c r="U43" i="5"/>
  <c r="T43" i="5"/>
  <c r="N44" i="6"/>
  <c r="T43" i="6"/>
  <c r="P43" i="6"/>
  <c r="S43" i="6"/>
  <c r="Q43" i="6"/>
  <c r="R43" i="6"/>
  <c r="X42" i="5"/>
  <c r="X43" i="1" l="1"/>
  <c r="U43" i="4"/>
  <c r="Q44" i="2"/>
  <c r="N45" i="2"/>
  <c r="P44" i="2"/>
  <c r="T44" i="2"/>
  <c r="S44" i="2"/>
  <c r="R44" i="2"/>
  <c r="S44" i="6"/>
  <c r="N45" i="6"/>
  <c r="R44" i="6"/>
  <c r="P44" i="6"/>
  <c r="Q44" i="6"/>
  <c r="T44" i="6"/>
  <c r="N45" i="5"/>
  <c r="W44" i="5"/>
  <c r="S44" i="5"/>
  <c r="V44" i="5"/>
  <c r="R44" i="5"/>
  <c r="U44" i="5"/>
  <c r="T44" i="5"/>
  <c r="P44" i="5"/>
  <c r="Q44" i="5"/>
  <c r="U43" i="6"/>
  <c r="X43" i="3"/>
  <c r="W44" i="3"/>
  <c r="S44" i="3"/>
  <c r="V44" i="3"/>
  <c r="R44" i="3"/>
  <c r="N45" i="3"/>
  <c r="Q44" i="3"/>
  <c r="P44" i="3"/>
  <c r="U44" i="3"/>
  <c r="T44" i="3"/>
  <c r="U43" i="2"/>
  <c r="Q44" i="4"/>
  <c r="T44" i="4"/>
  <c r="S44" i="4"/>
  <c r="R44" i="4"/>
  <c r="N45" i="4"/>
  <c r="P44" i="4"/>
  <c r="X43" i="5"/>
  <c r="V44" i="1"/>
  <c r="R44" i="1"/>
  <c r="W44" i="1"/>
  <c r="Q44" i="1"/>
  <c r="U44" i="1"/>
  <c r="P44" i="1"/>
  <c r="T44" i="1"/>
  <c r="S44" i="1"/>
  <c r="N45" i="1"/>
  <c r="X44" i="1" l="1"/>
  <c r="X44" i="3"/>
  <c r="U44" i="6"/>
  <c r="W45" i="5"/>
  <c r="S45" i="5"/>
  <c r="N46" i="5"/>
  <c r="R45" i="5"/>
  <c r="V45" i="5"/>
  <c r="Q45" i="5"/>
  <c r="U45" i="5"/>
  <c r="T45" i="5"/>
  <c r="P45" i="5"/>
  <c r="R45" i="2"/>
  <c r="N46" i="2"/>
  <c r="T45" i="2"/>
  <c r="Q45" i="2"/>
  <c r="S45" i="2"/>
  <c r="P45" i="2"/>
  <c r="U45" i="3"/>
  <c r="Q45" i="3"/>
  <c r="N46" i="3"/>
  <c r="T45" i="3"/>
  <c r="P45" i="3"/>
  <c r="W45" i="3"/>
  <c r="V45" i="3"/>
  <c r="S45" i="3"/>
  <c r="R45" i="3"/>
  <c r="X44" i="5"/>
  <c r="T45" i="6"/>
  <c r="P45" i="6"/>
  <c r="S45" i="6"/>
  <c r="Q45" i="6"/>
  <c r="N46" i="6"/>
  <c r="R45" i="6"/>
  <c r="R45" i="4"/>
  <c r="S45" i="4"/>
  <c r="Q45" i="4"/>
  <c r="P45" i="4"/>
  <c r="N46" i="4"/>
  <c r="T45" i="4"/>
  <c r="N46" i="1"/>
  <c r="T45" i="1"/>
  <c r="P45" i="1"/>
  <c r="W45" i="1"/>
  <c r="R45" i="1"/>
  <c r="V45" i="1"/>
  <c r="Q45" i="1"/>
  <c r="U45" i="1"/>
  <c r="S45" i="1"/>
  <c r="U44" i="4"/>
  <c r="U44" i="2"/>
  <c r="X45" i="1" l="1"/>
  <c r="X45" i="3"/>
  <c r="U45" i="2"/>
  <c r="T46" i="2"/>
  <c r="P46" i="2"/>
  <c r="R46" i="2"/>
  <c r="N47" i="2"/>
  <c r="S46" i="2"/>
  <c r="Q46" i="2"/>
  <c r="V46" i="5"/>
  <c r="R46" i="5"/>
  <c r="T46" i="5"/>
  <c r="S46" i="5"/>
  <c r="Q46" i="5"/>
  <c r="N47" i="5"/>
  <c r="P46" i="5"/>
  <c r="W46" i="5"/>
  <c r="U46" i="5"/>
  <c r="T46" i="4"/>
  <c r="P46" i="4"/>
  <c r="N47" i="4"/>
  <c r="S46" i="4"/>
  <c r="R46" i="4"/>
  <c r="Q46" i="4"/>
  <c r="U45" i="6"/>
  <c r="W46" i="1"/>
  <c r="S46" i="1"/>
  <c r="U46" i="1"/>
  <c r="P46" i="1"/>
  <c r="T46" i="1"/>
  <c r="N47" i="1"/>
  <c r="Q46" i="1"/>
  <c r="R46" i="1"/>
  <c r="V46" i="1"/>
  <c r="R46" i="6"/>
  <c r="N47" i="6"/>
  <c r="Q46" i="6"/>
  <c r="T46" i="6"/>
  <c r="S46" i="6"/>
  <c r="P46" i="6"/>
  <c r="N47" i="3"/>
  <c r="T46" i="3"/>
  <c r="P46" i="3"/>
  <c r="W46" i="3"/>
  <c r="S46" i="3"/>
  <c r="Q46" i="3"/>
  <c r="V46" i="3"/>
  <c r="U46" i="3"/>
  <c r="R46" i="3"/>
  <c r="U45" i="4"/>
  <c r="X45" i="5"/>
  <c r="R47" i="4" l="1"/>
  <c r="T47" i="4"/>
  <c r="N48" i="4"/>
  <c r="S47" i="4"/>
  <c r="Q47" i="4"/>
  <c r="P47" i="4"/>
  <c r="U46" i="2"/>
  <c r="W47" i="3"/>
  <c r="S47" i="3"/>
  <c r="V47" i="3"/>
  <c r="R47" i="3"/>
  <c r="N48" i="3"/>
  <c r="T47" i="3"/>
  <c r="Q47" i="3"/>
  <c r="P47" i="3"/>
  <c r="U47" i="3"/>
  <c r="U46" i="6"/>
  <c r="T47" i="6"/>
  <c r="P47" i="6"/>
  <c r="S47" i="6"/>
  <c r="N48" i="6"/>
  <c r="R47" i="6"/>
  <c r="Q47" i="6"/>
  <c r="U46" i="4"/>
  <c r="X46" i="5"/>
  <c r="X46" i="1"/>
  <c r="X46" i="3"/>
  <c r="V47" i="1"/>
  <c r="R47" i="1"/>
  <c r="N48" i="1"/>
  <c r="W47" i="1"/>
  <c r="Q47" i="1"/>
  <c r="U47" i="1"/>
  <c r="P47" i="1"/>
  <c r="S47" i="1"/>
  <c r="T47" i="1"/>
  <c r="U47" i="5"/>
  <c r="Q47" i="5"/>
  <c r="N48" i="5"/>
  <c r="W47" i="5"/>
  <c r="R47" i="5"/>
  <c r="V47" i="5"/>
  <c r="P47" i="5"/>
  <c r="S47" i="5"/>
  <c r="T47" i="5"/>
  <c r="R47" i="2"/>
  <c r="P47" i="2"/>
  <c r="N48" i="2"/>
  <c r="T47" i="2"/>
  <c r="S47" i="2"/>
  <c r="Q47" i="2"/>
  <c r="X47" i="5" l="1"/>
  <c r="T48" i="5"/>
  <c r="T49" i="5" s="1"/>
  <c r="P48" i="5"/>
  <c r="W48" i="5"/>
  <c r="W49" i="5" s="1"/>
  <c r="P59" i="5" s="1"/>
  <c r="R59" i="5" s="1"/>
  <c r="S48" i="5"/>
  <c r="S49" i="5" s="1"/>
  <c r="V48" i="5"/>
  <c r="V49" i="5" s="1"/>
  <c r="U48" i="5"/>
  <c r="U49" i="5" s="1"/>
  <c r="R48" i="5"/>
  <c r="R49" i="5" s="1"/>
  <c r="Q48" i="5"/>
  <c r="Q49" i="5" s="1"/>
  <c r="U47" i="6"/>
  <c r="X47" i="3"/>
  <c r="T48" i="4"/>
  <c r="T49" i="4" s="1"/>
  <c r="P58" i="4" s="1"/>
  <c r="R58" i="4" s="1"/>
  <c r="P48" i="4"/>
  <c r="Q48" i="4"/>
  <c r="Q49" i="4" s="1"/>
  <c r="P56" i="4" s="1"/>
  <c r="R56" i="4" s="1"/>
  <c r="S48" i="4"/>
  <c r="S49" i="4" s="1"/>
  <c r="R48" i="4"/>
  <c r="R49" i="4" s="1"/>
  <c r="T48" i="2"/>
  <c r="T49" i="2" s="1"/>
  <c r="P58" i="2" s="1"/>
  <c r="R58" i="2" s="1"/>
  <c r="P48" i="2"/>
  <c r="R48" i="2"/>
  <c r="R49" i="2" s="1"/>
  <c r="Q48" i="2"/>
  <c r="Q49" i="2" s="1"/>
  <c r="P56" i="2" s="1"/>
  <c r="R56" i="2" s="1"/>
  <c r="S48" i="2"/>
  <c r="S49" i="2" s="1"/>
  <c r="V48" i="3"/>
  <c r="V49" i="3" s="1"/>
  <c r="R48" i="3"/>
  <c r="R49" i="3" s="1"/>
  <c r="U48" i="3"/>
  <c r="U49" i="3" s="1"/>
  <c r="Q48" i="3"/>
  <c r="Q49" i="3" s="1"/>
  <c r="W48" i="3"/>
  <c r="W49" i="3" s="1"/>
  <c r="P59" i="3" s="1"/>
  <c r="R59" i="3" s="1"/>
  <c r="T48" i="3"/>
  <c r="T49" i="3" s="1"/>
  <c r="S48" i="3"/>
  <c r="S49" i="3" s="1"/>
  <c r="P48" i="3"/>
  <c r="U47" i="2"/>
  <c r="X47" i="1"/>
  <c r="U48" i="1"/>
  <c r="U49" i="1" s="1"/>
  <c r="Q48" i="1"/>
  <c r="Q49" i="1" s="1"/>
  <c r="T48" i="1"/>
  <c r="T49" i="1" s="1"/>
  <c r="S48" i="1"/>
  <c r="S49" i="1" s="1"/>
  <c r="P48" i="1"/>
  <c r="W48" i="1"/>
  <c r="W49" i="1" s="1"/>
  <c r="P60" i="1" s="1"/>
  <c r="R60" i="1" s="1"/>
  <c r="R48" i="1"/>
  <c r="R49" i="1" s="1"/>
  <c r="V48" i="1"/>
  <c r="V49" i="1" s="1"/>
  <c r="U47" i="4"/>
  <c r="R48" i="6"/>
  <c r="R49" i="6" s="1"/>
  <c r="Q48" i="6"/>
  <c r="Q49" i="6" s="1"/>
  <c r="P56" i="6" s="1"/>
  <c r="R56" i="6" s="1"/>
  <c r="T48" i="6"/>
  <c r="T49" i="6" s="1"/>
  <c r="P58" i="6" s="1"/>
  <c r="R58" i="6" s="1"/>
  <c r="S48" i="6"/>
  <c r="S49" i="6" s="1"/>
  <c r="P48" i="6"/>
  <c r="P58" i="3" l="1"/>
  <c r="R58" i="3" s="1"/>
  <c r="P57" i="3"/>
  <c r="R57" i="3" s="1"/>
  <c r="P59" i="1"/>
  <c r="R59" i="1" s="1"/>
  <c r="P56" i="3"/>
  <c r="R56" i="3" s="1"/>
  <c r="P57" i="4"/>
  <c r="R57" i="4" s="1"/>
  <c r="R50" i="4"/>
  <c r="P58" i="1"/>
  <c r="R58" i="1" s="1"/>
  <c r="R50" i="3"/>
  <c r="R50" i="2"/>
  <c r="P57" i="2"/>
  <c r="R57" i="2" s="1"/>
  <c r="P58" i="5"/>
  <c r="R58" i="5" s="1"/>
  <c r="X48" i="5"/>
  <c r="X49" i="5" s="1"/>
  <c r="P49" i="5"/>
  <c r="P55" i="5" s="1"/>
  <c r="X48" i="1"/>
  <c r="X49" i="1" s="1"/>
  <c r="P49" i="1"/>
  <c r="P56" i="1" s="1"/>
  <c r="U48" i="2"/>
  <c r="U49" i="2" s="1"/>
  <c r="AB53" i="2" s="1"/>
  <c r="P49" i="2"/>
  <c r="P55" i="2" s="1"/>
  <c r="U48" i="6"/>
  <c r="U49" i="6" s="1"/>
  <c r="AB53" i="6" s="1"/>
  <c r="P49" i="6"/>
  <c r="P55" i="6" s="1"/>
  <c r="P57" i="6"/>
  <c r="R57" i="6" s="1"/>
  <c r="R50" i="6"/>
  <c r="P57" i="1"/>
  <c r="R57" i="1" s="1"/>
  <c r="X48" i="3"/>
  <c r="X49" i="3" s="1"/>
  <c r="P49" i="3"/>
  <c r="P55" i="3" s="1"/>
  <c r="U48" i="4"/>
  <c r="U49" i="4" s="1"/>
  <c r="AB53" i="4" s="1"/>
  <c r="P49" i="4"/>
  <c r="P55" i="4" s="1"/>
  <c r="P56" i="5"/>
  <c r="R56" i="5" s="1"/>
  <c r="P57" i="5"/>
  <c r="R57" i="5" s="1"/>
  <c r="AI53" i="5" l="1"/>
  <c r="AD68" i="5"/>
  <c r="AI53" i="3"/>
  <c r="AD68" i="3"/>
  <c r="AI53" i="1"/>
  <c r="AD68" i="1"/>
  <c r="AD53" i="3"/>
  <c r="AI38" i="3"/>
  <c r="AD38" i="3"/>
  <c r="AI23" i="3"/>
  <c r="B2" i="3"/>
  <c r="B3" i="3" s="1"/>
  <c r="AD23" i="3"/>
  <c r="R55" i="3"/>
  <c r="R60" i="3" s="1"/>
  <c r="P60" i="3"/>
  <c r="AG23" i="2"/>
  <c r="B2" i="2"/>
  <c r="B3" i="2" s="1"/>
  <c r="AG38" i="2"/>
  <c r="AB38" i="2"/>
  <c r="AB23" i="2"/>
  <c r="AD53" i="5"/>
  <c r="AI38" i="5"/>
  <c r="AI23" i="5"/>
  <c r="AD23" i="5"/>
  <c r="AD38" i="5"/>
  <c r="B2" i="5"/>
  <c r="B3" i="5" s="1"/>
  <c r="P60" i="6"/>
  <c r="R55" i="6"/>
  <c r="R60" i="6" s="1"/>
  <c r="R56" i="1"/>
  <c r="R61" i="1" s="1"/>
  <c r="P61" i="1"/>
  <c r="AG38" i="6"/>
  <c r="AB38" i="6"/>
  <c r="B2" i="6"/>
  <c r="B3" i="6" s="1"/>
  <c r="AG23" i="6"/>
  <c r="AB23" i="6"/>
  <c r="AD53" i="1"/>
  <c r="AI38" i="1"/>
  <c r="AD38" i="1"/>
  <c r="AI23" i="1"/>
  <c r="B2" i="1"/>
  <c r="B3" i="1" s="1"/>
  <c r="AD23" i="1"/>
  <c r="P60" i="4"/>
  <c r="R55" i="4"/>
  <c r="R60" i="4" s="1"/>
  <c r="AG23" i="4"/>
  <c r="AB23" i="4"/>
  <c r="AG38" i="4"/>
  <c r="AB38" i="4"/>
  <c r="B2" i="4"/>
  <c r="B3" i="4" s="1"/>
  <c r="R55" i="2"/>
  <c r="R60" i="2" s="1"/>
  <c r="P60" i="2"/>
  <c r="R55" i="5"/>
  <c r="R60" i="5" s="1"/>
  <c r="P6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7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======
ID#AAABIQ63vs4
tc={D4CEFC3C-7325-4E34-A64D-30E52256CE03}    (2024-04-14 11:49:23)
[Threaded comment]
Your version of Excel allows you to read this threaded comment; however, any edits to it will get removed if the file is opened in a newer version of Excel. Learn more: https://go.microsoft.com/fwlink/?linkid=870924
Comment:
    Dipengaruhi dengan growth tidak? 25000 apakah diasumsikan konstan?</t>
        </r>
      </text>
    </comment>
    <comment ref="U7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======
ID#AAABIQ63vsw
tc={928E7189-DF96-4AF8-901E-1C3117C12B69}    (2024-04-14 11:49:23)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V7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ID#AAABIQ63vuc
tc={928E7189-DF96-4AF9-901E-1C3117C12B69}    (2024-04-14 11:49:23)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Q9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ID#AAABIQ63vto
tc={BEE3DC45-D192-48E4-B051-DA830092375D}    (2024-04-14 11:49:23)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J11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======
ID#AAABIQ63vsM
tc={F2DB11B4-C1EA-4124-BA56-5F48EB7330B3}    (2024-04-14 11:49:23)
[Threaded comment]
Your version of Excel allows you to read this threaded comment; however, any edits to it will get removed if the file is opened in a newer version of Excel. Learn more: https://go.microsoft.com/fwlink/?linkid=870924
Comment:
    Sumber ??</t>
        </r>
      </text>
    </comment>
    <comment ref="F12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======
ID#AAABIQ63vsA
tc={E41ACF69-01B3-4294-ABBC-3CDD6864AE75}    (2024-04-14 11:49:23)
[Threaded comment]
Your version of Excel allows you to read this threaded comment; however, any edits to it will get removed if the file is opened in a newer version of Excel. Learn more: https://go.microsoft.com/fwlink/?linkid=870924
Comment:
    Yang benar 70353</t>
        </r>
      </text>
    </comment>
    <comment ref="J12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======
ID#AAABIQ63vs8
tc={1441CF6E-179D-48AC-8E2D-BEBA291509B8}    (2024-04-14 11:49:23)
[Threaded comment]
Your version of Excel allows you to read this threaded comment; however, any edits to it will get removed if the file is opened in a newer version of Excel. Learn more: https://go.microsoft.com/fwlink/?linkid=870924
Comment:
    Konfirmasi km/cycle berapa? Lihat gambar dibawah</t>
        </r>
      </text>
    </comment>
    <comment ref="B1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ID#AAABIQ63vtU
Valentinus Febri H    (2024-04-14 11:49:23)
ERIA Chaper 1 dan https://jpjweb.tripod.com/webjpj/english/mreg.htm</t>
        </r>
      </text>
    </comment>
    <comment ref="F20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======
ID#AAABIQ63vsE
tc={7833DF23-FE90-4F19-9FD0-611220B2E488}    (2024-04-14 11:49:23)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B2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ID#AAABIQ63vuM
tc={4864E3F9-0560-4288-92E6-9293BC3416B9}    (2024-04-14 11:49:23)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41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======
ID#AAABIQ63vtI
tc={004D7F3F-C5C1-4610-A019-7D9E4061B6F1}    (2024-04-14 11:49:23)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  <comment ref="B49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======
ID#AAABIQ63vrw
tc={C56CAB35-0F73-4DA9-9E08-15FB1529777D}    (2024-04-14 11:49:23)
[Threaded comment]
Your version of Excel allows you to read this threaded comment; however, any edits to it will get removed if the file is opened in a newer version of Excel. Learn more: https://go.microsoft.com/fwlink/?linkid=870924
Comment:
    Perlu di breakdown untuk analisa komposisi biaya TCO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3+ThNsW5qcB8UF9k9hV+xRojxB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9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ID#AAABIQ63vuk
tc={BEE3DC45-D192-48E5-B051-DA830092375D}    (2024-04-14 11:49:23)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F12" authorId="0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======
ID#AAABIQ63vsc
tc={E41ACF69-01B3-4295-ABBC-3CDD6864AE75}    (2024-04-14 11:49:23)
[Threaded comment]
Your version of Excel allows you to read this threaded comment; however, any edits to it will get removed if the file is opened in a newer version of Excel. Learn more: https://go.microsoft.com/fwlink/?linkid=870924
Comment:
    Yang benar 70353</t>
        </r>
      </text>
    </comment>
    <comment ref="B16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ID#AAABIQ63vtM
Valentinus Febri H    (2024-04-14 11:49:23)
ERIA Chaper 1 dan https://jpjweb.tripod.com/webjpj/english/mreg.htm</t>
        </r>
      </text>
    </comment>
    <comment ref="F1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ID#AAABIQ63vug
tc={7833DF23-FE90-4F19-9FD0-611220B2E488}    (2024-04-14 11:49:23)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B23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ID#AAABIQ63vt8
tc={4864E3F9-0560-4288-92E6-9293BC3416B9}    (2024-04-14 11:49:23)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38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======
ID#AAABIQ63vs0
tc={004D7F3F-C5C1-4611-A019-7D9E4061B6F1}    (2024-04-14 11:49:23)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fMtQcWPeRe0NyhHwuQer/Yyc3S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7" authorId="0" shapeId="0" xr:uid="{00000000-0006-0000-0200-00000B000000}">
      <text>
        <r>
          <rPr>
            <sz val="11"/>
            <color theme="1"/>
            <rFont val="Calibri"/>
            <family val="2"/>
            <scheme val="minor"/>
          </rPr>
          <t>======
ID#AAABIQ63vrY
tc={D4CEFC3C-7325-4E34-A64D-30E52256CE03}    (2024-04-14 11:49:23)
[Threaded comment]
Your version of Excel allows you to read this threaded comment; however, any edits to it will get removed if the file is opened in a newer version of Excel. Learn more: https://go.microsoft.com/fwlink/?linkid=870924
Comment:
    Dipengaruhi dengan growth tidak? 25000 apakah diasumsikan konstan?</t>
        </r>
      </text>
    </comment>
    <comment ref="U7" authorId="0" shapeId="0" xr:uid="{00000000-0006-0000-0200-000009000000}">
      <text>
        <r>
          <rPr>
            <sz val="11"/>
            <color theme="1"/>
            <rFont val="Calibri"/>
            <family val="2"/>
            <scheme val="minor"/>
          </rPr>
          <t>======
ID#AAABIQ63vro
tc={928E7189-DF96-4AF8-901E-1C3117C12B69}    (2024-04-14 11:49:23)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V7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ID#AAABIQ63vtY
tc={928E7189-DF96-4AF9-901E-1C3117C12B69}    (2024-04-14 11:49:23)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Q9" authorId="0" shapeId="0" xr:uid="{00000000-0006-0000-0200-000006000000}">
      <text>
        <r>
          <rPr>
            <sz val="11"/>
            <color theme="1"/>
            <rFont val="Calibri"/>
            <family val="2"/>
            <scheme val="minor"/>
          </rPr>
          <t>======
ID#AAABIQ63vsk
tc={BEE3DC45-D192-48E4-B051-DA830092375D}    (2024-04-14 11:49:23)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J11" authorId="0" shapeId="0" xr:uid="{00000000-0006-0000-0200-000005000000}">
      <text>
        <r>
          <rPr>
            <sz val="11"/>
            <color theme="1"/>
            <rFont val="Calibri"/>
            <family val="2"/>
            <scheme val="minor"/>
          </rPr>
          <t>======
ID#AAABIQ63vtE
tc={E992383A-DDF7-479A-807A-377CA4907051}    (2024-04-14 11:49:23)
[Threaded comment]
Your version of Excel allows you to read this threaded comment; however, any edits to it will get removed if the file is opened in a newer version of Excel. Learn more: https://go.microsoft.com/fwlink/?linkid=870924
Comment:
    Sumber ??</t>
        </r>
      </text>
    </comment>
    <comment ref="J12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ID#AAABIQ63vtg
tc={E992383A-DDF7-479A-807A-377CA4907051}    (2024-04-14 11:49:23)
[Threaded comment]
Your version of Excel allows you to read this threaded comment; however, any edits to it will get removed if the file is opened in a newer version of Excel. Learn more: https://go.microsoft.com/fwlink/?linkid=870924
Comment:
    Sumber ??</t>
        </r>
      </text>
    </comment>
    <comment ref="B16" authorId="0" shapeId="0" xr:uid="{00000000-0006-0000-0200-000008000000}">
      <text>
        <r>
          <rPr>
            <sz val="11"/>
            <color theme="1"/>
            <rFont val="Calibri"/>
            <family val="2"/>
            <scheme val="minor"/>
          </rPr>
          <t>======
ID#AAABIQ63vr4
Valentinus Febri H    (2024-04-14 11:49:23)
ERIA Chaper 1 dan https://jpjweb.tripod.com/webjpj/english/mreg.htm</t>
        </r>
      </text>
    </comment>
    <comment ref="F20" authorId="0" shapeId="0" xr:uid="{00000000-0006-0000-0200-00000A000000}">
      <text>
        <r>
          <rPr>
            <sz val="11"/>
            <color theme="1"/>
            <rFont val="Calibri"/>
            <family val="2"/>
            <scheme val="minor"/>
          </rPr>
          <t>======
ID#AAABIQ63vrg
tc={7833DF23-FE90-4F19-9FD0-611220B2E488}    (2024-04-14 11:49:23)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B23" authorId="0" shapeId="0" xr:uid="{00000000-0006-0000-0200-000007000000}">
      <text>
        <r>
          <rPr>
            <sz val="11"/>
            <color theme="1"/>
            <rFont val="Calibri"/>
            <family val="2"/>
            <scheme val="minor"/>
          </rPr>
          <t>======
ID#AAABIQ63vsI
tc={4864E3F9-0560-4288-92E6-9293BC3416B9}    (2024-04-14 11:49:23)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41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ID#AAABIQ63vts
tc={004D7F3F-C5C1-4610-A019-7D9E4061B6F1}    (2024-04-14 11:49:23)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  <comment ref="B49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ID#AAABIQ63vtc
tc={C56CAB35-0F73-4DA9-9E08-15FB1529777D}    (2024-04-14 11:49:23)
[Threaded comment]
Your version of Excel allows you to read this threaded comment; however, any edits to it will get removed if the file is opened in a newer version of Excel. Learn more: https://go.microsoft.com/fwlink/?linkid=870924
Comment:
    Perlu di breakdown untuk analisa komposisi biaya TCO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3vW6dhkhfAFEPEPW2N7N66v8dmA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9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ID#AAABIQ63vso
tc={BEE3DC45-D192-48E5-B051-DA830092375D}    (2024-04-14 11:49:23)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B16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ID#AAABIQ63vuI
Valentinus Febri H    (2024-04-14 11:49:23)
ERIA Chaper 1 dan https://jpjweb.tripod.com/webjpj/english/mreg.htm</t>
        </r>
      </text>
    </comment>
    <comment ref="F19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ID#AAABIQ63vuU
tc={7833DF23-FE90-4F19-9FD0-611220B2E488}    (2024-04-14 11:49:23)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B23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ID#AAABIQ63vsY
tc={4864E3F9-0560-4288-92E6-9293BC3416B9}    (2024-04-14 11:49:23)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38" authorId="0" shapeId="0" xr:uid="{00000000-0006-0000-0300-000005000000}">
      <text>
        <r>
          <rPr>
            <sz val="11"/>
            <color theme="1"/>
            <rFont val="Calibri"/>
            <family val="2"/>
            <scheme val="minor"/>
          </rPr>
          <t>======
ID#AAABIQ63vsQ
tc={004D7F3F-C5C1-4611-A019-7D9E4061B6F1}    (2024-04-14 11:49:23)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fX7/e2dkQsOOxZ6m1mImjmuH0TA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7" authorId="0" shapeId="0" xr:uid="{00000000-0006-0000-0400-000007000000}">
      <text>
        <r>
          <rPr>
            <sz val="11"/>
            <color theme="1"/>
            <rFont val="Calibri"/>
            <family val="2"/>
            <scheme val="minor"/>
          </rPr>
          <t>======
ID#AAABIQ63vtQ
tc={D4CEFC3C-7325-4E34-A64D-30E52256CE03}    (2024-04-14 11:49:23)
[Threaded comment]
Your version of Excel allows you to read this threaded comment; however, any edits to it will get removed if the file is opened in a newer version of Excel. Learn more: https://go.microsoft.com/fwlink/?linkid=870924
Comment:
    Dipengaruhi dengan growth tidak? 25000 apakah diasumsikan konstan?</t>
        </r>
      </text>
    </comment>
    <comment ref="U7" authorId="0" shapeId="0" xr:uid="{00000000-0006-0000-0400-00000C000000}">
      <text>
        <r>
          <rPr>
            <sz val="11"/>
            <color theme="1"/>
            <rFont val="Calibri"/>
            <family val="2"/>
            <scheme val="minor"/>
          </rPr>
          <t>======
ID#AAABIQ63vrk
tc={928E7189-DF96-4AF8-901E-1C3117C12B69}    (2024-04-14 11:49:23)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V7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ID#AAABIQ63vuo
tc={928E7189-DF96-4AF9-901E-1C3117C12B69}    (2024-04-14 11:49:23)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Q9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ID#AAABIQ63vuQ
tc={BEE3DC45-D192-48E4-B051-DA830092375D}    (2024-04-14 11:49:23)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J10" authorId="0" shapeId="0" xr:uid="{00000000-0006-0000-0400-000008000000}">
      <text>
        <r>
          <rPr>
            <sz val="11"/>
            <color theme="1"/>
            <rFont val="Calibri"/>
            <family val="2"/>
            <scheme val="minor"/>
          </rPr>
          <t>======
ID#AAABIQ63vtA
tc={67D947ED-88BE-48E6-B313-9A497FAA28F5}    (2024-04-14 11:49:23)
[Threaded comment]
Your version of Excel allows you to read this threaded comment; however, any edits to it will get removed if the file is opened in a newer version of Excel. Learn more: https://go.microsoft.com/fwlink/?linkid=870924
Comment:
    Brosur DFSK, lihat gambar di bawah</t>
        </r>
      </text>
    </comment>
    <comment ref="J11" authorId="0" shapeId="0" xr:uid="{00000000-0006-0000-0400-000009000000}">
      <text>
        <r>
          <rPr>
            <sz val="11"/>
            <color theme="1"/>
            <rFont val="Calibri"/>
            <family val="2"/>
            <scheme val="minor"/>
          </rPr>
          <t>======
ID#AAABIQ63vss
tc={F2DB11B4-C1EA-4124-BA56-5F48EB7330B3}    (2024-04-14 11:49:23)
[Threaded comment]
Your version of Excel allows you to read this threaded comment; however, any edits to it will get removed if the file is opened in a newer version of Excel. Learn more: https://go.microsoft.com/fwlink/?linkid=870924
Comment:
    Sumber ??</t>
        </r>
      </text>
    </comment>
    <comment ref="J12" authorId="0" shapeId="0" xr:uid="{00000000-0006-0000-0400-000005000000}">
      <text>
        <r>
          <rPr>
            <sz val="11"/>
            <color theme="1"/>
            <rFont val="Calibri"/>
            <family val="2"/>
            <scheme val="minor"/>
          </rPr>
          <t>======
ID#AAABIQ63vt0
tc={1441CF6E-179D-48AC-8E2D-BEBA291509B8}    (2024-04-14 11:49:23)
[Threaded comment]
Your version of Excel allows you to read this threaded comment; however, any edits to it will get removed if the file is opened in a newer version of Excel. Learn more: https://go.microsoft.com/fwlink/?linkid=870924
Comment:
    Konfirmasi km/cycle berapa? Lihat gambar dibawah</t>
        </r>
      </text>
    </comment>
    <comment ref="B16" authorId="0" shapeId="0" xr:uid="{00000000-0006-0000-0400-00000D000000}">
      <text>
        <r>
          <rPr>
            <sz val="11"/>
            <color theme="1"/>
            <rFont val="Calibri"/>
            <family val="2"/>
            <scheme val="minor"/>
          </rPr>
          <t>======
ID#AAABIQ63vrc
Valentinus Febri H    (2024-04-14 11:49:23)
ERIA Chaper 1 dan https://jpjweb.tripod.com/webjpj/english/mreg.htm</t>
        </r>
      </text>
    </comment>
    <comment ref="J17" authorId="0" shapeId="0" xr:uid="{00000000-0006-0000-0400-00000B000000}">
      <text>
        <r>
          <rPr>
            <sz val="11"/>
            <color theme="1"/>
            <rFont val="Calibri"/>
            <family val="2"/>
            <scheme val="minor"/>
          </rPr>
          <t>======
ID#AAABIQ63vr8
tc={82F62B6C-237A-4712-86A9-B09BC722851E}    (2024-04-14 11:49:23)
[Threaded comment]
Your version of Excel allows you to read this threaded comment; however, any edits to it will get removed if the file is opened in a newer version of Excel. Learn more: https://go.microsoft.com/fwlink/?linkid=870924
Comment:
    Brosur DFSK, lihat gambar di bawah</t>
        </r>
      </text>
    </comment>
    <comment ref="F20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ID#AAABIQ63vuA
tc={7833DF23-FE90-4F19-9FD0-611220B2E488}    (2024-04-14 11:49:23)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B23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ID#AAABIQ63vt4
tc={4864E3F9-0560-4288-92E6-9293BC3416B9}    (2024-04-14 11:49:23)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41" authorId="0" shapeId="0" xr:uid="{00000000-0006-0000-0400-000006000000}">
      <text>
        <r>
          <rPr>
            <sz val="11"/>
            <color theme="1"/>
            <rFont val="Calibri"/>
            <family val="2"/>
            <scheme val="minor"/>
          </rPr>
          <t>======
ID#AAABIQ63vtk
tc={004D7F3F-C5C1-4610-A019-7D9E4061B6F1}    (2024-04-14 11:49:23)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  <comment ref="B49" authorId="0" shapeId="0" xr:uid="{00000000-0006-0000-0400-00000A000000}">
      <text>
        <r>
          <rPr>
            <sz val="11"/>
            <color theme="1"/>
            <rFont val="Calibri"/>
            <family val="2"/>
            <scheme val="minor"/>
          </rPr>
          <t>======
ID#AAABIQ63vsU
tc={C56CAB35-0F73-4DA9-9E08-15FB1529777D}    (2024-04-14 11:49:23)
[Threaded comment]
Your version of Excel allows you to read this threaded comment; however, any edits to it will get removed if the file is opened in a newer version of Excel. Learn more: https://go.microsoft.com/fwlink/?linkid=870924
Comment:
    Perlu di breakdown untuk analisa komposisi biaya TCO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YN3a5LVrmtdp+FMYv/QpOZn/oTA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9" authorId="0" shapeId="0" xr:uid="{00000000-0006-0000-0500-00000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ID#AAABIQ63vuE
</t>
        </r>
        <r>
          <rPr>
            <sz val="11"/>
            <color rgb="FF000000"/>
            <rFont val="Calibri"/>
            <family val="2"/>
          </rPr>
          <t xml:space="preserve">tc={3B0670CF-17C8-4B34-9A71-0D42C30D4D07}    (2024-04-14 11:49:23)
</t>
        </r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https://www.autofun.co.id/mobil/dfsk/gelora/konsumsi-bahan-bakar</t>
        </r>
      </text>
    </comment>
    <comment ref="Q9" authorId="0" shapeId="0" xr:uid="{00000000-0006-0000-0500-000005000000}">
      <text>
        <r>
          <rPr>
            <sz val="11"/>
            <color theme="1"/>
            <rFont val="Calibri"/>
            <family val="2"/>
            <scheme val="minor"/>
          </rPr>
          <t>======
ID#AAABIQ63vr0
tc={BEE3DC45-D192-48E5-B051-DA830092375D}    (2024-04-14 11:49:23)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B16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ID#AAABIQ63vtw
Valentinus Febri H    (2024-04-14 11:49:23)
ERIA Chaper 1 dan https://jpjweb.tripod.com/webjpj/english/mreg.htm</t>
        </r>
      </text>
    </comment>
    <comment ref="F19" authorId="0" shapeId="0" xr:uid="{00000000-0006-0000-0500-000006000000}">
      <text>
        <r>
          <rPr>
            <sz val="11"/>
            <color theme="1"/>
            <rFont val="Calibri"/>
            <family val="2"/>
            <scheme val="minor"/>
          </rPr>
          <t>======
ID#AAABIQ63vrs
tc={7833DF23-FE90-4F19-9FD0-611220B2E488}    (2024-04-14 11:49:23)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B23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ID#AAABIQ63vsg
tc={4864E3F9-0560-4288-92E6-9293BC3416B9}    (2024-04-14 11:49:23)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38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ID#AAABIQ63vuY
tc={004D7F3F-C5C1-4611-A019-7D9E4061B6F1}    (2024-04-14 11:49:23)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pcDPCKXIGIsVZanTJTHPpLEUnUQ=="/>
    </ext>
  </extLst>
</comments>
</file>

<file path=xl/sharedStrings.xml><?xml version="1.0" encoding="utf-8"?>
<sst xmlns="http://schemas.openxmlformats.org/spreadsheetml/2006/main" count="1656" uniqueCount="202">
  <si>
    <t>Country name</t>
  </si>
  <si>
    <t>Malaysia</t>
  </si>
  <si>
    <t>TCO</t>
  </si>
  <si>
    <t>US$</t>
  </si>
  <si>
    <t>US$/km</t>
  </si>
  <si>
    <t>ASSUMPTIONS</t>
  </si>
  <si>
    <t>TCO Estimation</t>
  </si>
  <si>
    <t>Sensitivity Analysis</t>
  </si>
  <si>
    <t>Analysis period</t>
  </si>
  <si>
    <t>Years</t>
  </si>
  <si>
    <t>Discounted TCO</t>
  </si>
  <si>
    <t>Country specific costs</t>
  </si>
  <si>
    <t>Vehicle-related Costs</t>
  </si>
  <si>
    <t>Year</t>
  </si>
  <si>
    <t>Equity (US$)</t>
  </si>
  <si>
    <t>Installment (US$)</t>
  </si>
  <si>
    <t>Electricity cost (US$)</t>
  </si>
  <si>
    <t>Charging surcharge cost (US$)</t>
  </si>
  <si>
    <t>O&amp;M Costs  (US$)</t>
  </si>
  <si>
    <t>Taxes (US$)</t>
  </si>
  <si>
    <t>Battery replacement costs (US$)</t>
  </si>
  <si>
    <t>Battery leasing costs (US$)</t>
  </si>
  <si>
    <t>Resale Value (US$)</t>
  </si>
  <si>
    <t>TCO (US$)</t>
  </si>
  <si>
    <t>Please copy paste following values (values only) to the formula value if there is update/ differences with reference values in tables</t>
  </si>
  <si>
    <t>Exchange rate</t>
  </si>
  <si>
    <t>MYR/US$</t>
  </si>
  <si>
    <t>Vehicle price</t>
  </si>
  <si>
    <t>MYR</t>
  </si>
  <si>
    <t>Electricity tariff</t>
  </si>
  <si>
    <t>US$/kWh</t>
  </si>
  <si>
    <t>Battery cost unit</t>
  </si>
  <si>
    <t>Battery cost</t>
  </si>
  <si>
    <t>One-time Costs</t>
  </si>
  <si>
    <t>Related to Yearly Costs</t>
  </si>
  <si>
    <t>Battery capacity</t>
  </si>
  <si>
    <t>kWh</t>
  </si>
  <si>
    <t>Incentive (cut personal incoma tax owner)</t>
  </si>
  <si>
    <t>Discount rate</t>
  </si>
  <si>
    <t>%</t>
  </si>
  <si>
    <t>Battery lifecycle</t>
  </si>
  <si>
    <t>cycles</t>
  </si>
  <si>
    <t>Annual kilometres travelled (AKT)</t>
  </si>
  <si>
    <t>km/year</t>
  </si>
  <si>
    <t>Retail discount</t>
  </si>
  <si>
    <t>Annual kilometres traveled (AKT)</t>
  </si>
  <si>
    <t>Battery range</t>
  </si>
  <si>
    <t>km/cycle</t>
  </si>
  <si>
    <t>Other O&amp;M costs</t>
  </si>
  <si>
    <t>US$/year</t>
  </si>
  <si>
    <t xml:space="preserve">   Income tax corporate</t>
  </si>
  <si>
    <t>MYR/kWh</t>
  </si>
  <si>
    <t>Vehicle lifespan</t>
  </si>
  <si>
    <t>years</t>
  </si>
  <si>
    <t>Import tariff</t>
  </si>
  <si>
    <t>Electricity tariff growth</t>
  </si>
  <si>
    <t>%/year</t>
  </si>
  <si>
    <t>SOC</t>
  </si>
  <si>
    <t xml:space="preserve">   Excise Duty</t>
  </si>
  <si>
    <t>Battery leasing cost</t>
  </si>
  <si>
    <t>MYR/year</t>
  </si>
  <si>
    <t>Vehicle Depreciation</t>
  </si>
  <si>
    <t>%/ year</t>
  </si>
  <si>
    <t>Emission test costs</t>
  </si>
  <si>
    <t>Battery Depreciation</t>
  </si>
  <si>
    <t>Road Tax/LKM</t>
  </si>
  <si>
    <t>Electricity consumption</t>
  </si>
  <si>
    <t>kWh/km</t>
  </si>
  <si>
    <t>Certified Entiltment</t>
  </si>
  <si>
    <t>Road insurance</t>
  </si>
  <si>
    <t>One time tax</t>
  </si>
  <si>
    <t>Charging Station</t>
  </si>
  <si>
    <t>Government Premium / High Value Goods Tax)</t>
  </si>
  <si>
    <t xml:space="preserve">  Sales Tax</t>
  </si>
  <si>
    <t xml:space="preserve">   Initial/Surcharge Charging Cost</t>
  </si>
  <si>
    <t>MYR/times</t>
  </si>
  <si>
    <t xml:space="preserve">  Service Tax</t>
  </si>
  <si>
    <t>Interest rate (flat)</t>
  </si>
  <si>
    <t>Financing costs</t>
  </si>
  <si>
    <t>Relative change (%)</t>
  </si>
  <si>
    <t>Electricity tariff (US$/kWh)</t>
  </si>
  <si>
    <t>TCO changes (%)</t>
  </si>
  <si>
    <t>Vehicle price (US$)</t>
  </si>
  <si>
    <t xml:space="preserve">  Administration Cost</t>
  </si>
  <si>
    <t>Loan length</t>
  </si>
  <si>
    <t>Reference value</t>
  </si>
  <si>
    <t>Formula value</t>
  </si>
  <si>
    <t>Downpayment</t>
  </si>
  <si>
    <t>% of capital cost</t>
  </si>
  <si>
    <t>TCO ESTIMATION</t>
  </si>
  <si>
    <t>Country specific cost</t>
  </si>
  <si>
    <t>Financing cost</t>
  </si>
  <si>
    <t>Battery</t>
  </si>
  <si>
    <t>Equity</t>
  </si>
  <si>
    <t>Battery lifespan</t>
  </si>
  <si>
    <t>Debt</t>
  </si>
  <si>
    <t>Debt interest</t>
  </si>
  <si>
    <t>Total kilometres travelled during lifecycle</t>
  </si>
  <si>
    <t>km</t>
  </si>
  <si>
    <t>Energy costs</t>
  </si>
  <si>
    <t>Yearly Operational Cost</t>
  </si>
  <si>
    <t>Annual kilometres travelled</t>
  </si>
  <si>
    <t>Charging cost</t>
  </si>
  <si>
    <t>Battery cost (US$)</t>
  </si>
  <si>
    <t>AKT (km/year)</t>
  </si>
  <si>
    <t>Electricity cost per km</t>
  </si>
  <si>
    <t>Yearly charging surcharge cost</t>
  </si>
  <si>
    <t>Yearly charging cost</t>
  </si>
  <si>
    <t>Capital cost</t>
  </si>
  <si>
    <t>Battery price</t>
  </si>
  <si>
    <t>Vehicle price + import levy</t>
  </si>
  <si>
    <t>Battery Price + import levy</t>
  </si>
  <si>
    <t>Total</t>
  </si>
  <si>
    <t xml:space="preserve">   CIF (Cost, Insurance, Freight)</t>
  </si>
  <si>
    <t xml:space="preserve">   CIF + Excise Duty</t>
  </si>
  <si>
    <t>Vehicle Price+taxes</t>
  </si>
  <si>
    <t>Incentive &amp; discount</t>
  </si>
  <si>
    <t>Other O&amp;M costs (US$/L)</t>
  </si>
  <si>
    <t>Cost component</t>
  </si>
  <si>
    <t>Capital costs</t>
  </si>
  <si>
    <t>Total Investment</t>
  </si>
  <si>
    <t>Yearly Cost + Taxes</t>
  </si>
  <si>
    <t>Battery costs</t>
  </si>
  <si>
    <t>For Insurance</t>
  </si>
  <si>
    <t>Resale value</t>
  </si>
  <si>
    <t>Fuel cost (US$)</t>
  </si>
  <si>
    <t>O&amp;M Cost  (US$)</t>
  </si>
  <si>
    <t>Fuel price</t>
  </si>
  <si>
    <t>US$/L</t>
  </si>
  <si>
    <t>Specific fuel consumption</t>
  </si>
  <si>
    <t>L/km</t>
  </si>
  <si>
    <t>Incentive</t>
  </si>
  <si>
    <t>MYR/liter</t>
  </si>
  <si>
    <t>Fuel price growth</t>
  </si>
  <si>
    <t xml:space="preserve">  Excise Duty</t>
  </si>
  <si>
    <t>Fuel price (US$/L)</t>
  </si>
  <si>
    <t>Yearly fuel cost</t>
  </si>
  <si>
    <t xml:space="preserve"> CIF (Vehicle price + import levy)</t>
  </si>
  <si>
    <t>Other O&amp;M costs (US$)</t>
  </si>
  <si>
    <t>cycle</t>
  </si>
  <si>
    <t>Variables</t>
  </si>
  <si>
    <t>Country</t>
  </si>
  <si>
    <t>Descriptions</t>
  </si>
  <si>
    <t>Subsidy</t>
  </si>
  <si>
    <t>All</t>
  </si>
  <si>
    <t>VAT</t>
  </si>
  <si>
    <t>Income tax</t>
  </si>
  <si>
    <t>Basis of Taxation</t>
  </si>
  <si>
    <t>ID</t>
  </si>
  <si>
    <t>Dasar Pengenaan Pajak</t>
  </si>
  <si>
    <t>SG</t>
  </si>
  <si>
    <t>Government Premium</t>
  </si>
  <si>
    <t>Resale Value</t>
  </si>
  <si>
    <t>MYR/km</t>
  </si>
  <si>
    <t>Battery leasing model</t>
  </si>
  <si>
    <t>Battery leasing?</t>
  </si>
  <si>
    <t>Yes</t>
  </si>
  <si>
    <t>Profit ratio</t>
  </si>
  <si>
    <t>(minimum: 1)</t>
  </si>
  <si>
    <t>Minimimum Kilometre Travelled</t>
  </si>
  <si>
    <t>km/day</t>
  </si>
  <si>
    <t>Battery Leasing?</t>
  </si>
  <si>
    <t>No</t>
  </si>
  <si>
    <t>Battery Leasing Model</t>
  </si>
  <si>
    <t>Battery price (plus taxes)</t>
  </si>
  <si>
    <t>Battery price (plus interests)</t>
  </si>
  <si>
    <t>Battery rental cost unit</t>
  </si>
  <si>
    <t>Minimum AKT</t>
  </si>
  <si>
    <t>Minimum battery rental cost</t>
  </si>
  <si>
    <t>Additional battery rental cost</t>
  </si>
  <si>
    <t>Mininum travelled (km)</t>
  </si>
  <si>
    <t>Mininum Kilometres traveled</t>
  </si>
  <si>
    <t>Net vehicle price</t>
  </si>
  <si>
    <t>Diesel price per L</t>
  </si>
  <si>
    <t>Diesel cost per km</t>
  </si>
  <si>
    <t>Gasoline price per L</t>
  </si>
  <si>
    <t>Gasoline cost per km</t>
  </si>
  <si>
    <t xml:space="preserve">   Routine  inspection cost</t>
  </si>
  <si>
    <t xml:space="preserve">   Special inspection cost</t>
  </si>
  <si>
    <t xml:space="preserve">   Initial inspection cost</t>
  </si>
  <si>
    <t xml:space="preserve">  Total inspection cost</t>
  </si>
  <si>
    <t>Gasoline price</t>
  </si>
  <si>
    <t>Diesel price</t>
  </si>
  <si>
    <t>New registration fee</t>
  </si>
  <si>
    <t>Prefential additional registration fee  (PARF) Benefits</t>
  </si>
  <si>
    <t>E-bus</t>
  </si>
  <si>
    <t>ICE-bus</t>
  </si>
  <si>
    <t>Parameter change (%)</t>
  </si>
  <si>
    <t>Vehicle Price</t>
  </si>
  <si>
    <t>Electricity tarrif</t>
  </si>
  <si>
    <t>AKT</t>
  </si>
  <si>
    <t>O&amp;M costs</t>
  </si>
  <si>
    <t>E-truck</t>
  </si>
  <si>
    <t>ICE-truck</t>
  </si>
  <si>
    <t>Fuel Price</t>
  </si>
  <si>
    <t>MALAYSIA</t>
  </si>
  <si>
    <t>Energy Efficiency</t>
  </si>
  <si>
    <t>Manufacturer’s Recommended Retail Price (MRRP)</t>
  </si>
  <si>
    <t>∆Parameter (%)</t>
  </si>
  <si>
    <t>∆TCO (%)</t>
  </si>
  <si>
    <t>ICE-van</t>
  </si>
  <si>
    <t>E-van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</si>
</sst>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_-;\-* #,##0_-;_-* &quot;-&quot;??_-;_-@"/>
    <numFmt numFmtId="165" formatCode="_(* #,##0_);_(* \(#,##0\);_(* &quot;-&quot;??_);_(@_)"/>
    <numFmt numFmtId="166" formatCode="_-* #,##0_-;\-* #,##0_-;_-* &quot;-&quot;_-;_-@"/>
    <numFmt numFmtId="167" formatCode="_-* #,##0.00_-;\-* #,##0.00_-;_-* &quot;-&quot;_-;_-@"/>
    <numFmt numFmtId="168" formatCode="_-* #,##0.0000_-;\-* #,##0.0000_-;_-* &quot;-&quot;_-;_-@"/>
    <numFmt numFmtId="169" formatCode="_-* #,##0.00_-;\-* #,##0.00_-;_-* &quot;-&quot;??_-;_-@"/>
    <numFmt numFmtId="170" formatCode="_-* #,##0.0_-;\-* #,##0.0_-;_-* &quot;-&quot;_-;_-@"/>
    <numFmt numFmtId="171" formatCode="_(* #,##0.0_);_(* \(#,##0.0\);_(* &quot;-&quot;??_);_(@_)"/>
    <numFmt numFmtId="172" formatCode="0.0000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rgb="FFBDD6EE"/>
      </patternFill>
    </fill>
    <fill>
      <patternFill patternType="solid">
        <fgColor theme="0"/>
        <bgColor rgb="FFFF0000"/>
      </patternFill>
    </fill>
    <fill>
      <patternFill patternType="solid">
        <fgColor theme="7" tint="0.79998168889431442"/>
        <bgColor rgb="FFFEF2CB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0" fontId="8" fillId="0" borderId="1"/>
  </cellStyleXfs>
  <cellXfs count="124">
    <xf numFmtId="0" fontId="0" fillId="0" borderId="0" xfId="0"/>
    <xf numFmtId="0" fontId="4" fillId="2" borderId="1" xfId="0" applyFont="1" applyFill="1" applyBorder="1"/>
    <xf numFmtId="0" fontId="5" fillId="2" borderId="1" xfId="0" applyFont="1" applyFill="1" applyBorder="1"/>
    <xf numFmtId="164" fontId="4" fillId="2" borderId="1" xfId="0" applyNumberFormat="1" applyFont="1" applyFill="1" applyBorder="1"/>
    <xf numFmtId="2" fontId="4" fillId="2" borderId="1" xfId="0" applyNumberFormat="1" applyFont="1" applyFill="1" applyBorder="1"/>
    <xf numFmtId="165" fontId="5" fillId="2" borderId="1" xfId="0" applyNumberFormat="1" applyFont="1" applyFill="1" applyBorder="1"/>
    <xf numFmtId="166" fontId="5" fillId="2" borderId="1" xfId="0" applyNumberFormat="1" applyFont="1" applyFill="1" applyBorder="1"/>
    <xf numFmtId="43" fontId="5" fillId="2" borderId="1" xfId="0" applyNumberFormat="1" applyFont="1" applyFill="1" applyBorder="1"/>
    <xf numFmtId="0" fontId="4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4" fillId="2" borderId="3" xfId="0" applyFont="1" applyFill="1" applyBorder="1"/>
    <xf numFmtId="0" fontId="5" fillId="3" borderId="1" xfId="0" applyFont="1" applyFill="1" applyBorder="1"/>
    <xf numFmtId="0" fontId="4" fillId="3" borderId="1" xfId="0" applyFont="1" applyFill="1" applyBorder="1"/>
    <xf numFmtId="0" fontId="5" fillId="2" borderId="5" xfId="0" applyFont="1" applyFill="1" applyBorder="1"/>
    <xf numFmtId="167" fontId="5" fillId="2" borderId="1" xfId="0" applyNumberFormat="1" applyFont="1" applyFill="1" applyBorder="1"/>
    <xf numFmtId="43" fontId="5" fillId="2" borderId="6" xfId="0" applyNumberFormat="1" applyFont="1" applyFill="1" applyBorder="1"/>
    <xf numFmtId="0" fontId="5" fillId="2" borderId="1" xfId="0" applyFont="1" applyFill="1" applyBorder="1" applyAlignment="1">
      <alignment horizontal="left"/>
    </xf>
    <xf numFmtId="0" fontId="5" fillId="2" borderId="6" xfId="0" applyFont="1" applyFill="1" applyBorder="1"/>
    <xf numFmtId="164" fontId="5" fillId="3" borderId="1" xfId="0" applyNumberFormat="1" applyFont="1" applyFill="1" applyBorder="1"/>
    <xf numFmtId="164" fontId="4" fillId="3" borderId="1" xfId="0" applyNumberFormat="1" applyFont="1" applyFill="1" applyBorder="1"/>
    <xf numFmtId="0" fontId="5" fillId="4" borderId="1" xfId="0" applyFont="1" applyFill="1" applyBorder="1"/>
    <xf numFmtId="168" fontId="5" fillId="4" borderId="1" xfId="0" applyNumberFormat="1" applyFont="1" applyFill="1" applyBorder="1"/>
    <xf numFmtId="169" fontId="5" fillId="2" borderId="1" xfId="0" applyNumberFormat="1" applyFont="1" applyFill="1" applyBorder="1"/>
    <xf numFmtId="166" fontId="5" fillId="3" borderId="1" xfId="0" applyNumberFormat="1" applyFont="1" applyFill="1" applyBorder="1"/>
    <xf numFmtId="167" fontId="5" fillId="3" borderId="1" xfId="0" applyNumberFormat="1" applyFont="1" applyFill="1" applyBorder="1"/>
    <xf numFmtId="165" fontId="5" fillId="4" borderId="1" xfId="0" applyNumberFormat="1" applyFont="1" applyFill="1" applyBorder="1"/>
    <xf numFmtId="0" fontId="4" fillId="2" borderId="5" xfId="0" applyFont="1" applyFill="1" applyBorder="1"/>
    <xf numFmtId="164" fontId="5" fillId="4" borderId="1" xfId="0" applyNumberFormat="1" applyFont="1" applyFill="1" applyBorder="1"/>
    <xf numFmtId="166" fontId="5" fillId="4" borderId="1" xfId="0" applyNumberFormat="1" applyFont="1" applyFill="1" applyBorder="1"/>
    <xf numFmtId="0" fontId="5" fillId="2" borderId="5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4" fillId="5" borderId="1" xfId="0" applyFont="1" applyFill="1" applyBorder="1"/>
    <xf numFmtId="0" fontId="5" fillId="5" borderId="1" xfId="0" applyFont="1" applyFill="1" applyBorder="1"/>
    <xf numFmtId="0" fontId="6" fillId="2" borderId="1" xfId="0" applyFont="1" applyFill="1" applyBorder="1"/>
    <xf numFmtId="169" fontId="5" fillId="5" borderId="1" xfId="0" applyNumberFormat="1" applyFont="1" applyFill="1" applyBorder="1"/>
    <xf numFmtId="166" fontId="5" fillId="5" borderId="1" xfId="0" applyNumberFormat="1" applyFont="1" applyFill="1" applyBorder="1"/>
    <xf numFmtId="164" fontId="5" fillId="5" borderId="1" xfId="0" applyNumberFormat="1" applyFont="1" applyFill="1" applyBorder="1"/>
    <xf numFmtId="169" fontId="6" fillId="2" borderId="1" xfId="0" applyNumberFormat="1" applyFont="1" applyFill="1" applyBorder="1"/>
    <xf numFmtId="166" fontId="6" fillId="2" borderId="1" xfId="0" applyNumberFormat="1" applyFont="1" applyFill="1" applyBorder="1"/>
    <xf numFmtId="1" fontId="5" fillId="5" borderId="1" xfId="0" applyNumberFormat="1" applyFont="1" applyFill="1" applyBorder="1"/>
    <xf numFmtId="1" fontId="6" fillId="2" borderId="1" xfId="0" applyNumberFormat="1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5" fillId="6" borderId="1" xfId="0" applyFont="1" applyFill="1" applyBorder="1"/>
    <xf numFmtId="166" fontId="5" fillId="6" borderId="1" xfId="0" applyNumberFormat="1" applyFont="1" applyFill="1" applyBorder="1"/>
    <xf numFmtId="166" fontId="5" fillId="2" borderId="3" xfId="0" applyNumberFormat="1" applyFont="1" applyFill="1" applyBorder="1"/>
    <xf numFmtId="167" fontId="4" fillId="2" borderId="1" xfId="0" applyNumberFormat="1" applyFont="1" applyFill="1" applyBorder="1"/>
    <xf numFmtId="164" fontId="5" fillId="6" borderId="1" xfId="0" applyNumberFormat="1" applyFont="1" applyFill="1" applyBorder="1"/>
    <xf numFmtId="164" fontId="5" fillId="2" borderId="1" xfId="0" applyNumberFormat="1" applyFont="1" applyFill="1" applyBorder="1"/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/>
    <xf numFmtId="1" fontId="5" fillId="2" borderId="1" xfId="0" applyNumberFormat="1" applyFont="1" applyFill="1" applyBorder="1"/>
    <xf numFmtId="169" fontId="4" fillId="2" borderId="1" xfId="0" applyNumberFormat="1" applyFont="1" applyFill="1" applyBorder="1"/>
    <xf numFmtId="10" fontId="5" fillId="2" borderId="1" xfId="0" applyNumberFormat="1" applyFont="1" applyFill="1" applyBorder="1"/>
    <xf numFmtId="170" fontId="5" fillId="2" borderId="1" xfId="0" applyNumberFormat="1" applyFont="1" applyFill="1" applyBorder="1"/>
    <xf numFmtId="171" fontId="5" fillId="2" borderId="1" xfId="0" applyNumberFormat="1" applyFont="1" applyFill="1" applyBorder="1"/>
    <xf numFmtId="169" fontId="5" fillId="6" borderId="1" xfId="0" applyNumberFormat="1" applyFont="1" applyFill="1" applyBorder="1"/>
    <xf numFmtId="1" fontId="5" fillId="6" borderId="1" xfId="0" applyNumberFormat="1" applyFont="1" applyFill="1" applyBorder="1"/>
    <xf numFmtId="167" fontId="4" fillId="2" borderId="3" xfId="0" applyNumberFormat="1" applyFont="1" applyFill="1" applyBorder="1"/>
    <xf numFmtId="168" fontId="5" fillId="2" borderId="1" xfId="0" applyNumberFormat="1" applyFont="1" applyFill="1" applyBorder="1"/>
    <xf numFmtId="172" fontId="5" fillId="2" borderId="1" xfId="0" applyNumberFormat="1" applyFont="1" applyFill="1" applyBorder="1"/>
    <xf numFmtId="0" fontId="7" fillId="0" borderId="0" xfId="0" applyFont="1"/>
    <xf numFmtId="0" fontId="5" fillId="7" borderId="5" xfId="0" applyFont="1" applyFill="1" applyBorder="1" applyAlignment="1">
      <alignment horizontal="left"/>
    </xf>
    <xf numFmtId="0" fontId="5" fillId="7" borderId="1" xfId="0" applyFont="1" applyFill="1" applyBorder="1"/>
    <xf numFmtId="0" fontId="5" fillId="7" borderId="1" xfId="0" applyFont="1" applyFill="1" applyBorder="1" applyAlignment="1">
      <alignment horizontal="left"/>
    </xf>
    <xf numFmtId="170" fontId="5" fillId="7" borderId="1" xfId="0" applyNumberFormat="1" applyFont="1" applyFill="1" applyBorder="1"/>
    <xf numFmtId="167" fontId="5" fillId="7" borderId="1" xfId="0" applyNumberFormat="1" applyFont="1" applyFill="1" applyBorder="1"/>
    <xf numFmtId="166" fontId="5" fillId="7" borderId="1" xfId="0" applyNumberFormat="1" applyFont="1" applyFill="1" applyBorder="1"/>
    <xf numFmtId="43" fontId="5" fillId="7" borderId="1" xfId="0" applyNumberFormat="1" applyFont="1" applyFill="1" applyBorder="1"/>
    <xf numFmtId="0" fontId="5" fillId="8" borderId="1" xfId="0" applyFont="1" applyFill="1" applyBorder="1" applyAlignment="1">
      <alignment horizontal="left"/>
    </xf>
    <xf numFmtId="166" fontId="5" fillId="8" borderId="1" xfId="0" applyNumberFormat="1" applyFont="1" applyFill="1" applyBorder="1"/>
    <xf numFmtId="0" fontId="5" fillId="8" borderId="1" xfId="0" applyFont="1" applyFill="1" applyBorder="1"/>
    <xf numFmtId="171" fontId="5" fillId="7" borderId="1" xfId="0" applyNumberFormat="1" applyFont="1" applyFill="1" applyBorder="1"/>
    <xf numFmtId="0" fontId="5" fillId="7" borderId="5" xfId="0" applyFont="1" applyFill="1" applyBorder="1"/>
    <xf numFmtId="165" fontId="5" fillId="7" borderId="1" xfId="0" applyNumberFormat="1" applyFont="1" applyFill="1" applyBorder="1"/>
    <xf numFmtId="164" fontId="5" fillId="7" borderId="1" xfId="0" applyNumberFormat="1" applyFont="1" applyFill="1" applyBorder="1"/>
    <xf numFmtId="168" fontId="5" fillId="7" borderId="1" xfId="0" applyNumberFormat="1" applyFont="1" applyFill="1" applyBorder="1"/>
    <xf numFmtId="172" fontId="5" fillId="7" borderId="1" xfId="0" applyNumberFormat="1" applyFont="1" applyFill="1" applyBorder="1"/>
    <xf numFmtId="169" fontId="4" fillId="7" borderId="1" xfId="0" applyNumberFormat="1" applyFont="1" applyFill="1" applyBorder="1"/>
    <xf numFmtId="0" fontId="5" fillId="9" borderId="1" xfId="0" applyFont="1" applyFill="1" applyBorder="1"/>
    <xf numFmtId="169" fontId="5" fillId="10" borderId="1" xfId="0" applyNumberFormat="1" applyFont="1" applyFill="1" applyBorder="1"/>
    <xf numFmtId="166" fontId="5" fillId="9" borderId="1" xfId="0" applyNumberFormat="1" applyFont="1" applyFill="1" applyBorder="1"/>
    <xf numFmtId="1" fontId="5" fillId="10" borderId="1" xfId="0" applyNumberFormat="1" applyFont="1" applyFill="1" applyBorder="1"/>
    <xf numFmtId="164" fontId="5" fillId="10" borderId="1" xfId="0" applyNumberFormat="1" applyFont="1" applyFill="1" applyBorder="1"/>
    <xf numFmtId="0" fontId="9" fillId="11" borderId="0" xfId="0" applyFont="1" applyFill="1"/>
    <xf numFmtId="0" fontId="0" fillId="11" borderId="0" xfId="0" applyFill="1"/>
    <xf numFmtId="0" fontId="5" fillId="12" borderId="6" xfId="0" applyFont="1" applyFill="1" applyBorder="1"/>
    <xf numFmtId="0" fontId="0" fillId="13" borderId="0" xfId="0" applyFill="1"/>
    <xf numFmtId="0" fontId="5" fillId="12" borderId="1" xfId="0" applyFont="1" applyFill="1" applyBorder="1"/>
    <xf numFmtId="166" fontId="5" fillId="2" borderId="8" xfId="0" applyNumberFormat="1" applyFont="1" applyFill="1" applyBorder="1"/>
    <xf numFmtId="0" fontId="0" fillId="14" borderId="0" xfId="0" applyFill="1"/>
    <xf numFmtId="0" fontId="3" fillId="0" borderId="0" xfId="0" applyFont="1"/>
    <xf numFmtId="165" fontId="5" fillId="2" borderId="1" xfId="1" applyNumberFormat="1" applyFont="1" applyFill="1" applyBorder="1"/>
    <xf numFmtId="43" fontId="5" fillId="2" borderId="1" xfId="1" applyFont="1" applyFill="1" applyBorder="1"/>
    <xf numFmtId="0" fontId="3" fillId="14" borderId="0" xfId="0" applyFont="1" applyFill="1"/>
    <xf numFmtId="166" fontId="5" fillId="2" borderId="0" xfId="0" applyNumberFormat="1" applyFont="1" applyFill="1"/>
    <xf numFmtId="0" fontId="10" fillId="0" borderId="1" xfId="2" applyFont="1"/>
    <xf numFmtId="0" fontId="8" fillId="0" borderId="1" xfId="2"/>
    <xf numFmtId="0" fontId="8" fillId="0" borderId="1" xfId="2" applyAlignment="1">
      <alignment wrapText="1"/>
    </xf>
    <xf numFmtId="0" fontId="2" fillId="0" borderId="1" xfId="2" applyFont="1"/>
    <xf numFmtId="0" fontId="9" fillId="15" borderId="1" xfId="2" applyFont="1" applyFill="1" applyAlignment="1">
      <alignment horizontal="center" vertical="center"/>
    </xf>
    <xf numFmtId="0" fontId="9" fillId="15" borderId="1" xfId="2" applyFont="1" applyFill="1" applyAlignment="1">
      <alignment horizontal="center" vertical="center" wrapText="1"/>
    </xf>
    <xf numFmtId="0" fontId="9" fillId="0" borderId="1" xfId="2" applyFont="1" applyAlignment="1">
      <alignment wrapText="1"/>
    </xf>
    <xf numFmtId="0" fontId="9" fillId="15" borderId="1" xfId="2" applyFont="1" applyFill="1"/>
    <xf numFmtId="1" fontId="8" fillId="14" borderId="1" xfId="2" applyNumberFormat="1" applyFill="1" applyAlignment="1">
      <alignment wrapText="1"/>
    </xf>
    <xf numFmtId="1" fontId="8" fillId="14" borderId="1" xfId="2" applyNumberFormat="1" applyFill="1"/>
    <xf numFmtId="0" fontId="8" fillId="15" borderId="1" xfId="2" applyFill="1"/>
    <xf numFmtId="0" fontId="11" fillId="16" borderId="1" xfId="0" applyFont="1" applyFill="1" applyBorder="1" applyAlignment="1">
      <alignment horizontal="center" vertical="center"/>
    </xf>
    <xf numFmtId="0" fontId="12" fillId="16" borderId="1" xfId="0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9" fillId="15" borderId="1" xfId="2" applyFont="1" applyFill="1" applyAlignment="1">
      <alignment horizontal="center" wrapText="1"/>
    </xf>
    <xf numFmtId="0" fontId="4" fillId="16" borderId="1" xfId="0" applyFont="1" applyFill="1" applyBorder="1"/>
    <xf numFmtId="0" fontId="12" fillId="2" borderId="1" xfId="0" applyFont="1" applyFill="1" applyBorder="1"/>
    <xf numFmtId="167" fontId="12" fillId="2" borderId="1" xfId="0" applyNumberFormat="1" applyFont="1" applyFill="1" applyBorder="1"/>
    <xf numFmtId="0" fontId="1" fillId="0" borderId="1" xfId="2" applyFont="1"/>
    <xf numFmtId="0" fontId="9" fillId="15" borderId="1" xfId="2" applyFont="1" applyFill="1" applyAlignment="1">
      <alignment horizontal="center" vertical="center"/>
    </xf>
    <xf numFmtId="0" fontId="9" fillId="15" borderId="1" xfId="2" applyFont="1" applyFill="1" applyAlignment="1">
      <alignment horizontal="center" wrapText="1"/>
    </xf>
    <xf numFmtId="0" fontId="9" fillId="15" borderId="1" xfId="2" applyFont="1" applyFill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8606C602-86F3-4228-B5E2-931FDF331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en-ID" sz="1400" b="0" i="0">
                <a:solidFill>
                  <a:srgbClr val="000000"/>
                </a:solidFill>
                <a:latin typeface="Times New Roman"/>
              </a:rPr>
              <a:t>Electric buses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Malay'!$P$56</c:f>
              <c:numCache>
                <c:formatCode>_-* #,##0_-;\-* #,##0_-;_-* "-"??_-;_-@</c:formatCode>
                <c:ptCount val="1"/>
                <c:pt idx="0">
                  <c:v>382505.97418548493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6D1-4682-932C-6E53190B08F9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Malay'!$P$57</c:f>
              <c:numCache>
                <c:formatCode>_-* #,##0_-;\-* #,##0_-;_-* "-"??_-;_-@</c:formatCode>
                <c:ptCount val="1"/>
                <c:pt idx="0">
                  <c:v>77226.114509141087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36D1-4682-932C-6E53190B08F9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Malay'!$P$58</c:f>
              <c:numCache>
                <c:formatCode>_-* #,##0_-;\-* #,##0_-;_-* "-"??_-;_-@</c:formatCode>
                <c:ptCount val="1"/>
                <c:pt idx="0">
                  <c:v>229132.39634904778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36D1-4682-932C-6E53190B08F9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Malay'!$P$59</c:f>
              <c:numCache>
                <c:formatCode>_-* #,##0_-;\-* #,##0_-;_-* "-"??_-;_-@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36D1-4682-932C-6E53190B08F9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Malay'!$P$60</c:f>
              <c:numCache>
                <c:formatCode>_-* #,##0_-;\-* #,##0_-;_-* "-"??_-;_-@</c:formatCode>
                <c:ptCount val="1"/>
                <c:pt idx="0">
                  <c:v>-70899.07291199264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36D1-4682-932C-6E53190B0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8417236"/>
        <c:axId val="635788399"/>
      </c:barChart>
      <c:catAx>
        <c:axId val="10484172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635788399"/>
        <c:crosses val="autoZero"/>
        <c:auto val="1"/>
        <c:lblAlgn val="ctr"/>
        <c:lblOffset val="100"/>
        <c:noMultiLvlLbl val="1"/>
      </c:catAx>
      <c:valAx>
        <c:axId val="6357883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en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04841723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en-ID" sz="1400" b="0" i="0">
                <a:solidFill>
                  <a:srgbClr val="000000"/>
                </a:solidFill>
                <a:latin typeface="Times New Roman"/>
              </a:rPr>
              <a:t>Electric buses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3667786526684161"/>
          <c:y val="0.1299050076454176"/>
          <c:w val="0.83221102362204724"/>
          <c:h val="0.82942978465521655"/>
        </c:manualLayout>
      </c:layout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Malay'!$R$56</c:f>
              <c:numCache>
                <c:formatCode>0.00</c:formatCode>
                <c:ptCount val="1"/>
                <c:pt idx="0">
                  <c:v>0.66038685839538847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479-4C5E-8077-4B699536D1AE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Malay'!$R$57</c:f>
              <c:numCache>
                <c:formatCode>0.00</c:formatCode>
                <c:ptCount val="1"/>
                <c:pt idx="0">
                  <c:v>0.13332892709812605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479-4C5E-8077-4B699536D1AE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Malay'!$R$58</c:f>
              <c:numCache>
                <c:formatCode>0.00</c:formatCode>
                <c:ptCount val="1"/>
                <c:pt idx="0">
                  <c:v>0.39559126809396816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D479-4C5E-8077-4B699536D1AE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Malay'!$R$59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D479-4C5E-8077-4B699536D1AE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Malay'!$R$60</c:f>
              <c:numCache>
                <c:formatCode>0.00</c:formatCode>
                <c:ptCount val="1"/>
                <c:pt idx="0">
                  <c:v>-0.12240545032844909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D479-4C5E-8077-4B699536D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50468603"/>
        <c:axId val="751111364"/>
      </c:barChart>
      <c:catAx>
        <c:axId val="13504686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751111364"/>
        <c:crosses val="autoZero"/>
        <c:auto val="1"/>
        <c:lblAlgn val="ctr"/>
        <c:lblOffset val="100"/>
        <c:noMultiLvlLbl val="1"/>
      </c:catAx>
      <c:valAx>
        <c:axId val="7511113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en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35046860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buses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Malay'!$P$55</c:f>
              <c:numCache>
                <c:formatCode>_-* #,##0_-;\-* #,##0_-;_-* "-"??_-;_-@</c:formatCode>
                <c:ptCount val="1"/>
                <c:pt idx="0">
                  <c:v>201085.42893306294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1AA-410C-9697-D3B52839B9B1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Malay'!$P$56</c:f>
              <c:numCache>
                <c:formatCode>_-* #,##0_-;\-* #,##0_-;_-* "-"??_-;_-@</c:formatCode>
                <c:ptCount val="1"/>
                <c:pt idx="0">
                  <c:v>104024.69202835968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61AA-410C-9697-D3B52839B9B1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61AA-410C-9697-D3B52839B9B1}"/>
              </c:ext>
            </c:extLst>
          </c:dPt>
          <c:val>
            <c:numRef>
              <c:f>'ICE-Bus Malay'!$P$57</c:f>
              <c:numCache>
                <c:formatCode>_-* #,##0_-;\-* #,##0_-;_-* "-"??_-;_-@</c:formatCode>
                <c:ptCount val="1"/>
                <c:pt idx="0">
                  <c:v>131264.6870815868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61AA-410C-9697-D3B52839B9B1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Malay'!$P$58</c:f>
              <c:numCache>
                <c:formatCode>_-* #,##0_-;\-* #,##0_-;_-* "-"??_-;_-@</c:formatCode>
                <c:ptCount val="1"/>
                <c:pt idx="0">
                  <c:v>-39036.220426411252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61AA-410C-9697-D3B52839B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3949516"/>
        <c:axId val="258926770"/>
      </c:barChart>
      <c:catAx>
        <c:axId val="3939495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258926770"/>
        <c:crosses val="autoZero"/>
        <c:auto val="1"/>
        <c:lblAlgn val="ctr"/>
        <c:lblOffset val="100"/>
        <c:noMultiLvlLbl val="1"/>
      </c:catAx>
      <c:valAx>
        <c:axId val="2589267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39394951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buses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Malay'!$R$55</c:f>
              <c:numCache>
                <c:formatCode>0.00</c:formatCode>
                <c:ptCount val="1"/>
                <c:pt idx="0">
                  <c:v>0.34716889053816447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465-4AB0-9C25-72FA67F36472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Malay'!$R$56</c:f>
              <c:numCache>
                <c:formatCode>0.00</c:formatCode>
                <c:ptCount val="1"/>
                <c:pt idx="0">
                  <c:v>0.1795959911748827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5465-4AB0-9C25-72FA67F36472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Malay'!$R$57</c:f>
              <c:numCache>
                <c:formatCode>0.00</c:formatCode>
                <c:ptCount val="1"/>
                <c:pt idx="0">
                  <c:v>0.22662515142319656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5465-4AB0-9C25-72FA67F36472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Malay'!$R$58</c:f>
              <c:numCache>
                <c:formatCode>0.00</c:formatCode>
                <c:ptCount val="1"/>
                <c:pt idx="0">
                  <c:v>-6.739504402753943E-2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5465-4AB0-9C25-72FA67F36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1002420"/>
        <c:axId val="200249732"/>
      </c:barChart>
      <c:catAx>
        <c:axId val="10210024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200249732"/>
        <c:crosses val="autoZero"/>
        <c:auto val="1"/>
        <c:lblAlgn val="ctr"/>
        <c:lblOffset val="100"/>
        <c:noMultiLvlLbl val="1"/>
      </c:catAx>
      <c:valAx>
        <c:axId val="2002497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02100242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truck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Malay'!$P$55</c:f>
              <c:numCache>
                <c:formatCode>_-* #,##0_-;\-* #,##0_-;_-* "-"??_-;_-@</c:formatCode>
                <c:ptCount val="1"/>
                <c:pt idx="0">
                  <c:v>77001.1033523074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501-4247-A1D0-671B4C10ECC0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Malay'!$P$56</c:f>
              <c:numCache>
                <c:formatCode>_-* #,##0_-;\-* #,##0_-;_-* "-"??_-;_-@</c:formatCode>
                <c:ptCount val="1"/>
                <c:pt idx="0">
                  <c:v>8211.5158323929627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5501-4247-A1D0-671B4C10ECC0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Malay'!$P$57</c:f>
              <c:numCache>
                <c:formatCode>_-* #,##0_-;\-* #,##0_-;_-* "-"??_-;_-@</c:formatCode>
                <c:ptCount val="1"/>
                <c:pt idx="0">
                  <c:v>29839.261527144339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5501-4247-A1D0-671B4C10ECC0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Malay'!$P$58</c:f>
              <c:numCache>
                <c:formatCode>_-* #,##0_-;\-* #,##0_-;_-* "-"??_-;_-@</c:formatCode>
                <c:ptCount val="1"/>
                <c:pt idx="0">
                  <c:v>6346.5619483945184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5501-4247-A1D0-671B4C10ECC0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Malay'!$P$59</c:f>
              <c:numCache>
                <c:formatCode>_-* #,##0_-;\-* #,##0_-;_-* "-"??_-;_-@</c:formatCode>
                <c:ptCount val="1"/>
                <c:pt idx="0">
                  <c:v>-10656.536486736057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5501-4247-A1D0-671B4C10E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3800248"/>
        <c:axId val="1359285063"/>
      </c:barChart>
      <c:catAx>
        <c:axId val="823800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359285063"/>
        <c:crosses val="autoZero"/>
        <c:auto val="1"/>
        <c:lblAlgn val="ctr"/>
        <c:lblOffset val="100"/>
        <c:noMultiLvlLbl val="1"/>
      </c:catAx>
      <c:valAx>
        <c:axId val="13592850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82380024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truck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3667786526684161"/>
          <c:y val="0.1299050076454176"/>
          <c:w val="0.83221102362204724"/>
          <c:h val="0.82942978465521655"/>
        </c:manualLayout>
      </c:layout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Malay'!$R$55</c:f>
              <c:numCache>
                <c:formatCode>0.00</c:formatCode>
                <c:ptCount val="1"/>
                <c:pt idx="0">
                  <c:v>0.23994759667040835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781-4C98-8394-5D29B621ED4E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Malay'!$R$56</c:f>
              <c:numCache>
                <c:formatCode>0.00</c:formatCode>
                <c:ptCount val="1"/>
                <c:pt idx="0">
                  <c:v>2.5588379948125205E-2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1781-4C98-8394-5D29B621ED4E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Malay'!$R$57</c:f>
              <c:numCache>
                <c:formatCode>0.00</c:formatCode>
                <c:ptCount val="1"/>
                <c:pt idx="0">
                  <c:v>9.2983850596259174E-2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1781-4C98-8394-5D29B621ED4E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Malay'!$R$58</c:f>
              <c:numCache>
                <c:formatCode>0.00</c:formatCode>
                <c:ptCount val="1"/>
                <c:pt idx="0">
                  <c:v>1.9776889165725123E-2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1781-4C98-8394-5D29B621ED4E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Malay'!$R$59</c:f>
              <c:numCache>
                <c:formatCode>0.00</c:formatCode>
                <c:ptCount val="1"/>
                <c:pt idx="0">
                  <c:v>-3.3207450380595235E-2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1781-4C98-8394-5D29B621E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97373823"/>
        <c:axId val="1338790185"/>
      </c:barChart>
      <c:catAx>
        <c:axId val="1797373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338790185"/>
        <c:crosses val="autoZero"/>
        <c:auto val="1"/>
        <c:lblAlgn val="ctr"/>
        <c:lblOffset val="100"/>
        <c:noMultiLvlLbl val="1"/>
      </c:catAx>
      <c:valAx>
        <c:axId val="13387901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79737382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truck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Malay'!$P$55</c:f>
              <c:numCache>
                <c:formatCode>_-* #,##0_-;\-* #,##0_-;_-* "-"??_-;_-@</c:formatCode>
                <c:ptCount val="1"/>
                <c:pt idx="0">
                  <c:v>19206.043429648955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A1B-4482-AC66-54E8EEE67001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Malay'!$P$56</c:f>
              <c:numCache>
                <c:formatCode>_-* #,##0_-;\-* #,##0_-;_-* "-"??_-;_-@</c:formatCode>
                <c:ptCount val="1"/>
                <c:pt idx="0">
                  <c:v>18819.196844391598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A1B-4482-AC66-54E8EEE67001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2A1B-4482-AC66-54E8EEE67001}"/>
              </c:ext>
            </c:extLst>
          </c:dPt>
          <c:val>
            <c:numRef>
              <c:f>'ICE-Truck Malay'!$P$57</c:f>
              <c:numCache>
                <c:formatCode>_-* #,##0_-;\-* #,##0_-;_-* "-"??_-;_-@</c:formatCode>
                <c:ptCount val="1"/>
                <c:pt idx="0">
                  <c:v>32622.853784788858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2A1B-4482-AC66-54E8EEE67001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Malay'!$P$58</c:f>
              <c:numCache>
                <c:formatCode>_-* #,##0_-;\-* #,##0_-;_-* "-"??_-;_-@</c:formatCode>
                <c:ptCount val="1"/>
                <c:pt idx="0">
                  <c:v>-3705.9702936466383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2A1B-4482-AC66-54E8EEE67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127506"/>
        <c:axId val="12543190"/>
      </c:barChart>
      <c:catAx>
        <c:axId val="2061275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2543190"/>
        <c:crosses val="autoZero"/>
        <c:auto val="1"/>
        <c:lblAlgn val="ctr"/>
        <c:lblOffset val="100"/>
        <c:noMultiLvlLbl val="1"/>
      </c:catAx>
      <c:valAx>
        <c:axId val="125431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20612750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truck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Malay'!$R$55</c:f>
              <c:numCache>
                <c:formatCode>0.00</c:formatCode>
                <c:ptCount val="1"/>
                <c:pt idx="0">
                  <c:v>5.9849063998557078E-2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AE6-4BE1-B330-651122CCF57C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Malay'!$R$56</c:f>
              <c:numCache>
                <c:formatCode>0.00</c:formatCode>
                <c:ptCount val="1"/>
                <c:pt idx="0">
                  <c:v>5.8643588955063747E-2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8AE6-4BE1-B330-651122CCF57C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Malay'!$R$57</c:f>
              <c:numCache>
                <c:formatCode>0.00</c:formatCode>
                <c:ptCount val="1"/>
                <c:pt idx="0">
                  <c:v>0.10165796360573391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8AE6-4BE1-B330-651122CCF57C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Malay'!$R$58</c:f>
              <c:numCache>
                <c:formatCode>0.00</c:formatCode>
                <c:ptCount val="1"/>
                <c:pt idx="0">
                  <c:v>-1.1548388614950823E-2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8AE6-4BE1-B330-651122CCF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224222"/>
        <c:axId val="1220744039"/>
      </c:barChart>
      <c:catAx>
        <c:axId val="1582242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220744039"/>
        <c:crosses val="autoZero"/>
        <c:auto val="1"/>
        <c:lblAlgn val="ctr"/>
        <c:lblOffset val="100"/>
        <c:noMultiLvlLbl val="1"/>
      </c:catAx>
      <c:valAx>
        <c:axId val="12207440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5822422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cargo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Malay'!$P$55</c:f>
              <c:numCache>
                <c:formatCode>_-* #,##0_-;\-* #,##0_-;_-* "-"??_-;_-@</c:formatCode>
                <c:ptCount val="1"/>
                <c:pt idx="0">
                  <c:v>24023.893260448967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CA4-4FA5-8863-1FBB73215755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Malay'!$P$56</c:f>
              <c:numCache>
                <c:formatCode>_-* #,##0_-;\-* #,##0_-;_-* "-"??_-;_-@</c:formatCode>
                <c:ptCount val="1"/>
                <c:pt idx="0">
                  <c:v>3611.9398923891672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5CA4-4FA5-8863-1FBB73215755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Malay'!$P$57</c:f>
              <c:numCache>
                <c:formatCode>_-* #,##0_-;\-* #,##0_-;_-* "-"??_-;_-@</c:formatCode>
                <c:ptCount val="1"/>
                <c:pt idx="0">
                  <c:v>8556.8133001255428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5CA4-4FA5-8863-1FBB73215755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Malay'!$P$58</c:f>
              <c:numCache>
                <c:formatCode>_-* #,##0_-;\-* #,##0_-;_-* "-"??_-;_-@</c:formatCode>
                <c:ptCount val="1"/>
                <c:pt idx="0">
                  <c:v>2984.8615865465104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5CA4-4FA5-8863-1FBB73215755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Malay'!$P$59</c:f>
              <c:numCache>
                <c:formatCode>_-* #,##0_-;\-* #,##0_-;_-* "-"??_-;_-@</c:formatCode>
                <c:ptCount val="1"/>
                <c:pt idx="0">
                  <c:v>-3546.8287034633045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5CA4-4FA5-8863-1FBB73215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7318070"/>
        <c:axId val="45304887"/>
      </c:barChart>
      <c:catAx>
        <c:axId val="20673180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45304887"/>
        <c:crosses val="autoZero"/>
        <c:auto val="1"/>
        <c:lblAlgn val="ctr"/>
        <c:lblOffset val="100"/>
        <c:noMultiLvlLbl val="1"/>
      </c:catAx>
      <c:valAx>
        <c:axId val="453048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206731807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cargo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3667786526684161"/>
          <c:y val="0.1299050076454176"/>
          <c:w val="0.83221102362204724"/>
          <c:h val="0.82942978465521655"/>
        </c:manualLayout>
      </c:layout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Malay'!$R$55</c:f>
              <c:numCache>
                <c:formatCode>0.00</c:formatCode>
                <c:ptCount val="1"/>
                <c:pt idx="0">
                  <c:v>0.1271980370649069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7D6-4E39-B89A-B7DDB59D3144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Malay'!$R$56</c:f>
              <c:numCache>
                <c:formatCode>0.00</c:formatCode>
                <c:ptCount val="1"/>
                <c:pt idx="0">
                  <c:v>1.9123947119125149E-2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57D6-4E39-B89A-B7DDB59D3144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Malay'!$R$57</c:f>
              <c:numCache>
                <c:formatCode>0.00</c:formatCode>
                <c:ptCount val="1"/>
                <c:pt idx="0">
                  <c:v>4.5305306825464832E-2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57D6-4E39-B89A-B7DDB59D3144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Malay'!$R$58</c:f>
              <c:numCache>
                <c:formatCode>0.00</c:formatCode>
                <c:ptCount val="1"/>
                <c:pt idx="0">
                  <c:v>1.5803788778241703E-2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57D6-4E39-B89A-B7DDB59D3144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Malay'!$R$59</c:f>
              <c:numCache>
                <c:formatCode>0.00</c:formatCode>
                <c:ptCount val="1"/>
                <c:pt idx="0">
                  <c:v>-1.877920635073492E-2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57D6-4E39-B89A-B7DDB59D3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5580328"/>
        <c:axId val="1194249123"/>
      </c:barChart>
      <c:catAx>
        <c:axId val="1195580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194249123"/>
        <c:crosses val="autoZero"/>
        <c:auto val="1"/>
        <c:lblAlgn val="ctr"/>
        <c:lblOffset val="100"/>
        <c:noMultiLvlLbl val="1"/>
      </c:catAx>
      <c:valAx>
        <c:axId val="11942491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19558032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cargo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Malay'!$P$55</c:f>
              <c:numCache>
                <c:formatCode>_-* #,##0_-;\-* #,##0_-;_-* "-"??_-;_-@</c:formatCode>
                <c:ptCount val="1"/>
                <c:pt idx="0">
                  <c:v>9281.5558571832735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8E5-4694-96D5-791A2125DCAE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Malay'!$P$56</c:f>
              <c:numCache>
                <c:formatCode>_-* #,##0_-;\-* #,##0_-;_-* "-"??_-;_-@</c:formatCode>
                <c:ptCount val="1"/>
                <c:pt idx="0">
                  <c:v>4785.3856882362261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F8E5-4694-96D5-791A2125DCAE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F8E5-4694-96D5-791A2125DCAE}"/>
              </c:ext>
            </c:extLst>
          </c:dPt>
          <c:val>
            <c:numRef>
              <c:f>'ICE-Cargo Malay'!$P$57</c:f>
              <c:numCache>
                <c:formatCode>_-* #,##0_-;\-* #,##0_-;_-* "-"??_-;_-@</c:formatCode>
                <c:ptCount val="1"/>
                <c:pt idx="0">
                  <c:v>7037.5333038630779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F8E5-4694-96D5-791A2125DCAE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Malay'!$P$58</c:f>
              <c:numCache>
                <c:formatCode>_-* #,##0_-;\-* #,##0_-;_-* "-"??_-;_-@</c:formatCode>
                <c:ptCount val="1"/>
                <c:pt idx="0">
                  <c:v>-1778.8657409503862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F8E5-4694-96D5-791A2125D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6614184"/>
        <c:axId val="634267222"/>
      </c:barChart>
      <c:catAx>
        <c:axId val="816614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634267222"/>
        <c:crosses val="autoZero"/>
        <c:auto val="1"/>
        <c:lblAlgn val="ctr"/>
        <c:lblOffset val="100"/>
        <c:noMultiLvlLbl val="1"/>
      </c:catAx>
      <c:valAx>
        <c:axId val="6342672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81661418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cargo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Malay'!$R$55</c:f>
              <c:numCache>
                <c:formatCode>0.00</c:formatCode>
                <c:ptCount val="1"/>
                <c:pt idx="0">
                  <c:v>4.914256291196735E-2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677-4BAD-ADA7-B2B2C188B293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Malay'!$R$56</c:f>
              <c:numCache>
                <c:formatCode>0.00</c:formatCode>
                <c:ptCount val="1"/>
                <c:pt idx="0">
                  <c:v>2.5336928512925429E-2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E677-4BAD-ADA7-B2B2C188B293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Malay'!$R$57</c:f>
              <c:numCache>
                <c:formatCode>0.00</c:formatCode>
                <c:ptCount val="1"/>
                <c:pt idx="0">
                  <c:v>3.7261255381283838E-2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E677-4BAD-ADA7-B2B2C188B293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Malay'!$R$58</c:f>
              <c:numCache>
                <c:formatCode>0.00</c:formatCode>
                <c:ptCount val="1"/>
                <c:pt idx="0">
                  <c:v>-9.4184663575495649E-3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E677-4BAD-ADA7-B2B2C188B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47285003"/>
        <c:axId val="963944037"/>
      </c:barChart>
      <c:catAx>
        <c:axId val="17472850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963944037"/>
        <c:crosses val="autoZero"/>
        <c:auto val="1"/>
        <c:lblAlgn val="ctr"/>
        <c:lblOffset val="100"/>
        <c:noMultiLvlLbl val="1"/>
      </c:catAx>
      <c:valAx>
        <c:axId val="9639440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74728500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E-bus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Sensitivity!$C$4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Sensitivity!$C$5:$C$15</c:f>
              <c:numCache>
                <c:formatCode>0</c:formatCode>
                <c:ptCount val="11"/>
                <c:pt idx="0">
                  <c:v>-30.946488750872508</c:v>
                </c:pt>
                <c:pt idx="1">
                  <c:v>-24.757191000698018</c:v>
                </c:pt>
                <c:pt idx="2">
                  <c:v>-18.567893250523518</c:v>
                </c:pt>
                <c:pt idx="3">
                  <c:v>-12.378595500349018</c:v>
                </c:pt>
                <c:pt idx="4">
                  <c:v>-6.1892977501745001</c:v>
                </c:pt>
                <c:pt idx="5">
                  <c:v>0</c:v>
                </c:pt>
                <c:pt idx="6">
                  <c:v>6.1892977501745001</c:v>
                </c:pt>
                <c:pt idx="7">
                  <c:v>12.378595500348981</c:v>
                </c:pt>
                <c:pt idx="8">
                  <c:v>18.567893250523483</c:v>
                </c:pt>
                <c:pt idx="9">
                  <c:v>24.757191000697944</c:v>
                </c:pt>
                <c:pt idx="10">
                  <c:v>30.946488750872465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F7-4FAF-9DEE-F88BF7398145}"/>
            </c:ext>
          </c:extLst>
        </c:ser>
        <c:ser>
          <c:idx val="2"/>
          <c:order val="1"/>
          <c:tx>
            <c:strRef>
              <c:f>Sensitivity!$D$4</c:f>
              <c:strCache>
                <c:ptCount val="1"/>
                <c:pt idx="0">
                  <c:v>Electricity tarrif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Sensitivity!$D$5:$D$15</c:f>
              <c:numCache>
                <c:formatCode>0</c:formatCode>
                <c:ptCount val="11"/>
                <c:pt idx="0">
                  <c:v>-6.2484172247398808</c:v>
                </c:pt>
                <c:pt idx="1">
                  <c:v>-4.9987337797919196</c:v>
                </c:pt>
                <c:pt idx="2">
                  <c:v>-3.749050334843921</c:v>
                </c:pt>
                <c:pt idx="3">
                  <c:v>-2.4993668898959598</c:v>
                </c:pt>
                <c:pt idx="4">
                  <c:v>-1.2496834449480365</c:v>
                </c:pt>
                <c:pt idx="5">
                  <c:v>0</c:v>
                </c:pt>
                <c:pt idx="6">
                  <c:v>1.249683444947961</c:v>
                </c:pt>
                <c:pt idx="7">
                  <c:v>2.4993668898959034</c:v>
                </c:pt>
                <c:pt idx="8">
                  <c:v>3.7490503348439024</c:v>
                </c:pt>
                <c:pt idx="9">
                  <c:v>4.9987337797918636</c:v>
                </c:pt>
                <c:pt idx="10">
                  <c:v>6.2484172247398053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F7-4FAF-9DEE-F88BF7398145}"/>
            </c:ext>
          </c:extLst>
        </c:ser>
        <c:ser>
          <c:idx val="3"/>
          <c:order val="2"/>
          <c:tx>
            <c:strRef>
              <c:f>Sensitivity!$E$4</c:f>
              <c:strCache>
                <c:ptCount val="1"/>
                <c:pt idx="0">
                  <c:v>Battery cost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Sensitivity!$E$5:$E$15</c:f>
              <c:numCache>
                <c:formatCode>0</c:formatCode>
                <c:ptCount val="11"/>
                <c:pt idx="0">
                  <c:v>-3.6248705070488891</c:v>
                </c:pt>
                <c:pt idx="1">
                  <c:v>-2.899896405639145</c:v>
                </c:pt>
                <c:pt idx="2">
                  <c:v>-2.1749223042293258</c:v>
                </c:pt>
                <c:pt idx="3">
                  <c:v>-1.4499482028195632</c:v>
                </c:pt>
                <c:pt idx="4">
                  <c:v>-0.72497410140980034</c:v>
                </c:pt>
                <c:pt idx="5">
                  <c:v>0</c:v>
                </c:pt>
                <c:pt idx="6">
                  <c:v>0.72497410140976271</c:v>
                </c:pt>
                <c:pt idx="7">
                  <c:v>1.4499482028195443</c:v>
                </c:pt>
                <c:pt idx="8">
                  <c:v>2.1749223042293071</c:v>
                </c:pt>
                <c:pt idx="9">
                  <c:v>2.8998964056391072</c:v>
                </c:pt>
                <c:pt idx="10">
                  <c:v>3.6248705070488891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F7-4FAF-9DEE-F88BF7398145}"/>
            </c:ext>
          </c:extLst>
        </c:ser>
        <c:ser>
          <c:idx val="4"/>
          <c:order val="3"/>
          <c:tx>
            <c:strRef>
              <c:f>Sensitivity!$F$4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Sensitivity!$F$5:$F$15</c:f>
              <c:numCache>
                <c:formatCode>0</c:formatCode>
                <c:ptCount val="11"/>
                <c:pt idx="0">
                  <c:v>-18.928574002653335</c:v>
                </c:pt>
                <c:pt idx="1">
                  <c:v>-15.142859202122686</c:v>
                </c:pt>
                <c:pt idx="2">
                  <c:v>-11.357144401591992</c:v>
                </c:pt>
                <c:pt idx="3">
                  <c:v>-7.571429601061352</c:v>
                </c:pt>
                <c:pt idx="4">
                  <c:v>-3.7857148005306951</c:v>
                </c:pt>
                <c:pt idx="5">
                  <c:v>0</c:v>
                </c:pt>
                <c:pt idx="6">
                  <c:v>3.78571480053062</c:v>
                </c:pt>
                <c:pt idx="7">
                  <c:v>7.5714296010612774</c:v>
                </c:pt>
                <c:pt idx="8">
                  <c:v>11.357144401591954</c:v>
                </c:pt>
                <c:pt idx="9">
                  <c:v>15.14285920212261</c:v>
                </c:pt>
                <c:pt idx="10">
                  <c:v>22.287403913637053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F7-4FAF-9DEE-F88BF7398145}"/>
            </c:ext>
          </c:extLst>
        </c:ser>
        <c:ser>
          <c:idx val="5"/>
          <c:order val="4"/>
          <c:tx>
            <c:strRef>
              <c:f>Sensitivity!$G$4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Sensitivity!$G$5:$G$15</c:f>
              <c:numCache>
                <c:formatCode>0</c:formatCode>
                <c:ptCount val="11"/>
                <c:pt idx="0">
                  <c:v>-12.680156777913481</c:v>
                </c:pt>
                <c:pt idx="1">
                  <c:v>-10.144125422330784</c:v>
                </c:pt>
                <c:pt idx="2">
                  <c:v>-7.6080940667480892</c:v>
                </c:pt>
                <c:pt idx="3">
                  <c:v>-5.0720627111654117</c:v>
                </c:pt>
                <c:pt idx="4">
                  <c:v>-2.5360313555826961</c:v>
                </c:pt>
                <c:pt idx="5">
                  <c:v>0</c:v>
                </c:pt>
                <c:pt idx="6">
                  <c:v>2.5360313555826774</c:v>
                </c:pt>
                <c:pt idx="7">
                  <c:v>5.0720627111653735</c:v>
                </c:pt>
                <c:pt idx="8">
                  <c:v>7.6080940667480705</c:v>
                </c:pt>
                <c:pt idx="9">
                  <c:v>10.144125422330767</c:v>
                </c:pt>
                <c:pt idx="10">
                  <c:v>12.680156777913462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F7-4FAF-9DEE-F88BF7398145}"/>
            </c:ext>
          </c:extLst>
        </c:ser>
        <c:ser>
          <c:idx val="0"/>
          <c:order val="5"/>
          <c:tx>
            <c:strRef>
              <c:f>Sensitivity!$H$4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Sensitivity!$H$5:$H$15</c:f>
              <c:numCache>
                <c:formatCode>0</c:formatCode>
                <c:ptCount val="11"/>
                <c:pt idx="0">
                  <c:v>6.2484172247398053</c:v>
                </c:pt>
                <c:pt idx="1">
                  <c:v>4.9987337797918636</c:v>
                </c:pt>
                <c:pt idx="2">
                  <c:v>3.7490503348439024</c:v>
                </c:pt>
                <c:pt idx="3">
                  <c:v>2.4993668898959034</c:v>
                </c:pt>
                <c:pt idx="4">
                  <c:v>1.249683444947961</c:v>
                </c:pt>
                <c:pt idx="5">
                  <c:v>0</c:v>
                </c:pt>
                <c:pt idx="6">
                  <c:v>-1.2496834449480365</c:v>
                </c:pt>
                <c:pt idx="7">
                  <c:v>-2.4993668898959598</c:v>
                </c:pt>
                <c:pt idx="8">
                  <c:v>-3.749050334843921</c:v>
                </c:pt>
                <c:pt idx="9">
                  <c:v>-4.9987337797919196</c:v>
                </c:pt>
                <c:pt idx="10">
                  <c:v>-6.2484172247398808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F7-4FAF-9DEE-F88BF7398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89275070103599"/>
              <c:y val="0.484194553802959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2798793642239705"/>
              <c:y val="9.691319224969896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5037360035678544"/>
          <c:w val="0.93649009886074819"/>
          <c:h val="0.1199632590961503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E-truck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Sensitivity!$C$19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Sensitivity!$C$20:$C$30</c:f>
              <c:numCache>
                <c:formatCode>0</c:formatCode>
                <c:ptCount val="11"/>
                <c:pt idx="0">
                  <c:v>-34.766018580024785</c:v>
                </c:pt>
                <c:pt idx="1">
                  <c:v>-27.812814864019835</c:v>
                </c:pt>
                <c:pt idx="2">
                  <c:v>-20.859611148014885</c:v>
                </c:pt>
                <c:pt idx="3">
                  <c:v>-13.906407432009903</c:v>
                </c:pt>
                <c:pt idx="4">
                  <c:v>-6.9532037160049516</c:v>
                </c:pt>
                <c:pt idx="5">
                  <c:v>0</c:v>
                </c:pt>
                <c:pt idx="6">
                  <c:v>6.9532037160049516</c:v>
                </c:pt>
                <c:pt idx="7">
                  <c:v>13.906407432009903</c:v>
                </c:pt>
                <c:pt idx="8">
                  <c:v>20.859611148014856</c:v>
                </c:pt>
                <c:pt idx="9">
                  <c:v>27.812814864019781</c:v>
                </c:pt>
                <c:pt idx="10">
                  <c:v>34.766018580024785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54-4220-8A1C-6BCF18F66C02}"/>
            </c:ext>
          </c:extLst>
        </c:ser>
        <c:ser>
          <c:idx val="2"/>
          <c:order val="1"/>
          <c:tx>
            <c:strRef>
              <c:f>Sensitivity!$D$19</c:f>
              <c:strCache>
                <c:ptCount val="1"/>
                <c:pt idx="0">
                  <c:v>Electricity tarrif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Sensitivity!$D$20:$D$30</c:f>
              <c:numCache>
                <c:formatCode>0</c:formatCode>
                <c:ptCount val="11"/>
                <c:pt idx="0">
                  <c:v>-3.7075015755678336</c:v>
                </c:pt>
                <c:pt idx="1">
                  <c:v>-2.9660012604542851</c:v>
                </c:pt>
                <c:pt idx="2">
                  <c:v>-2.2245009453407238</c:v>
                </c:pt>
                <c:pt idx="3">
                  <c:v>-1.483000630227123</c:v>
                </c:pt>
                <c:pt idx="4">
                  <c:v>-0.74150031511357462</c:v>
                </c:pt>
                <c:pt idx="5">
                  <c:v>0</c:v>
                </c:pt>
                <c:pt idx="6">
                  <c:v>0.7415003151135483</c:v>
                </c:pt>
                <c:pt idx="7">
                  <c:v>1.4830006302271099</c:v>
                </c:pt>
                <c:pt idx="8">
                  <c:v>2.2245009453406848</c:v>
                </c:pt>
                <c:pt idx="9">
                  <c:v>2.9660012604542461</c:v>
                </c:pt>
                <c:pt idx="10">
                  <c:v>3.7075015755678336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54-4220-8A1C-6BCF18F66C02}"/>
            </c:ext>
          </c:extLst>
        </c:ser>
        <c:ser>
          <c:idx val="3"/>
          <c:order val="2"/>
          <c:tx>
            <c:strRef>
              <c:f>Sensitivity!$E$19</c:f>
              <c:strCache>
                <c:ptCount val="1"/>
                <c:pt idx="0">
                  <c:v>Battery cost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Sensitivity!$E$20:$E$30</c:f>
              <c:numCache>
                <c:formatCode>0</c:formatCode>
                <c:ptCount val="11"/>
                <c:pt idx="0">
                  <c:v>-5.823401105322775</c:v>
                </c:pt>
                <c:pt idx="1">
                  <c:v>-4.6587208842582255</c:v>
                </c:pt>
                <c:pt idx="2">
                  <c:v>-3.4940406631936498</c:v>
                </c:pt>
                <c:pt idx="3">
                  <c:v>-2.3293604421291256</c:v>
                </c:pt>
                <c:pt idx="4">
                  <c:v>-1.1646802210645499</c:v>
                </c:pt>
                <c:pt idx="5">
                  <c:v>0</c:v>
                </c:pt>
                <c:pt idx="6">
                  <c:v>1.1646802210645499</c:v>
                </c:pt>
                <c:pt idx="7">
                  <c:v>2.3293604421290732</c:v>
                </c:pt>
                <c:pt idx="8">
                  <c:v>3.4940406631936498</c:v>
                </c:pt>
                <c:pt idx="9">
                  <c:v>4.6587208842581731</c:v>
                </c:pt>
                <c:pt idx="10">
                  <c:v>5.8234011053227484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54-4220-8A1C-6BCF18F66C02}"/>
            </c:ext>
          </c:extLst>
        </c:ser>
        <c:ser>
          <c:idx val="4"/>
          <c:order val="3"/>
          <c:tx>
            <c:strRef>
              <c:f>Sensitivity!$F$19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Sensitivity!$F$20:$F$30</c:f>
              <c:numCache>
                <c:formatCode>0</c:formatCode>
                <c:ptCount val="11"/>
                <c:pt idx="0">
                  <c:v>-16.151265605391131</c:v>
                </c:pt>
                <c:pt idx="1">
                  <c:v>-9.3523364805844924</c:v>
                </c:pt>
                <c:pt idx="2">
                  <c:v>-7.0325298322543572</c:v>
                </c:pt>
                <c:pt idx="3">
                  <c:v>-4.7009360195125112</c:v>
                </c:pt>
                <c:pt idx="4">
                  <c:v>-2.3569656841382436</c:v>
                </c:pt>
                <c:pt idx="5">
                  <c:v>0</c:v>
                </c:pt>
                <c:pt idx="6">
                  <c:v>2.0840633600944898</c:v>
                </c:pt>
                <c:pt idx="7">
                  <c:v>9.1695399251470491</c:v>
                </c:pt>
                <c:pt idx="8">
                  <c:v>11.253603285241551</c:v>
                </c:pt>
                <c:pt idx="9">
                  <c:v>13.337666645336055</c:v>
                </c:pt>
                <c:pt idx="10">
                  <c:v>16.205878558571769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54-4220-8A1C-6BCF18F66C02}"/>
            </c:ext>
          </c:extLst>
        </c:ser>
        <c:ser>
          <c:idx val="5"/>
          <c:order val="4"/>
          <c:tx>
            <c:strRef>
              <c:f>Sensitivity!$G$19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Sensitivity!$G$20:$G$30</c:f>
              <c:numCache>
                <c:formatCode>0</c:formatCode>
                <c:ptCount val="11"/>
                <c:pt idx="0">
                  <c:v>-6.7128152249046291</c:v>
                </c:pt>
                <c:pt idx="1">
                  <c:v>-5.370252179923714</c:v>
                </c:pt>
                <c:pt idx="2">
                  <c:v>-4.0276891349427846</c:v>
                </c:pt>
                <c:pt idx="3">
                  <c:v>-2.6851260899618703</c:v>
                </c:pt>
                <c:pt idx="4">
                  <c:v>-1.3425630449809547</c:v>
                </c:pt>
                <c:pt idx="5">
                  <c:v>0</c:v>
                </c:pt>
                <c:pt idx="6">
                  <c:v>1.3425630449809285</c:v>
                </c:pt>
                <c:pt idx="7">
                  <c:v>2.6851260899618437</c:v>
                </c:pt>
                <c:pt idx="8">
                  <c:v>4.0276891349427597</c:v>
                </c:pt>
                <c:pt idx="9">
                  <c:v>5.370252179923674</c:v>
                </c:pt>
                <c:pt idx="10">
                  <c:v>6.7128152249046291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54-4220-8A1C-6BCF18F66C02}"/>
            </c:ext>
          </c:extLst>
        </c:ser>
        <c:ser>
          <c:idx val="0"/>
          <c:order val="5"/>
          <c:tx>
            <c:strRef>
              <c:f>Sensitivity!$H$19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Sensitivity!$H$20:$H$30</c:f>
              <c:numCache>
                <c:formatCode>0</c:formatCode>
                <c:ptCount val="11"/>
                <c:pt idx="0">
                  <c:v>3.7075015755678336</c:v>
                </c:pt>
                <c:pt idx="1">
                  <c:v>2.9660012604542461</c:v>
                </c:pt>
                <c:pt idx="2">
                  <c:v>2.2245009453406848</c:v>
                </c:pt>
                <c:pt idx="3">
                  <c:v>1.4830006302271099</c:v>
                </c:pt>
                <c:pt idx="4">
                  <c:v>0.7415003151135483</c:v>
                </c:pt>
                <c:pt idx="5">
                  <c:v>0</c:v>
                </c:pt>
                <c:pt idx="6">
                  <c:v>-0.74150031511357462</c:v>
                </c:pt>
                <c:pt idx="7">
                  <c:v>-1.483000630227123</c:v>
                </c:pt>
                <c:pt idx="8">
                  <c:v>-2.2245009453407238</c:v>
                </c:pt>
                <c:pt idx="9">
                  <c:v>-2.9660012604542851</c:v>
                </c:pt>
                <c:pt idx="10">
                  <c:v>-3.7075015755678336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54-4220-8A1C-6BCF18F66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2575371243996611"/>
              <c:y val="0.48534828107634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2537078366796508"/>
              <c:y val="6.82559211348581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4045314648168978"/>
          <c:w val="0.93649009886074819"/>
          <c:h val="0.1298837645294338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E-</a:t>
            </a:r>
            <a:r>
              <a:rPr lang="en-US"/>
              <a:t>van</a:t>
            </a:r>
            <a:endParaRPr lang="id-ID"/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Sensitivity!$C$34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Sensitivity!$C$35:$C$45</c:f>
              <c:numCache>
                <c:formatCode>0</c:formatCode>
                <c:ptCount val="11"/>
                <c:pt idx="0">
                  <c:v>-33.712370502215549</c:v>
                </c:pt>
                <c:pt idx="1">
                  <c:v>-26.969896401772438</c:v>
                </c:pt>
                <c:pt idx="2">
                  <c:v>-20.22742230132932</c:v>
                </c:pt>
                <c:pt idx="3">
                  <c:v>-13.484948200886196</c:v>
                </c:pt>
                <c:pt idx="4">
                  <c:v>-6.742474100443073</c:v>
                </c:pt>
                <c:pt idx="5">
                  <c:v>0</c:v>
                </c:pt>
                <c:pt idx="6">
                  <c:v>6.742474100443113</c:v>
                </c:pt>
                <c:pt idx="7">
                  <c:v>13.484948200886226</c:v>
                </c:pt>
                <c:pt idx="8">
                  <c:v>20.227422301329341</c:v>
                </c:pt>
                <c:pt idx="9">
                  <c:v>26.969896401772413</c:v>
                </c:pt>
                <c:pt idx="10">
                  <c:v>33.712370502215563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27-49C3-A949-763AF1C98BD6}"/>
            </c:ext>
          </c:extLst>
        </c:ser>
        <c:ser>
          <c:idx val="2"/>
          <c:order val="1"/>
          <c:tx>
            <c:strRef>
              <c:f>Sensitivity!$D$34</c:f>
              <c:strCache>
                <c:ptCount val="1"/>
                <c:pt idx="0">
                  <c:v>Electricity tarrif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Sensitivity!$D$35:$D$45</c:f>
              <c:numCache>
                <c:formatCode>0</c:formatCode>
                <c:ptCount val="11"/>
                <c:pt idx="0">
                  <c:v>-5.0685812896290008</c:v>
                </c:pt>
                <c:pt idx="1">
                  <c:v>-4.054865031703188</c:v>
                </c:pt>
                <c:pt idx="2">
                  <c:v>-3.0411487737773757</c:v>
                </c:pt>
                <c:pt idx="3">
                  <c:v>-2.0274325158515838</c:v>
                </c:pt>
                <c:pt idx="4">
                  <c:v>-1.0137162579257513</c:v>
                </c:pt>
                <c:pt idx="5">
                  <c:v>0</c:v>
                </c:pt>
                <c:pt idx="6">
                  <c:v>1.0137162579258123</c:v>
                </c:pt>
                <c:pt idx="7">
                  <c:v>2.0274325158516247</c:v>
                </c:pt>
                <c:pt idx="8">
                  <c:v>3.0411487737774165</c:v>
                </c:pt>
                <c:pt idx="9">
                  <c:v>4.0548650317032493</c:v>
                </c:pt>
                <c:pt idx="10">
                  <c:v>5.0685812896290212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27-49C3-A949-763AF1C98BD6}"/>
            </c:ext>
          </c:extLst>
        </c:ser>
        <c:ser>
          <c:idx val="3"/>
          <c:order val="2"/>
          <c:tx>
            <c:strRef>
              <c:f>Sensitivity!$E$34</c:f>
              <c:strCache>
                <c:ptCount val="1"/>
                <c:pt idx="0">
                  <c:v>Battery cost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Sensitivity!$E$35:$E$45</c:f>
              <c:numCache>
                <c:formatCode>0</c:formatCode>
                <c:ptCount val="11"/>
                <c:pt idx="0">
                  <c:v>-9.3848831147439977</c:v>
                </c:pt>
                <c:pt idx="1">
                  <c:v>-7.5079064917951825</c:v>
                </c:pt>
                <c:pt idx="2">
                  <c:v>-5.6309298688463967</c:v>
                </c:pt>
                <c:pt idx="3">
                  <c:v>-3.7539532458976113</c:v>
                </c:pt>
                <c:pt idx="4">
                  <c:v>-1.8769766229487852</c:v>
                </c:pt>
                <c:pt idx="5">
                  <c:v>0</c:v>
                </c:pt>
                <c:pt idx="6">
                  <c:v>1.8769766229488263</c:v>
                </c:pt>
                <c:pt idx="7">
                  <c:v>3.7539532458976113</c:v>
                </c:pt>
                <c:pt idx="8">
                  <c:v>5.6309298688463967</c:v>
                </c:pt>
                <c:pt idx="9">
                  <c:v>7.5079064917952225</c:v>
                </c:pt>
                <c:pt idx="10">
                  <c:v>9.3848831147440084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27-49C3-A949-763AF1C98BD6}"/>
            </c:ext>
          </c:extLst>
        </c:ser>
        <c:ser>
          <c:idx val="4"/>
          <c:order val="3"/>
          <c:tx>
            <c:strRef>
              <c:f>Sensitivity!$F$34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Sensitivity!$F$35:$F$45</c:f>
              <c:numCache>
                <c:formatCode>0</c:formatCode>
                <c:ptCount val="11"/>
                <c:pt idx="0">
                  <c:v>-18.541730695465354</c:v>
                </c:pt>
                <c:pt idx="1">
                  <c:v>-16.508829224937319</c:v>
                </c:pt>
                <c:pt idx="2">
                  <c:v>-14.475927754409263</c:v>
                </c:pt>
                <c:pt idx="3">
                  <c:v>-4.8446377643118819</c:v>
                </c:pt>
                <c:pt idx="4">
                  <c:v>-2.4318168678054151</c:v>
                </c:pt>
                <c:pt idx="5">
                  <c:v>0</c:v>
                </c:pt>
                <c:pt idx="6">
                  <c:v>2.4517626376693311</c:v>
                </c:pt>
                <c:pt idx="7">
                  <c:v>4.4846641081973679</c:v>
                </c:pt>
                <c:pt idx="8">
                  <c:v>6.9573698042236938</c:v>
                </c:pt>
                <c:pt idx="9">
                  <c:v>8.9902712747517519</c:v>
                </c:pt>
                <c:pt idx="10">
                  <c:v>19.083355701622327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27-49C3-A949-763AF1C98BD6}"/>
            </c:ext>
          </c:extLst>
        </c:ser>
        <c:ser>
          <c:idx val="5"/>
          <c:order val="4"/>
          <c:tx>
            <c:strRef>
              <c:f>Sensitivity!$G$34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Sensitivity!$G$35:$G$45</c:f>
              <c:numCache>
                <c:formatCode>0</c:formatCode>
                <c:ptCount val="11"/>
                <c:pt idx="0">
                  <c:v>-5.0959260630111221</c:v>
                </c:pt>
                <c:pt idx="1">
                  <c:v>-4.0767408504088971</c:v>
                </c:pt>
                <c:pt idx="2">
                  <c:v>-3.0575556378066526</c:v>
                </c:pt>
                <c:pt idx="3">
                  <c:v>-2.0383704252044286</c:v>
                </c:pt>
                <c:pt idx="4">
                  <c:v>-1.0191852126022038</c:v>
                </c:pt>
                <c:pt idx="5">
                  <c:v>0</c:v>
                </c:pt>
                <c:pt idx="6">
                  <c:v>1.0191852126022447</c:v>
                </c:pt>
                <c:pt idx="7">
                  <c:v>2.038370425204469</c:v>
                </c:pt>
                <c:pt idx="8">
                  <c:v>3.0575556378067343</c:v>
                </c:pt>
                <c:pt idx="9">
                  <c:v>4.076740850408938</c:v>
                </c:pt>
                <c:pt idx="10">
                  <c:v>5.0959260630112029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27-49C3-A949-763AF1C98BD6}"/>
            </c:ext>
          </c:extLst>
        </c:ser>
        <c:ser>
          <c:idx val="0"/>
          <c:order val="5"/>
          <c:tx>
            <c:strRef>
              <c:f>Sensitivity!$H$34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Sensitivity!$H$35:$H$45</c:f>
              <c:numCache>
                <c:formatCode>0</c:formatCode>
                <c:ptCount val="11"/>
                <c:pt idx="0">
                  <c:v>5.0685812896290212</c:v>
                </c:pt>
                <c:pt idx="1">
                  <c:v>4.0548650317032493</c:v>
                </c:pt>
                <c:pt idx="2">
                  <c:v>3.0411487737773961</c:v>
                </c:pt>
                <c:pt idx="3">
                  <c:v>2.0274325158516247</c:v>
                </c:pt>
                <c:pt idx="4">
                  <c:v>1.0137162579258123</c:v>
                </c:pt>
                <c:pt idx="5">
                  <c:v>0</c:v>
                </c:pt>
                <c:pt idx="6">
                  <c:v>-1.0137162579257513</c:v>
                </c:pt>
                <c:pt idx="7">
                  <c:v>-2.0274325158515838</c:v>
                </c:pt>
                <c:pt idx="8">
                  <c:v>-3.0411487737773757</c:v>
                </c:pt>
                <c:pt idx="9">
                  <c:v>-4.054865031703188</c:v>
                </c:pt>
                <c:pt idx="10">
                  <c:v>-5.0685812896290008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327-49C3-A949-763AF1C98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688876220583397"/>
              <c:y val="0.50351757868330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2531261858585176"/>
              <c:y val="6.634176592546905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5037360035678544"/>
          <c:w val="0.93649009886074819"/>
          <c:h val="0.1199632590961503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ICE-bus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140144195932564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Sensitivity!$P$4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Sensitivity!$P$5:$P$15</c:f>
              <c:numCache>
                <c:formatCode>0</c:formatCode>
                <c:ptCount val="11"/>
                <c:pt idx="0">
                  <c:v>-25.300418146249825</c:v>
                </c:pt>
                <c:pt idx="1">
                  <c:v>-20.240334516999852</c:v>
                </c:pt>
                <c:pt idx="2">
                  <c:v>-15.180250887749883</c:v>
                </c:pt>
                <c:pt idx="3">
                  <c:v>-10.120167258499912</c:v>
                </c:pt>
                <c:pt idx="4">
                  <c:v>-5.0600836292499709</c:v>
                </c:pt>
                <c:pt idx="5">
                  <c:v>0</c:v>
                </c:pt>
                <c:pt idx="6">
                  <c:v>5.0600836292499416</c:v>
                </c:pt>
                <c:pt idx="7">
                  <c:v>10.120167258499912</c:v>
                </c:pt>
                <c:pt idx="8">
                  <c:v>15.180250887749883</c:v>
                </c:pt>
                <c:pt idx="9">
                  <c:v>20.240334516999823</c:v>
                </c:pt>
                <c:pt idx="10">
                  <c:v>25.300418146249793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89-4696-A2B8-BAAE835C15C6}"/>
            </c:ext>
          </c:extLst>
        </c:ser>
        <c:ser>
          <c:idx val="2"/>
          <c:order val="1"/>
          <c:tx>
            <c:strRef>
              <c:f>Sensitivity!$Q$4</c:f>
              <c:strCache>
                <c:ptCount val="1"/>
                <c:pt idx="0">
                  <c:v>Fuel price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Sensitivity!$Q$5:$Q$15</c:f>
              <c:numCache>
                <c:formatCode>0</c:formatCode>
                <c:ptCount val="11"/>
                <c:pt idx="0">
                  <c:v>-13.090182437646348</c:v>
                </c:pt>
                <c:pt idx="1">
                  <c:v>-10.472145950117079</c:v>
                </c:pt>
                <c:pt idx="2">
                  <c:v>-7.8541094625877976</c:v>
                </c:pt>
                <c:pt idx="3">
                  <c:v>-5.2360729750585469</c:v>
                </c:pt>
                <c:pt idx="4">
                  <c:v>-2.618036487529281</c:v>
                </c:pt>
                <c:pt idx="5">
                  <c:v>0</c:v>
                </c:pt>
                <c:pt idx="6">
                  <c:v>2.6180364875292224</c:v>
                </c:pt>
                <c:pt idx="7">
                  <c:v>5.2360729750585033</c:v>
                </c:pt>
                <c:pt idx="8">
                  <c:v>7.854109462587755</c:v>
                </c:pt>
                <c:pt idx="9">
                  <c:v>10.472145950117021</c:v>
                </c:pt>
                <c:pt idx="10">
                  <c:v>13.090182437646302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89-4696-A2B8-BAAE835C15C6}"/>
            </c:ext>
          </c:extLst>
        </c:ser>
        <c:ser>
          <c:idx val="3"/>
          <c:order val="2"/>
          <c:tx>
            <c:strRef>
              <c:f>Sensitivity!$R$4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rgbClr val="5B9BD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5B9BD5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Sensitivity!$R$5:$R$15</c:f>
              <c:numCache>
                <c:formatCode>0</c:formatCode>
                <c:ptCount val="11"/>
                <c:pt idx="0">
                  <c:v>-11.706505811049997</c:v>
                </c:pt>
                <c:pt idx="1">
                  <c:v>-9.3652046488399634</c:v>
                </c:pt>
                <c:pt idx="2">
                  <c:v>-7.0239034866300161</c:v>
                </c:pt>
                <c:pt idx="3">
                  <c:v>-4.6826023244199959</c:v>
                </c:pt>
                <c:pt idx="4">
                  <c:v>-2.3413011622100344</c:v>
                </c:pt>
                <c:pt idx="5">
                  <c:v>0</c:v>
                </c:pt>
                <c:pt idx="6">
                  <c:v>2.3413011622099762</c:v>
                </c:pt>
                <c:pt idx="7">
                  <c:v>4.6826023244199666</c:v>
                </c:pt>
                <c:pt idx="8">
                  <c:v>7.0239034866299423</c:v>
                </c:pt>
                <c:pt idx="9">
                  <c:v>9.3652046488399474</c:v>
                </c:pt>
                <c:pt idx="10">
                  <c:v>11.706505811049924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89-4696-A2B8-BAAE835C15C6}"/>
            </c:ext>
          </c:extLst>
        </c:ser>
        <c:ser>
          <c:idx val="4"/>
          <c:order val="3"/>
          <c:tx>
            <c:strRef>
              <c:f>Sensitivity!$S$4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Sensitivity!$S$5:$S$15</c:f>
              <c:numCache>
                <c:formatCode>0</c:formatCode>
                <c:ptCount val="11"/>
                <c:pt idx="0">
                  <c:v>-24.796688248696313</c:v>
                </c:pt>
                <c:pt idx="1">
                  <c:v>-19.837350598957045</c:v>
                </c:pt>
                <c:pt idx="2">
                  <c:v>-14.878012949217814</c:v>
                </c:pt>
                <c:pt idx="3">
                  <c:v>-9.9186752994785277</c:v>
                </c:pt>
                <c:pt idx="4">
                  <c:v>-4.9593376497393011</c:v>
                </c:pt>
                <c:pt idx="5">
                  <c:v>0</c:v>
                </c:pt>
                <c:pt idx="6">
                  <c:v>4.9593376497392416</c:v>
                </c:pt>
                <c:pt idx="7">
                  <c:v>9.9186752994784833</c:v>
                </c:pt>
                <c:pt idx="8">
                  <c:v>14.878012949217755</c:v>
                </c:pt>
                <c:pt idx="9">
                  <c:v>19.837350598956984</c:v>
                </c:pt>
                <c:pt idx="10">
                  <c:v>24.796688248696242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89-4696-A2B8-BAAE835C15C6}"/>
            </c:ext>
          </c:extLst>
        </c:ser>
        <c:ser>
          <c:idx val="5"/>
          <c:order val="4"/>
          <c:tx>
            <c:strRef>
              <c:f>Sensitivity!$T$4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Sensitivity!$T$5:$T$15</c:f>
              <c:numCache>
                <c:formatCode>0</c:formatCode>
                <c:ptCount val="11"/>
                <c:pt idx="0">
                  <c:v>13.090182437646302</c:v>
                </c:pt>
                <c:pt idx="1">
                  <c:v>10.472145950117021</c:v>
                </c:pt>
                <c:pt idx="2">
                  <c:v>7.854109462587755</c:v>
                </c:pt>
                <c:pt idx="3">
                  <c:v>5.2360729750585033</c:v>
                </c:pt>
                <c:pt idx="4">
                  <c:v>2.6180364875292224</c:v>
                </c:pt>
                <c:pt idx="5">
                  <c:v>0</c:v>
                </c:pt>
                <c:pt idx="6">
                  <c:v>-2.618036487529281</c:v>
                </c:pt>
                <c:pt idx="7">
                  <c:v>-5.2360729750585469</c:v>
                </c:pt>
                <c:pt idx="8">
                  <c:v>-7.8541094625877976</c:v>
                </c:pt>
                <c:pt idx="9">
                  <c:v>-10.472145950117079</c:v>
                </c:pt>
                <c:pt idx="10">
                  <c:v>-13.090182437646348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89-4696-A2B8-BAAE835C1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017322242378667"/>
              <c:y val="0.44719021196936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3335261534572731"/>
              <c:y val="6.337712713547610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050823694356817E-2"/>
          <c:y val="0.85681146643479378"/>
          <c:w val="0.94665685519593967"/>
          <c:h val="0.1302926187140717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ICE-truck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140144195932564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Sensitivity!$P$19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Sensitivity!$P$20:$P$30</c:f>
              <c:numCache>
                <c:formatCode>0</c:formatCode>
                <c:ptCount val="11"/>
                <c:pt idx="0">
                  <c:v>-14.321076236590152</c:v>
                </c:pt>
                <c:pt idx="1">
                  <c:v>-11.456860989272124</c:v>
                </c:pt>
                <c:pt idx="2">
                  <c:v>-8.5926457419540956</c:v>
                </c:pt>
                <c:pt idx="3">
                  <c:v>-5.7284304946360454</c:v>
                </c:pt>
                <c:pt idx="4">
                  <c:v>-2.8642152473180174</c:v>
                </c:pt>
                <c:pt idx="5">
                  <c:v>0</c:v>
                </c:pt>
                <c:pt idx="6">
                  <c:v>2.8642152473180391</c:v>
                </c:pt>
                <c:pt idx="7">
                  <c:v>5.7284304946360782</c:v>
                </c:pt>
                <c:pt idx="8">
                  <c:v>8.5926457419541169</c:v>
                </c:pt>
                <c:pt idx="9">
                  <c:v>11.456860989272156</c:v>
                </c:pt>
                <c:pt idx="10">
                  <c:v>14.321076236590175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8B-4794-BE78-19F65A8299C8}"/>
            </c:ext>
          </c:extLst>
        </c:ser>
        <c:ser>
          <c:idx val="2"/>
          <c:order val="1"/>
          <c:tx>
            <c:strRef>
              <c:f>Sensitivity!$Q$19</c:f>
              <c:strCache>
                <c:ptCount val="1"/>
                <c:pt idx="0">
                  <c:v>Fuel price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Sensitivity!$Q$20:$Q$30</c:f>
              <c:numCache>
                <c:formatCode>0</c:formatCode>
                <c:ptCount val="11"/>
                <c:pt idx="0">
                  <c:v>-14.056318940824827</c:v>
                </c:pt>
                <c:pt idx="1">
                  <c:v>-11.245055152659877</c:v>
                </c:pt>
                <c:pt idx="2">
                  <c:v>-8.4337913644949012</c:v>
                </c:pt>
                <c:pt idx="3">
                  <c:v>-5.6225275763299267</c:v>
                </c:pt>
                <c:pt idx="4">
                  <c:v>-2.8112637881649851</c:v>
                </c:pt>
                <c:pt idx="5">
                  <c:v>0</c:v>
                </c:pt>
                <c:pt idx="6">
                  <c:v>2.8112637881649634</c:v>
                </c:pt>
                <c:pt idx="7">
                  <c:v>5.6225275763299267</c:v>
                </c:pt>
                <c:pt idx="8">
                  <c:v>8.4337913644949118</c:v>
                </c:pt>
                <c:pt idx="9">
                  <c:v>11.245055152659896</c:v>
                </c:pt>
                <c:pt idx="10">
                  <c:v>14.056318940824861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8B-4794-BE78-19F65A8299C8}"/>
            </c:ext>
          </c:extLst>
        </c:ser>
        <c:ser>
          <c:idx val="3"/>
          <c:order val="2"/>
          <c:tx>
            <c:strRef>
              <c:f>Sensitivity!$R$19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rgbClr val="5B9BD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5B9BD5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Sensitivity!$R$20:$R$30</c:f>
              <c:numCache>
                <c:formatCode>0</c:formatCode>
                <c:ptCount val="11"/>
                <c:pt idx="0">
                  <c:v>-18.508275307689399</c:v>
                </c:pt>
                <c:pt idx="1">
                  <c:v>-14.806620246151503</c:v>
                </c:pt>
                <c:pt idx="2">
                  <c:v>-11.104965184613651</c:v>
                </c:pt>
                <c:pt idx="3">
                  <c:v>-7.4033101230757348</c:v>
                </c:pt>
                <c:pt idx="4">
                  <c:v>-3.7016550615378616</c:v>
                </c:pt>
                <c:pt idx="5">
                  <c:v>0</c:v>
                </c:pt>
                <c:pt idx="6">
                  <c:v>3.7016550615378945</c:v>
                </c:pt>
                <c:pt idx="7">
                  <c:v>7.4033101230757463</c:v>
                </c:pt>
                <c:pt idx="8">
                  <c:v>11.104965184613642</c:v>
                </c:pt>
                <c:pt idx="9">
                  <c:v>14.806620246151514</c:v>
                </c:pt>
                <c:pt idx="10">
                  <c:v>18.508275307689388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8B-4794-BE78-19F65A8299C8}"/>
            </c:ext>
          </c:extLst>
        </c:ser>
        <c:ser>
          <c:idx val="4"/>
          <c:order val="3"/>
          <c:tx>
            <c:strRef>
              <c:f>Sensitivity!$S$19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Sensitivity!$S$20:$S$30</c:f>
              <c:numCache>
                <c:formatCode>0</c:formatCode>
                <c:ptCount val="11"/>
                <c:pt idx="0">
                  <c:v>-32.564594248514233</c:v>
                </c:pt>
                <c:pt idx="1">
                  <c:v>-26.05167539881138</c:v>
                </c:pt>
                <c:pt idx="2">
                  <c:v>-19.538756549108552</c:v>
                </c:pt>
                <c:pt idx="3">
                  <c:v>-13.025837699405695</c:v>
                </c:pt>
                <c:pt idx="4">
                  <c:v>-6.512918849702837</c:v>
                </c:pt>
                <c:pt idx="5">
                  <c:v>0</c:v>
                </c:pt>
                <c:pt idx="6">
                  <c:v>6.512918849702837</c:v>
                </c:pt>
                <c:pt idx="7">
                  <c:v>13.025837699405715</c:v>
                </c:pt>
                <c:pt idx="8">
                  <c:v>19.538756549108552</c:v>
                </c:pt>
                <c:pt idx="9">
                  <c:v>26.05167539881139</c:v>
                </c:pt>
                <c:pt idx="10">
                  <c:v>32.564594248514247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8B-4794-BE78-19F65A8299C8}"/>
            </c:ext>
          </c:extLst>
        </c:ser>
        <c:ser>
          <c:idx val="5"/>
          <c:order val="4"/>
          <c:tx>
            <c:strRef>
              <c:f>Sensitivity!$T$19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Sensitivity!$T$20:$T$30</c:f>
              <c:numCache>
                <c:formatCode>0</c:formatCode>
                <c:ptCount val="11"/>
                <c:pt idx="0">
                  <c:v>14.056318940824861</c:v>
                </c:pt>
                <c:pt idx="1">
                  <c:v>11.245055152659896</c:v>
                </c:pt>
                <c:pt idx="2">
                  <c:v>8.4337913644949118</c:v>
                </c:pt>
                <c:pt idx="3">
                  <c:v>5.6225275763299267</c:v>
                </c:pt>
                <c:pt idx="4">
                  <c:v>2.8112637881649634</c:v>
                </c:pt>
                <c:pt idx="5">
                  <c:v>0</c:v>
                </c:pt>
                <c:pt idx="6">
                  <c:v>-2.8112637881649851</c:v>
                </c:pt>
                <c:pt idx="7">
                  <c:v>-5.6225275763299267</c:v>
                </c:pt>
                <c:pt idx="8">
                  <c:v>-8.4337913644949225</c:v>
                </c:pt>
                <c:pt idx="9">
                  <c:v>-11.245055152659877</c:v>
                </c:pt>
                <c:pt idx="10">
                  <c:v>-14.056318940824827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8B-4794-BE78-19F65A829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456332154786084"/>
              <c:y val="0.442511129299841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3335261534572731"/>
              <c:y val="6.337712713547610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050823694356817E-2"/>
          <c:y val="0.85681146643479378"/>
          <c:w val="0.94665685519593967"/>
          <c:h val="0.1302926187140717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ICE-van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140144195932564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Sensitivity!$P$34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Sensitivity!$P$35:$P$45</c:f>
              <c:numCache>
                <c:formatCode>0</c:formatCode>
                <c:ptCount val="11"/>
                <c:pt idx="0">
                  <c:v>-23.939155343196916</c:v>
                </c:pt>
                <c:pt idx="1">
                  <c:v>-19.151324274557538</c:v>
                </c:pt>
                <c:pt idx="2">
                  <c:v>-14.363493205918177</c:v>
                </c:pt>
                <c:pt idx="3">
                  <c:v>-9.575662137278778</c:v>
                </c:pt>
                <c:pt idx="4">
                  <c:v>-4.7878310686393988</c:v>
                </c:pt>
                <c:pt idx="5">
                  <c:v>0</c:v>
                </c:pt>
                <c:pt idx="6">
                  <c:v>4.7878310686393606</c:v>
                </c:pt>
                <c:pt idx="7">
                  <c:v>9.5756621372787407</c:v>
                </c:pt>
                <c:pt idx="8">
                  <c:v>14.363493205918122</c:v>
                </c:pt>
                <c:pt idx="9">
                  <c:v>19.151324274557499</c:v>
                </c:pt>
                <c:pt idx="10">
                  <c:v>23.939155343196898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5F-4322-87B3-E35A7AFFA746}"/>
            </c:ext>
          </c:extLst>
        </c:ser>
        <c:ser>
          <c:idx val="2"/>
          <c:order val="1"/>
          <c:tx>
            <c:strRef>
              <c:f>Sensitivity!$Q$34</c:f>
              <c:strCache>
                <c:ptCount val="1"/>
                <c:pt idx="0">
                  <c:v>Fuel price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Sensitivity!$Q$35:$Q$45</c:f>
              <c:numCache>
                <c:formatCode>0</c:formatCode>
                <c:ptCount val="11"/>
                <c:pt idx="0">
                  <c:v>-12.380944014264029</c:v>
                </c:pt>
                <c:pt idx="1">
                  <c:v>-9.9047552114112225</c:v>
                </c:pt>
                <c:pt idx="2">
                  <c:v>-7.4285664085584555</c:v>
                </c:pt>
                <c:pt idx="3">
                  <c:v>-4.9523776057056299</c:v>
                </c:pt>
                <c:pt idx="4">
                  <c:v>-2.4761888028528434</c:v>
                </c:pt>
                <c:pt idx="5">
                  <c:v>0</c:v>
                </c:pt>
                <c:pt idx="6">
                  <c:v>2.476188802852787</c:v>
                </c:pt>
                <c:pt idx="7">
                  <c:v>4.9523776057055739</c:v>
                </c:pt>
                <c:pt idx="8">
                  <c:v>7.4285664085583809</c:v>
                </c:pt>
                <c:pt idx="9">
                  <c:v>9.9047552114111284</c:v>
                </c:pt>
                <c:pt idx="10">
                  <c:v>12.380944014263953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5F-4322-87B3-E35A7AFFA746}"/>
            </c:ext>
          </c:extLst>
        </c:ser>
        <c:ser>
          <c:idx val="3"/>
          <c:order val="2"/>
          <c:tx>
            <c:strRef>
              <c:f>Sensitivity!$R$34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rgbClr val="5B9BD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5B9BD5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Sensitivity!$R$35:$R$45</c:f>
              <c:numCache>
                <c:formatCode>0</c:formatCode>
                <c:ptCount val="11"/>
                <c:pt idx="0">
                  <c:v>-11.923445347992876</c:v>
                </c:pt>
                <c:pt idx="1">
                  <c:v>-9.5387562783943203</c:v>
                </c:pt>
                <c:pt idx="2">
                  <c:v>-7.1540672087957446</c:v>
                </c:pt>
                <c:pt idx="3">
                  <c:v>-4.7693781391971513</c:v>
                </c:pt>
                <c:pt idx="4">
                  <c:v>-2.3846890695985943</c:v>
                </c:pt>
                <c:pt idx="5">
                  <c:v>0</c:v>
                </c:pt>
                <c:pt idx="6">
                  <c:v>2.3846890695985188</c:v>
                </c:pt>
                <c:pt idx="7">
                  <c:v>4.7693781391970935</c:v>
                </c:pt>
                <c:pt idx="8">
                  <c:v>7.15406720879567</c:v>
                </c:pt>
                <c:pt idx="9">
                  <c:v>9.5387562783942066</c:v>
                </c:pt>
                <c:pt idx="10">
                  <c:v>11.923445347992802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5F-4322-87B3-E35A7AFFA746}"/>
            </c:ext>
          </c:extLst>
        </c:ser>
        <c:ser>
          <c:idx val="4"/>
          <c:order val="3"/>
          <c:tx>
            <c:strRef>
              <c:f>Sensitivity!$S$34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Sensitivity!$S$35:$S$45</c:f>
              <c:numCache>
                <c:formatCode>0</c:formatCode>
                <c:ptCount val="11"/>
                <c:pt idx="0">
                  <c:v>-24.304389362256867</c:v>
                </c:pt>
                <c:pt idx="1">
                  <c:v>-19.443511489805527</c:v>
                </c:pt>
                <c:pt idx="2">
                  <c:v>-14.582633617354123</c:v>
                </c:pt>
                <c:pt idx="3">
                  <c:v>-9.7217557449027634</c:v>
                </c:pt>
                <c:pt idx="4">
                  <c:v>-4.8608778724514003</c:v>
                </c:pt>
                <c:pt idx="5">
                  <c:v>0</c:v>
                </c:pt>
                <c:pt idx="6">
                  <c:v>4.8608778724513435</c:v>
                </c:pt>
                <c:pt idx="7">
                  <c:v>9.7217557449027066</c:v>
                </c:pt>
                <c:pt idx="8">
                  <c:v>14.582633617354107</c:v>
                </c:pt>
                <c:pt idx="9">
                  <c:v>19.443511489805449</c:v>
                </c:pt>
                <c:pt idx="10">
                  <c:v>24.304389362256774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5F-4322-87B3-E35A7AFFA746}"/>
            </c:ext>
          </c:extLst>
        </c:ser>
        <c:ser>
          <c:idx val="5"/>
          <c:order val="4"/>
          <c:tx>
            <c:strRef>
              <c:f>Sensitivity!$T$34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Sensitivity!$T$35:$T$45</c:f>
              <c:numCache>
                <c:formatCode>0</c:formatCode>
                <c:ptCount val="11"/>
                <c:pt idx="0">
                  <c:v>12.380944014263953</c:v>
                </c:pt>
                <c:pt idx="1">
                  <c:v>9.9047552114111479</c:v>
                </c:pt>
                <c:pt idx="2">
                  <c:v>7.4285664085583809</c:v>
                </c:pt>
                <c:pt idx="3">
                  <c:v>4.9523776057055739</c:v>
                </c:pt>
                <c:pt idx="4">
                  <c:v>2.476188802852787</c:v>
                </c:pt>
                <c:pt idx="5">
                  <c:v>0</c:v>
                </c:pt>
                <c:pt idx="6">
                  <c:v>-2.4761888028528434</c:v>
                </c:pt>
                <c:pt idx="7">
                  <c:v>-4.9523776057056299</c:v>
                </c:pt>
                <c:pt idx="8">
                  <c:v>-7.4285664085584555</c:v>
                </c:pt>
                <c:pt idx="9">
                  <c:v>-9.9047552114112225</c:v>
                </c:pt>
                <c:pt idx="10">
                  <c:v>-12.380944014264029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5F-4322-87B3-E35A7AFFA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2215807039974622"/>
              <c:y val="0.439659336318922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∆TCO (%)</a:t>
                </a:r>
              </a:p>
            </c:rich>
          </c:tx>
          <c:layout>
            <c:manualLayout>
              <c:xMode val="edge"/>
              <c:yMode val="edge"/>
              <c:x val="0.52920813154493507"/>
              <c:y val="6.383081575746381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050823694356817E-2"/>
          <c:y val="0.85182033803049384"/>
          <c:w val="0.94665685519593967"/>
          <c:h val="0.1352837259205838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63</xdr:row>
      <xdr:rowOff>123825</xdr:rowOff>
    </xdr:from>
    <xdr:ext cx="5562600" cy="4029075"/>
    <xdr:graphicFrame macro="">
      <xdr:nvGraphicFramePr>
        <xdr:cNvPr id="1551173567" name="Chart 1">
          <a:extLst>
            <a:ext uri="{FF2B5EF4-FFF2-40B4-BE49-F238E27FC236}">
              <a16:creationId xmlns:a16="http://schemas.microsoft.com/office/drawing/2014/main" id="{00000000-0008-0000-0000-0000BF077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63</xdr:row>
      <xdr:rowOff>66675</xdr:rowOff>
    </xdr:from>
    <xdr:ext cx="5572125" cy="4029075"/>
    <xdr:graphicFrame macro="">
      <xdr:nvGraphicFramePr>
        <xdr:cNvPr id="38789401" name="Chart 2">
          <a:extLst>
            <a:ext uri="{FF2B5EF4-FFF2-40B4-BE49-F238E27FC236}">
              <a16:creationId xmlns:a16="http://schemas.microsoft.com/office/drawing/2014/main" id="{00000000-0008-0000-0000-000019E14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43550" cy="4029075"/>
    <xdr:graphicFrame macro="">
      <xdr:nvGraphicFramePr>
        <xdr:cNvPr id="1054414693" name="Chart 4">
          <a:extLst>
            <a:ext uri="{FF2B5EF4-FFF2-40B4-BE49-F238E27FC236}">
              <a16:creationId xmlns:a16="http://schemas.microsoft.com/office/drawing/2014/main" id="{00000000-0008-0000-0100-00006517D9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4657725" cy="4029075"/>
    <xdr:graphicFrame macro="">
      <xdr:nvGraphicFramePr>
        <xdr:cNvPr id="1464330165" name="Chart 5">
          <a:extLst>
            <a:ext uri="{FF2B5EF4-FFF2-40B4-BE49-F238E27FC236}">
              <a16:creationId xmlns:a16="http://schemas.microsoft.com/office/drawing/2014/main" id="{00000000-0008-0000-0100-0000B5E747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62600" cy="4029075"/>
    <xdr:graphicFrame macro="">
      <xdr:nvGraphicFramePr>
        <xdr:cNvPr id="1317758644" name="Chart 7">
          <a:extLst>
            <a:ext uri="{FF2B5EF4-FFF2-40B4-BE49-F238E27FC236}">
              <a16:creationId xmlns:a16="http://schemas.microsoft.com/office/drawing/2014/main" id="{00000000-0008-0000-0200-0000B4668B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5572125" cy="4029075"/>
    <xdr:graphicFrame macro="">
      <xdr:nvGraphicFramePr>
        <xdr:cNvPr id="2111640097" name="Chart 8">
          <a:extLst>
            <a:ext uri="{FF2B5EF4-FFF2-40B4-BE49-F238E27FC236}">
              <a16:creationId xmlns:a16="http://schemas.microsoft.com/office/drawing/2014/main" id="{00000000-0008-0000-0200-00002112D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43550" cy="4029075"/>
    <xdr:graphicFrame macro="">
      <xdr:nvGraphicFramePr>
        <xdr:cNvPr id="1074519991" name="Chart 10">
          <a:extLst>
            <a:ext uri="{FF2B5EF4-FFF2-40B4-BE49-F238E27FC236}">
              <a16:creationId xmlns:a16="http://schemas.microsoft.com/office/drawing/2014/main" id="{00000000-0008-0000-0300-0000B7DF0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4657725" cy="4029075"/>
    <xdr:graphicFrame macro="">
      <xdr:nvGraphicFramePr>
        <xdr:cNvPr id="1406178268" name="Chart 11">
          <a:extLst>
            <a:ext uri="{FF2B5EF4-FFF2-40B4-BE49-F238E27FC236}">
              <a16:creationId xmlns:a16="http://schemas.microsoft.com/office/drawing/2014/main" id="{00000000-0008-0000-0300-0000DC93D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62600" cy="4029075"/>
    <xdr:graphicFrame macro="">
      <xdr:nvGraphicFramePr>
        <xdr:cNvPr id="2076007080" name="Chart 13">
          <a:extLst>
            <a:ext uri="{FF2B5EF4-FFF2-40B4-BE49-F238E27FC236}">
              <a16:creationId xmlns:a16="http://schemas.microsoft.com/office/drawing/2014/main" id="{00000000-0008-0000-0400-0000A85AB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5572125" cy="4029075"/>
    <xdr:graphicFrame macro="">
      <xdr:nvGraphicFramePr>
        <xdr:cNvPr id="1796801304" name="Chart 14">
          <a:extLst>
            <a:ext uri="{FF2B5EF4-FFF2-40B4-BE49-F238E27FC236}">
              <a16:creationId xmlns:a16="http://schemas.microsoft.com/office/drawing/2014/main" id="{00000000-0008-0000-0400-000018031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43550" cy="4029075"/>
    <xdr:graphicFrame macro="">
      <xdr:nvGraphicFramePr>
        <xdr:cNvPr id="690148092" name="Chart 16">
          <a:extLst>
            <a:ext uri="{FF2B5EF4-FFF2-40B4-BE49-F238E27FC236}">
              <a16:creationId xmlns:a16="http://schemas.microsoft.com/office/drawing/2014/main" id="{00000000-0008-0000-0500-0000FCD222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4657725" cy="4029075"/>
    <xdr:graphicFrame macro="">
      <xdr:nvGraphicFramePr>
        <xdr:cNvPr id="245767159" name="Chart 17">
          <a:extLst>
            <a:ext uri="{FF2B5EF4-FFF2-40B4-BE49-F238E27FC236}">
              <a16:creationId xmlns:a16="http://schemas.microsoft.com/office/drawing/2014/main" id="{00000000-0008-0000-0500-0000F71BA6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199030</xdr:colOff>
      <xdr:row>2</xdr:row>
      <xdr:rowOff>113731</xdr:rowOff>
    </xdr:from>
    <xdr:to>
      <xdr:col>12</xdr:col>
      <xdr:colOff>560197</xdr:colOff>
      <xdr:row>16</xdr:row>
      <xdr:rowOff>86663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3F975E0-6A04-48C1-81E2-9D0D63CEC1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255896</xdr:colOff>
      <xdr:row>18</xdr:row>
      <xdr:rowOff>0</xdr:rowOff>
    </xdr:from>
    <xdr:to>
      <xdr:col>13</xdr:col>
      <xdr:colOff>2915</xdr:colOff>
      <xdr:row>31</xdr:row>
      <xdr:rowOff>157745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A05BF1A-92A4-463A-881C-5AB65E3341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213246</xdr:colOff>
      <xdr:row>33</xdr:row>
      <xdr:rowOff>0</xdr:rowOff>
    </xdr:from>
    <xdr:to>
      <xdr:col>12</xdr:col>
      <xdr:colOff>571571</xdr:colOff>
      <xdr:row>46</xdr:row>
      <xdr:rowOff>157745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3A4E4BC-2F33-4027-A3D8-D4332948FF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21</xdr:col>
      <xdr:colOff>0</xdr:colOff>
      <xdr:row>2</xdr:row>
      <xdr:rowOff>0</xdr:rowOff>
    </xdr:from>
    <xdr:to>
      <xdr:col>25</xdr:col>
      <xdr:colOff>431743</xdr:colOff>
      <xdr:row>15</xdr:row>
      <xdr:rowOff>157746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E7B7B8E-53FF-4318-99DD-F7BE30774C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21</xdr:col>
      <xdr:colOff>0</xdr:colOff>
      <xdr:row>18</xdr:row>
      <xdr:rowOff>0</xdr:rowOff>
    </xdr:from>
    <xdr:to>
      <xdr:col>25</xdr:col>
      <xdr:colOff>431743</xdr:colOff>
      <xdr:row>31</xdr:row>
      <xdr:rowOff>157745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8E99C4E-28BB-4F6F-8318-874910DD4A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21</xdr:col>
      <xdr:colOff>0</xdr:colOff>
      <xdr:row>34</xdr:row>
      <xdr:rowOff>0</xdr:rowOff>
    </xdr:from>
    <xdr:to>
      <xdr:col>25</xdr:col>
      <xdr:colOff>431743</xdr:colOff>
      <xdr:row>47</xdr:row>
      <xdr:rowOff>157745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F82BCB4-E668-4F5F-B8ED-B2881C81B4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6908e728f1b34df/Paper%20ERIA/Xls%20baru%2029092024/TCO_Thailand%2025092024.xlsx" TargetMode="External"/><Relationship Id="rId1" Type="http://schemas.openxmlformats.org/officeDocument/2006/relationships/externalLinkPath" Target="TCO_Thailand%202509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-Bus TH"/>
      <sheetName val="ICE-Bus TH"/>
      <sheetName val="E-Truck TH"/>
      <sheetName val="ICE-Truck TH"/>
      <sheetName val="E-Cargo TH"/>
      <sheetName val="ICE-Cargo TH"/>
      <sheetName val="Sensitivity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C4" t="str">
            <v>Vehicle Price</v>
          </cell>
          <cell r="D4" t="str">
            <v>Electricity tarrif</v>
          </cell>
          <cell r="E4" t="str">
            <v>Battery cost</v>
          </cell>
          <cell r="F4" t="str">
            <v>AKT</v>
          </cell>
          <cell r="G4" t="str">
            <v>O&amp;M costs</v>
          </cell>
          <cell r="H4" t="str">
            <v>Energy Efficiency</v>
          </cell>
          <cell r="P4" t="str">
            <v>Vehicle Price</v>
          </cell>
          <cell r="Q4" t="str">
            <v>Fuel price</v>
          </cell>
          <cell r="R4" t="str">
            <v>O&amp;M costs</v>
          </cell>
          <cell r="S4" t="str">
            <v>AKT</v>
          </cell>
          <cell r="T4" t="str">
            <v>Energy Efficiency</v>
          </cell>
        </row>
        <row r="5">
          <cell r="B5">
            <v>-50</v>
          </cell>
          <cell r="C5">
            <v>-33.91886901865854</v>
          </cell>
          <cell r="D5">
            <v>-8.6848791959787892</v>
          </cell>
          <cell r="E5">
            <v>-3.9335217890154777</v>
          </cell>
          <cell r="F5">
            <v>-22.706613958277778</v>
          </cell>
          <cell r="G5">
            <v>-14.021734762298971</v>
          </cell>
          <cell r="H5">
            <v>8.6848791959788212</v>
          </cell>
          <cell r="O5">
            <v>-50</v>
          </cell>
          <cell r="P5">
            <v>-15.854368027842799</v>
          </cell>
          <cell r="Q5">
            <v>-29.202684266710367</v>
          </cell>
          <cell r="R5">
            <v>-9.252787616740612</v>
          </cell>
          <cell r="S5">
            <v>-38.455471883450983</v>
          </cell>
          <cell r="T5">
            <v>29.202684266710367</v>
          </cell>
        </row>
        <row r="6">
          <cell r="B6">
            <v>-40</v>
          </cell>
          <cell r="C6">
            <v>-27.135095214926842</v>
          </cell>
          <cell r="D6">
            <v>-6.9479033567830477</v>
          </cell>
          <cell r="E6">
            <v>-3.1468174312123667</v>
          </cell>
          <cell r="F6">
            <v>-18.165291166622222</v>
          </cell>
          <cell r="G6">
            <v>-11.217387809839174</v>
          </cell>
          <cell r="H6">
            <v>6.9479033567830788</v>
          </cell>
          <cell r="O6">
            <v>-40</v>
          </cell>
          <cell r="P6">
            <v>-12.683494422274244</v>
          </cell>
          <cell r="Q6">
            <v>-23.362147413368277</v>
          </cell>
          <cell r="R6">
            <v>-7.402230093392502</v>
          </cell>
          <cell r="S6">
            <v>-30.764377506760798</v>
          </cell>
          <cell r="T6">
            <v>23.362147413368277</v>
          </cell>
        </row>
        <row r="7">
          <cell r="B7">
            <v>-30</v>
          </cell>
          <cell r="C7">
            <v>-20.35132141119513</v>
          </cell>
          <cell r="D7">
            <v>-5.2109275175872742</v>
          </cell>
          <cell r="E7">
            <v>-2.3601130734092868</v>
          </cell>
          <cell r="F7">
            <v>-13.623968374966635</v>
          </cell>
          <cell r="G7">
            <v>-8.4130408573793929</v>
          </cell>
          <cell r="H7">
            <v>5.2109275175873053</v>
          </cell>
          <cell r="O7">
            <v>-30</v>
          </cell>
          <cell r="P7">
            <v>-9.512620816705688</v>
          </cell>
          <cell r="Q7">
            <v>-17.521610560026208</v>
          </cell>
          <cell r="R7">
            <v>-5.5516725700443592</v>
          </cell>
          <cell r="S7">
            <v>-23.073283130070585</v>
          </cell>
          <cell r="T7">
            <v>17.521610560026208</v>
          </cell>
        </row>
        <row r="8">
          <cell r="B8">
            <v>-20</v>
          </cell>
          <cell r="C8">
            <v>-13.567547607463407</v>
          </cell>
          <cell r="D8">
            <v>-3.4739516783915008</v>
          </cell>
          <cell r="E8">
            <v>-1.5734087156061911</v>
          </cell>
          <cell r="F8">
            <v>-9.0826455833110806</v>
          </cell>
          <cell r="G8">
            <v>-5.6086939049195639</v>
          </cell>
          <cell r="H8">
            <v>3.4739516783915318</v>
          </cell>
          <cell r="O8">
            <v>-20</v>
          </cell>
          <cell r="P8">
            <v>-6.3417472111371138</v>
          </cell>
          <cell r="Q8">
            <v>-11.681073706684156</v>
          </cell>
          <cell r="R8">
            <v>-3.701115046696251</v>
          </cell>
          <cell r="S8">
            <v>-15.38218875338039</v>
          </cell>
          <cell r="T8">
            <v>11.681073706684138</v>
          </cell>
        </row>
        <row r="9">
          <cell r="B9">
            <v>-10</v>
          </cell>
          <cell r="C9">
            <v>-6.7837738037316946</v>
          </cell>
          <cell r="D9">
            <v>-1.7369758391957268</v>
          </cell>
          <cell r="E9">
            <v>-0.78670435780309556</v>
          </cell>
          <cell r="F9">
            <v>-4.5413227916555243</v>
          </cell>
          <cell r="G9">
            <v>-2.8043469524597819</v>
          </cell>
          <cell r="H9">
            <v>1.7369758391957892</v>
          </cell>
          <cell r="O9">
            <v>-10</v>
          </cell>
          <cell r="P9">
            <v>-3.1708736055685569</v>
          </cell>
          <cell r="Q9">
            <v>-5.8405368533420523</v>
          </cell>
          <cell r="R9">
            <v>-1.8505575233481255</v>
          </cell>
          <cell r="S9">
            <v>-7.691094376690212</v>
          </cell>
          <cell r="T9">
            <v>5.8405368533420869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</row>
        <row r="11">
          <cell r="B11">
            <v>10</v>
          </cell>
          <cell r="C11">
            <v>6.7837738037317266</v>
          </cell>
          <cell r="D11">
            <v>1.7369758391957892</v>
          </cell>
          <cell r="E11">
            <v>0.78670435780309556</v>
          </cell>
          <cell r="F11">
            <v>4.5413227916556025</v>
          </cell>
          <cell r="G11">
            <v>2.8043469524598286</v>
          </cell>
          <cell r="H11">
            <v>-1.7369758391957268</v>
          </cell>
          <cell r="O11">
            <v>10</v>
          </cell>
          <cell r="P11">
            <v>3.1708736055685569</v>
          </cell>
          <cell r="Q11">
            <v>5.8405368533420869</v>
          </cell>
          <cell r="R11">
            <v>1.8505575233481428</v>
          </cell>
          <cell r="S11">
            <v>7.691094376690212</v>
          </cell>
          <cell r="T11">
            <v>-5.8405368533420523</v>
          </cell>
        </row>
        <row r="12">
          <cell r="B12">
            <v>20</v>
          </cell>
          <cell r="C12">
            <v>13.567547607463421</v>
          </cell>
          <cell r="D12">
            <v>3.4739516783915318</v>
          </cell>
          <cell r="E12">
            <v>1.5734087156062067</v>
          </cell>
          <cell r="F12">
            <v>11.867236970441136</v>
          </cell>
          <cell r="G12">
            <v>5.608693904919611</v>
          </cell>
          <cell r="H12">
            <v>-3.4739516783915008</v>
          </cell>
          <cell r="O12">
            <v>20</v>
          </cell>
          <cell r="P12">
            <v>6.3417472111371307</v>
          </cell>
          <cell r="Q12">
            <v>11.681073706684138</v>
          </cell>
          <cell r="R12">
            <v>3.701115046696251</v>
          </cell>
          <cell r="S12">
            <v>15.38218875338039</v>
          </cell>
          <cell r="T12">
            <v>-11.681073706684156</v>
          </cell>
        </row>
        <row r="13">
          <cell r="B13">
            <v>30</v>
          </cell>
          <cell r="C13">
            <v>20.35132141119513</v>
          </cell>
          <cell r="D13">
            <v>5.2109275175873053</v>
          </cell>
          <cell r="E13">
            <v>2.3601130734093023</v>
          </cell>
          <cell r="F13">
            <v>16.547789331453181</v>
          </cell>
          <cell r="G13">
            <v>8.4130408573794391</v>
          </cell>
          <cell r="H13">
            <v>-5.2109275175872742</v>
          </cell>
          <cell r="O13">
            <v>30</v>
          </cell>
          <cell r="P13">
            <v>9.512620816705688</v>
          </cell>
          <cell r="Q13">
            <v>17.521610560026208</v>
          </cell>
          <cell r="R13">
            <v>5.551672570044377</v>
          </cell>
          <cell r="S13">
            <v>23.073283130070603</v>
          </cell>
          <cell r="T13">
            <v>-17.521610560026208</v>
          </cell>
        </row>
        <row r="14">
          <cell r="B14">
            <v>40</v>
          </cell>
          <cell r="C14">
            <v>27.135095214926842</v>
          </cell>
          <cell r="D14">
            <v>6.9479033567830788</v>
          </cell>
          <cell r="E14">
            <v>3.1468174312123667</v>
          </cell>
          <cell r="F14">
            <v>21.23530317093309</v>
          </cell>
          <cell r="G14">
            <v>11.217387809839236</v>
          </cell>
          <cell r="H14">
            <v>-6.9479033567830477</v>
          </cell>
          <cell r="O14">
            <v>40</v>
          </cell>
          <cell r="P14">
            <v>12.683494422274244</v>
          </cell>
          <cell r="Q14">
            <v>23.362147413368277</v>
          </cell>
          <cell r="R14">
            <v>7.4022300933924852</v>
          </cell>
          <cell r="S14">
            <v>30.764377506760766</v>
          </cell>
          <cell r="T14">
            <v>-23.362147413368277</v>
          </cell>
        </row>
        <row r="15">
          <cell r="B15">
            <v>50</v>
          </cell>
          <cell r="C15">
            <v>33.918869018658555</v>
          </cell>
          <cell r="D15">
            <v>8.6848791959788212</v>
          </cell>
          <cell r="E15">
            <v>3.9335217890154621</v>
          </cell>
          <cell r="F15">
            <v>25.776625962588611</v>
          </cell>
          <cell r="G15">
            <v>14.021734762298987</v>
          </cell>
          <cell r="H15">
            <v>-8.6848791959787892</v>
          </cell>
          <cell r="O15">
            <v>50</v>
          </cell>
          <cell r="P15">
            <v>15.854368027842819</v>
          </cell>
          <cell r="Q15">
            <v>29.202684266710367</v>
          </cell>
          <cell r="R15">
            <v>9.252787616740628</v>
          </cell>
          <cell r="S15">
            <v>38.45547188345099</v>
          </cell>
          <cell r="T15">
            <v>-29.202684266710367</v>
          </cell>
        </row>
        <row r="19">
          <cell r="C19" t="str">
            <v>Vehicle Price</v>
          </cell>
          <cell r="D19" t="str">
            <v>Electricity tarrif</v>
          </cell>
          <cell r="E19" t="str">
            <v>Battery cost</v>
          </cell>
          <cell r="F19" t="str">
            <v>AKT</v>
          </cell>
          <cell r="G19" t="str">
            <v>O&amp;M costs</v>
          </cell>
          <cell r="H19" t="str">
            <v>Energy Efficiency</v>
          </cell>
          <cell r="P19" t="str">
            <v>Vehicle Price</v>
          </cell>
          <cell r="Q19" t="str">
            <v>Fuel price</v>
          </cell>
          <cell r="R19" t="str">
            <v>O&amp;M costs</v>
          </cell>
          <cell r="S19" t="str">
            <v>AKT</v>
          </cell>
          <cell r="T19" t="str">
            <v>Energy Efficiency</v>
          </cell>
        </row>
        <row r="20">
          <cell r="B20">
            <v>-50</v>
          </cell>
          <cell r="C20">
            <v>-31.334378733128059</v>
          </cell>
          <cell r="D20">
            <v>-6.013814651953564</v>
          </cell>
          <cell r="E20">
            <v>-4.5180452752601878</v>
          </cell>
          <cell r="F20">
            <v>-27.020026746178566</v>
          </cell>
          <cell r="G20">
            <v>-8.6627693469554448</v>
          </cell>
          <cell r="H20">
            <v>6.0138146519535107</v>
          </cell>
          <cell r="O20">
            <v>-50</v>
          </cell>
          <cell r="P20">
            <v>-6.1609276276644458</v>
          </cell>
          <cell r="Q20">
            <v>-30.826878875146811</v>
          </cell>
          <cell r="R20">
            <v>-14.381101091813321</v>
          </cell>
          <cell r="S20">
            <v>-45.207979966960146</v>
          </cell>
          <cell r="T20">
            <v>30.826878875146889</v>
          </cell>
        </row>
        <row r="21">
          <cell r="B21">
            <v>-40</v>
          </cell>
          <cell r="C21">
            <v>-25.067502986502443</v>
          </cell>
          <cell r="D21">
            <v>-4.8110517215628406</v>
          </cell>
          <cell r="E21">
            <v>-3.6144362202081322</v>
          </cell>
          <cell r="F21">
            <v>-23.552773794971479</v>
          </cell>
          <cell r="G21">
            <v>-6.9302154775643485</v>
          </cell>
          <cell r="H21">
            <v>4.8110517215628219</v>
          </cell>
          <cell r="O21">
            <v>-40</v>
          </cell>
          <cell r="P21">
            <v>-4.9287421021315598</v>
          </cell>
          <cell r="Q21">
            <v>-24.661503100117454</v>
          </cell>
          <cell r="R21">
            <v>-11.504880873450658</v>
          </cell>
          <cell r="S21">
            <v>-36.166383973568124</v>
          </cell>
          <cell r="T21">
            <v>24.6615031001175</v>
          </cell>
        </row>
        <row r="22">
          <cell r="B22">
            <v>-30</v>
          </cell>
          <cell r="C22">
            <v>-18.800627239876842</v>
          </cell>
          <cell r="D22">
            <v>-3.6082887911721344</v>
          </cell>
          <cell r="E22">
            <v>-2.7108271651561129</v>
          </cell>
          <cell r="F22">
            <v>-20.617456995189677</v>
          </cell>
          <cell r="G22">
            <v>-5.1976616081732878</v>
          </cell>
          <cell r="H22">
            <v>3.6082887911721344</v>
          </cell>
          <cell r="O22">
            <v>-30</v>
          </cell>
          <cell r="P22">
            <v>-3.6965565765986743</v>
          </cell>
          <cell r="Q22">
            <v>-18.496127325088089</v>
          </cell>
          <cell r="R22">
            <v>-8.6286606550879803</v>
          </cell>
          <cell r="S22">
            <v>-27.12478798017608</v>
          </cell>
          <cell r="T22">
            <v>18.496127325088125</v>
          </cell>
        </row>
        <row r="23">
          <cell r="B23">
            <v>-20</v>
          </cell>
          <cell r="C23">
            <v>-12.533751493251263</v>
          </cell>
          <cell r="D23">
            <v>-2.4055258607813936</v>
          </cell>
          <cell r="E23">
            <v>-1.8072181101040752</v>
          </cell>
          <cell r="F23">
            <v>-13.748093589337598</v>
          </cell>
          <cell r="G23">
            <v>-3.4651077387821743</v>
          </cell>
          <cell r="H23">
            <v>2.4055258607814292</v>
          </cell>
          <cell r="O23">
            <v>-20</v>
          </cell>
          <cell r="P23">
            <v>-2.4643710510657715</v>
          </cell>
          <cell r="Q23">
            <v>-12.330751550058695</v>
          </cell>
          <cell r="R23">
            <v>-5.7524404367253208</v>
          </cell>
          <cell r="S23">
            <v>-18.083191986784033</v>
          </cell>
          <cell r="T23">
            <v>12.33075155005875</v>
          </cell>
        </row>
        <row r="24">
          <cell r="B24">
            <v>-10</v>
          </cell>
          <cell r="C24">
            <v>-6.2668757466256135</v>
          </cell>
          <cell r="D24">
            <v>-1.2027629303907412</v>
          </cell>
          <cell r="E24">
            <v>-0.90360905505205547</v>
          </cell>
          <cell r="F24">
            <v>-10.812776789555814</v>
          </cell>
          <cell r="G24">
            <v>-1.7325538693910958</v>
          </cell>
          <cell r="H24">
            <v>1.2027629303906879</v>
          </cell>
          <cell r="O24">
            <v>-10</v>
          </cell>
          <cell r="P24">
            <v>-1.2321855255328857</v>
          </cell>
          <cell r="Q24">
            <v>-6.1653757750293563</v>
          </cell>
          <cell r="R24">
            <v>-2.8762202183626422</v>
          </cell>
          <cell r="S24">
            <v>-9.0415959933919989</v>
          </cell>
          <cell r="T24">
            <v>6.1653757750293918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6">
          <cell r="B26">
            <v>10</v>
          </cell>
          <cell r="C26">
            <v>6.2668757466256135</v>
          </cell>
          <cell r="D26">
            <v>1.2027629303906879</v>
          </cell>
          <cell r="E26">
            <v>0.90360905505201972</v>
          </cell>
          <cell r="F26">
            <v>2.9353167997817837</v>
          </cell>
          <cell r="G26">
            <v>1.732553869391078</v>
          </cell>
          <cell r="H26">
            <v>-1.2027629303907412</v>
          </cell>
          <cell r="O26">
            <v>10</v>
          </cell>
          <cell r="P26">
            <v>1.2321855255329033</v>
          </cell>
          <cell r="Q26">
            <v>6.1653757750293918</v>
          </cell>
          <cell r="R26">
            <v>2.8762202183626782</v>
          </cell>
          <cell r="S26">
            <v>9.0415959933920522</v>
          </cell>
          <cell r="T26">
            <v>-6.1653757750293563</v>
          </cell>
        </row>
        <row r="27">
          <cell r="B27">
            <v>20</v>
          </cell>
          <cell r="C27">
            <v>12.533751493251227</v>
          </cell>
          <cell r="D27">
            <v>2.405525860781411</v>
          </cell>
          <cell r="E27">
            <v>1.8072181101040574</v>
          </cell>
          <cell r="F27">
            <v>5.8706335995635861</v>
          </cell>
          <cell r="G27">
            <v>3.4651077387821561</v>
          </cell>
          <cell r="H27">
            <v>-2.4055258607813936</v>
          </cell>
          <cell r="O27">
            <v>20</v>
          </cell>
          <cell r="P27">
            <v>2.4643710510657888</v>
          </cell>
          <cell r="Q27">
            <v>12.33075155005875</v>
          </cell>
          <cell r="R27">
            <v>5.7524404367253563</v>
          </cell>
          <cell r="S27">
            <v>18.083191986784069</v>
          </cell>
          <cell r="T27">
            <v>-12.330751550058713</v>
          </cell>
        </row>
        <row r="28">
          <cell r="B28">
            <v>30</v>
          </cell>
          <cell r="C28">
            <v>18.800627239876803</v>
          </cell>
          <cell r="D28">
            <v>3.6082887911721344</v>
          </cell>
          <cell r="E28">
            <v>2.7108271651560951</v>
          </cell>
          <cell r="F28">
            <v>8.8059503993453507</v>
          </cell>
          <cell r="G28">
            <v>5.1976616081732523</v>
          </cell>
          <cell r="H28">
            <v>-3.6082887911721344</v>
          </cell>
          <cell r="O28">
            <v>30</v>
          </cell>
          <cell r="P28">
            <v>3.6965565765986925</v>
          </cell>
          <cell r="Q28">
            <v>18.496127325088125</v>
          </cell>
          <cell r="R28">
            <v>8.6286606550880336</v>
          </cell>
          <cell r="S28">
            <v>27.124787980176141</v>
          </cell>
          <cell r="T28">
            <v>-18.496127325088089</v>
          </cell>
        </row>
        <row r="29">
          <cell r="B29">
            <v>40</v>
          </cell>
          <cell r="C29">
            <v>25.067502986502422</v>
          </cell>
          <cell r="D29">
            <v>4.8110517215628219</v>
          </cell>
          <cell r="E29">
            <v>3.6144362202081148</v>
          </cell>
          <cell r="F29">
            <v>11.741267199127188</v>
          </cell>
          <cell r="G29">
            <v>6.9302154775643485</v>
          </cell>
          <cell r="H29">
            <v>-4.8110517215628406</v>
          </cell>
          <cell r="O29">
            <v>40</v>
          </cell>
          <cell r="P29">
            <v>4.9287421021315776</v>
          </cell>
          <cell r="Q29">
            <v>24.6615031001175</v>
          </cell>
          <cell r="R29">
            <v>11.504880873450677</v>
          </cell>
          <cell r="S29">
            <v>36.166383973568159</v>
          </cell>
          <cell r="T29">
            <v>-24.661503100117447</v>
          </cell>
        </row>
        <row r="30">
          <cell r="B30">
            <v>50</v>
          </cell>
          <cell r="C30">
            <v>31.334378733128066</v>
          </cell>
          <cell r="D30">
            <v>6.0138146519535107</v>
          </cell>
          <cell r="E30">
            <v>4.5180452752601523</v>
          </cell>
          <cell r="F30">
            <v>35.281640598553594</v>
          </cell>
          <cell r="G30">
            <v>8.6627693469554075</v>
          </cell>
          <cell r="H30">
            <v>-6.013814651953564</v>
          </cell>
          <cell r="O30">
            <v>50</v>
          </cell>
          <cell r="P30">
            <v>6.1609276276644636</v>
          </cell>
          <cell r="Q30">
            <v>30.826878875146889</v>
          </cell>
          <cell r="R30">
            <v>14.381101091813337</v>
          </cell>
          <cell r="S30">
            <v>45.207979966960195</v>
          </cell>
          <cell r="T30">
            <v>-30.826878875146811</v>
          </cell>
        </row>
        <row r="34">
          <cell r="C34" t="str">
            <v>Vehicle Price</v>
          </cell>
          <cell r="D34" t="str">
            <v>Electricity tarrif</v>
          </cell>
          <cell r="E34" t="str">
            <v>Battery cost</v>
          </cell>
          <cell r="F34" t="str">
            <v>AKT</v>
          </cell>
          <cell r="G34" t="str">
            <v>O&amp;M costs</v>
          </cell>
          <cell r="H34" t="str">
            <v>Energy Efficiency</v>
          </cell>
          <cell r="P34" t="str">
            <v>Vehicle Price</v>
          </cell>
          <cell r="Q34" t="str">
            <v>Fuel price</v>
          </cell>
          <cell r="R34" t="str">
            <v>O&amp;M costs</v>
          </cell>
          <cell r="S34" t="str">
            <v>AKT</v>
          </cell>
          <cell r="T34" t="str">
            <v>Energy Efficiency</v>
          </cell>
        </row>
        <row r="35">
          <cell r="B35">
            <v>-50</v>
          </cell>
          <cell r="C35">
            <v>-38.484104622912902</v>
          </cell>
          <cell r="D35">
            <v>-8.1857231243426618</v>
          </cell>
          <cell r="E35">
            <v>-10.527463801339621</v>
          </cell>
          <cell r="F35">
            <v>-23.7918429107831</v>
          </cell>
          <cell r="G35">
            <v>-6.5475242627844752</v>
          </cell>
          <cell r="H35">
            <v>8.1857231243427009</v>
          </cell>
          <cell r="O35">
            <v>-50</v>
          </cell>
          <cell r="P35">
            <v>-15.090338283968252</v>
          </cell>
          <cell r="Q35">
            <v>-28.871783746588232</v>
          </cell>
          <cell r="R35">
            <v>-9.3930202369186802</v>
          </cell>
          <cell r="S35">
            <v>-38.264803983506887</v>
          </cell>
          <cell r="T35">
            <v>28.871783746588207</v>
          </cell>
        </row>
        <row r="36">
          <cell r="B36">
            <v>-40</v>
          </cell>
          <cell r="C36">
            <v>-30.787283698330327</v>
          </cell>
          <cell r="D36">
            <v>-6.5485784994741651</v>
          </cell>
          <cell r="E36">
            <v>-8.4219710410717283</v>
          </cell>
          <cell r="F36">
            <v>-13.392664477907257</v>
          </cell>
          <cell r="G36">
            <v>-5.2380194102275679</v>
          </cell>
          <cell r="H36">
            <v>6.5485784994741252</v>
          </cell>
          <cell r="O36">
            <v>-40</v>
          </cell>
          <cell r="P36">
            <v>-12.072270627174603</v>
          </cell>
          <cell r="Q36">
            <v>-23.097426997270585</v>
          </cell>
          <cell r="R36">
            <v>-7.5144161895349351</v>
          </cell>
          <cell r="S36">
            <v>-30.611843186805523</v>
          </cell>
          <cell r="T36">
            <v>23.097426997270549</v>
          </cell>
        </row>
        <row r="37">
          <cell r="B37">
            <v>-30</v>
          </cell>
          <cell r="C37">
            <v>-23.090462773747749</v>
          </cell>
          <cell r="D37">
            <v>-4.911433874605609</v>
          </cell>
          <cell r="E37">
            <v>-6.3164782808037767</v>
          </cell>
          <cell r="F37">
            <v>-10.073388552709297</v>
          </cell>
          <cell r="G37">
            <v>-3.928514557670701</v>
          </cell>
          <cell r="H37">
            <v>4.911433874605609</v>
          </cell>
          <cell r="O37">
            <v>-30</v>
          </cell>
          <cell r="P37">
            <v>-9.0542029703809543</v>
          </cell>
          <cell r="Q37">
            <v>-17.323070247952938</v>
          </cell>
          <cell r="R37">
            <v>-5.6358121421512131</v>
          </cell>
          <cell r="S37">
            <v>-22.958882390104161</v>
          </cell>
          <cell r="T37">
            <v>17.323070247952916</v>
          </cell>
        </row>
        <row r="38">
          <cell r="B38">
            <v>-20</v>
          </cell>
          <cell r="C38">
            <v>-15.393641849165151</v>
          </cell>
          <cell r="D38">
            <v>-3.2742892497370328</v>
          </cell>
          <cell r="E38">
            <v>-4.2109855205358437</v>
          </cell>
          <cell r="F38">
            <v>-6.7354813051226774</v>
          </cell>
          <cell r="G38">
            <v>-2.6190097051137942</v>
          </cell>
          <cell r="H38">
            <v>3.2742892497370528</v>
          </cell>
          <cell r="O38">
            <v>-20</v>
          </cell>
          <cell r="P38">
            <v>-6.0361353135872955</v>
          </cell>
          <cell r="Q38">
            <v>-11.548713498635292</v>
          </cell>
          <cell r="R38">
            <v>-3.7572080947674786</v>
          </cell>
          <cell r="S38">
            <v>-15.305921593402761</v>
          </cell>
          <cell r="T38">
            <v>11.548713498635257</v>
          </cell>
        </row>
        <row r="39">
          <cell r="B39">
            <v>-10</v>
          </cell>
          <cell r="C39">
            <v>-7.6968209245825969</v>
          </cell>
          <cell r="D39">
            <v>-1.6371446248685366</v>
          </cell>
          <cell r="E39">
            <v>-2.1054927602678921</v>
          </cell>
          <cell r="F39">
            <v>-3.3780111690280958</v>
          </cell>
          <cell r="G39">
            <v>-1.3095048525568871</v>
          </cell>
          <cell r="H39">
            <v>1.6371446248685366</v>
          </cell>
          <cell r="O39">
            <v>-10</v>
          </cell>
          <cell r="P39">
            <v>-3.0180676567936593</v>
          </cell>
          <cell r="Q39">
            <v>-5.7743567493176231</v>
          </cell>
          <cell r="R39">
            <v>-1.8786040473837338</v>
          </cell>
          <cell r="S39">
            <v>-7.6529607967013913</v>
          </cell>
          <cell r="T39">
            <v>5.7743567493176462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B41">
            <v>10</v>
          </cell>
          <cell r="C41">
            <v>7.6968209245825969</v>
          </cell>
          <cell r="D41">
            <v>1.6371446248685366</v>
          </cell>
          <cell r="E41">
            <v>2.1054927602679121</v>
          </cell>
          <cell r="F41">
            <v>10.852108209058626</v>
          </cell>
          <cell r="G41">
            <v>1.3095048525568871</v>
          </cell>
          <cell r="H41">
            <v>-1.6371446248685366</v>
          </cell>
          <cell r="O41">
            <v>10</v>
          </cell>
          <cell r="P41">
            <v>3.0180676567936366</v>
          </cell>
          <cell r="Q41">
            <v>5.7743567493176462</v>
          </cell>
          <cell r="R41">
            <v>1.8786040473837224</v>
          </cell>
          <cell r="S41">
            <v>7.6529607967013673</v>
          </cell>
          <cell r="T41">
            <v>-5.7743567493176231</v>
          </cell>
        </row>
        <row r="42">
          <cell r="B42">
            <v>20</v>
          </cell>
          <cell r="C42">
            <v>15.393641849165112</v>
          </cell>
          <cell r="D42">
            <v>3.2742892497370528</v>
          </cell>
          <cell r="E42">
            <v>4.2109855205358437</v>
          </cell>
          <cell r="F42">
            <v>13.79875768648405</v>
          </cell>
          <cell r="G42">
            <v>2.6190097051137542</v>
          </cell>
          <cell r="H42">
            <v>-3.2742892497370328</v>
          </cell>
          <cell r="O42">
            <v>20</v>
          </cell>
          <cell r="P42">
            <v>6.0361353135873079</v>
          </cell>
          <cell r="Q42">
            <v>11.548713498635257</v>
          </cell>
          <cell r="R42">
            <v>3.7572080947674564</v>
          </cell>
          <cell r="S42">
            <v>15.305921593402724</v>
          </cell>
          <cell r="T42">
            <v>-11.548713498635292</v>
          </cell>
        </row>
        <row r="43">
          <cell r="B43">
            <v>30</v>
          </cell>
          <cell r="C43">
            <v>23.090462773747749</v>
          </cell>
          <cell r="D43">
            <v>4.911433874605609</v>
          </cell>
          <cell r="E43">
            <v>6.3164782808037971</v>
          </cell>
          <cell r="F43">
            <v>17.984867646835145</v>
          </cell>
          <cell r="G43">
            <v>3.928514557670701</v>
          </cell>
          <cell r="H43">
            <v>-4.911433874605609</v>
          </cell>
          <cell r="O43">
            <v>30</v>
          </cell>
          <cell r="P43">
            <v>9.054202970380933</v>
          </cell>
          <cell r="Q43">
            <v>17.323070247952916</v>
          </cell>
          <cell r="R43">
            <v>5.6358121421511784</v>
          </cell>
          <cell r="S43">
            <v>22.958882390104126</v>
          </cell>
          <cell r="T43">
            <v>-17.323070247952938</v>
          </cell>
        </row>
        <row r="44">
          <cell r="B44">
            <v>40</v>
          </cell>
          <cell r="C44">
            <v>30.787283698330302</v>
          </cell>
          <cell r="D44">
            <v>6.5485784994741252</v>
          </cell>
          <cell r="E44">
            <v>8.4219710410716484</v>
          </cell>
          <cell r="F44">
            <v>20.93151712426053</v>
          </cell>
          <cell r="G44">
            <v>5.2380194102275679</v>
          </cell>
          <cell r="H44">
            <v>-6.5485784994741651</v>
          </cell>
          <cell r="O44">
            <v>40</v>
          </cell>
          <cell r="P44">
            <v>12.072270627174559</v>
          </cell>
          <cell r="Q44">
            <v>23.097426997270549</v>
          </cell>
          <cell r="R44">
            <v>7.5144161895349466</v>
          </cell>
          <cell r="S44">
            <v>30.611843186805487</v>
          </cell>
          <cell r="T44">
            <v>-23.097426997270585</v>
          </cell>
        </row>
        <row r="45">
          <cell r="B45">
            <v>50</v>
          </cell>
          <cell r="C45">
            <v>38.484104622912859</v>
          </cell>
          <cell r="D45">
            <v>8.1857231243427009</v>
          </cell>
          <cell r="E45">
            <v>10.527463801339602</v>
          </cell>
          <cell r="F45">
            <v>23.878166601685951</v>
          </cell>
          <cell r="G45">
            <v>6.5475242627844557</v>
          </cell>
          <cell r="H45">
            <v>-8.1857231243426618</v>
          </cell>
          <cell r="O45">
            <v>50</v>
          </cell>
          <cell r="P45">
            <v>15.090338283968229</v>
          </cell>
          <cell r="Q45">
            <v>28.871783746588207</v>
          </cell>
          <cell r="R45">
            <v>9.3930202369186464</v>
          </cell>
          <cell r="S45">
            <v>38.264803983506887</v>
          </cell>
          <cell r="T45">
            <v>-28.871783746588232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AY1000"/>
  <sheetViews>
    <sheetView topLeftCell="S22" zoomScale="40" zoomScaleNormal="40" workbookViewId="0">
      <selection activeCell="J8" sqref="J8:J26"/>
    </sheetView>
  </sheetViews>
  <sheetFormatPr defaultColWidth="14.42578125" defaultRowHeight="15" customHeight="1" x14ac:dyDescent="0.25"/>
  <cols>
    <col min="1" max="1" width="52.7109375" customWidth="1"/>
    <col min="2" max="2" width="17.42578125" customWidth="1"/>
    <col min="3" max="3" width="16.28515625" customWidth="1"/>
    <col min="4" max="4" width="8.85546875" customWidth="1"/>
    <col min="5" max="5" width="48" customWidth="1"/>
    <col min="6" max="6" width="17" customWidth="1"/>
    <col min="7" max="7" width="8.85546875" customWidth="1"/>
    <col min="8" max="8" width="19.28515625" customWidth="1"/>
    <col min="9" max="9" width="47" bestFit="1" customWidth="1"/>
    <col min="10" max="10" width="17.710937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33.7109375" customWidth="1"/>
    <col min="19" max="19" width="16.42578125" customWidth="1"/>
    <col min="20" max="20" width="11.140625" customWidth="1"/>
    <col min="21" max="22" width="31.28515625" customWidth="1"/>
    <col min="23" max="23" width="23.85546875" customWidth="1"/>
    <col min="24" max="25" width="13.42578125" customWidth="1"/>
    <col min="26" max="26" width="19.42578125" customWidth="1"/>
    <col min="27" max="27" width="12.28515625" customWidth="1"/>
    <col min="28" max="28" width="20.140625" customWidth="1"/>
    <col min="29" max="29" width="19.28515625" customWidth="1"/>
    <col min="30" max="30" width="12.85546875" customWidth="1"/>
    <col min="31" max="31" width="19" customWidth="1"/>
    <col min="32" max="32" width="4.7109375" customWidth="1"/>
    <col min="33" max="33" width="20.140625" customWidth="1"/>
    <col min="34" max="34" width="19.28515625" customWidth="1"/>
    <col min="35" max="35" width="11.28515625" customWidth="1"/>
    <col min="36" max="36" width="17.85546875" customWidth="1"/>
    <col min="37" max="38" width="8.85546875" customWidth="1"/>
    <col min="39" max="39" width="17.42578125" customWidth="1"/>
    <col min="40" max="40" width="9.7109375" customWidth="1"/>
    <col min="41" max="41" width="15.42578125" customWidth="1"/>
    <col min="42" max="42" width="8.85546875" customWidth="1"/>
    <col min="43" max="44" width="12.7109375" customWidth="1"/>
    <col min="45" max="51" width="8.85546875" customWidth="1"/>
  </cols>
  <sheetData>
    <row r="1" spans="1:51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x14ac:dyDescent="0.25">
      <c r="A2" s="1" t="s">
        <v>2</v>
      </c>
      <c r="B2" s="3">
        <f>X49</f>
        <v>617965.41213168134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x14ac:dyDescent="0.25">
      <c r="A3" s="2"/>
      <c r="B3" s="4">
        <f>B2/J33</f>
        <v>1.0669016032590339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" t="s">
        <v>7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x14ac:dyDescent="0.25">
      <c r="A5" s="2" t="s">
        <v>8</v>
      </c>
      <c r="B5" s="6">
        <v>10</v>
      </c>
      <c r="C5" s="2" t="s">
        <v>9</v>
      </c>
      <c r="D5" s="2"/>
      <c r="E5" s="2"/>
      <c r="F5" s="2"/>
      <c r="G5" s="2"/>
      <c r="H5" s="2"/>
      <c r="I5" s="2"/>
      <c r="J5" s="5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x14ac:dyDescent="0.25">
      <c r="A7" s="8" t="s">
        <v>11</v>
      </c>
      <c r="B7" s="9"/>
      <c r="C7" s="9"/>
      <c r="D7" s="9"/>
      <c r="E7" s="9"/>
      <c r="F7" s="9"/>
      <c r="G7" s="9"/>
      <c r="H7" s="10"/>
      <c r="I7" s="11" t="s">
        <v>12</v>
      </c>
      <c r="J7" s="9"/>
      <c r="K7" s="9"/>
      <c r="L7" s="10"/>
      <c r="M7" s="2"/>
      <c r="N7" s="12" t="s">
        <v>13</v>
      </c>
      <c r="O7" s="12" t="s">
        <v>14</v>
      </c>
      <c r="P7" s="12" t="s">
        <v>15</v>
      </c>
      <c r="Q7" s="12" t="s">
        <v>16</v>
      </c>
      <c r="R7" s="12" t="s">
        <v>17</v>
      </c>
      <c r="S7" s="12" t="s">
        <v>18</v>
      </c>
      <c r="T7" s="12" t="s">
        <v>19</v>
      </c>
      <c r="U7" s="12" t="s">
        <v>20</v>
      </c>
      <c r="V7" s="12" t="s">
        <v>21</v>
      </c>
      <c r="W7" s="12" t="s">
        <v>22</v>
      </c>
      <c r="X7" s="13" t="s">
        <v>23</v>
      </c>
      <c r="Y7" s="1"/>
      <c r="Z7" s="2"/>
      <c r="AA7" s="2"/>
      <c r="AB7" s="2" t="s">
        <v>24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x14ac:dyDescent="0.25">
      <c r="A8" s="14" t="s">
        <v>25</v>
      </c>
      <c r="B8" s="15">
        <v>4.72</v>
      </c>
      <c r="C8" s="2" t="s">
        <v>26</v>
      </c>
      <c r="D8" s="2"/>
      <c r="E8" s="2"/>
      <c r="F8" s="2"/>
      <c r="G8" s="2"/>
      <c r="H8" s="16"/>
      <c r="I8" s="17" t="s">
        <v>197</v>
      </c>
      <c r="J8" s="6">
        <v>1032309.6774193548</v>
      </c>
      <c r="K8" s="2" t="s">
        <v>28</v>
      </c>
      <c r="L8" s="18"/>
      <c r="M8" s="2"/>
      <c r="N8" s="12">
        <v>0</v>
      </c>
      <c r="O8" s="19">
        <f>F31</f>
        <v>107449.26393657736</v>
      </c>
      <c r="P8" s="12"/>
      <c r="Q8" s="12"/>
      <c r="R8" s="12"/>
      <c r="S8" s="12"/>
      <c r="T8" s="12"/>
      <c r="U8" s="12"/>
      <c r="V8" s="12"/>
      <c r="W8" s="12"/>
      <c r="X8" s="20">
        <f t="shared" ref="X8:X48" si="0">SUM(O8:W8)</f>
        <v>107449.26393657736</v>
      </c>
      <c r="Y8" s="3"/>
      <c r="Z8" s="6"/>
      <c r="AA8" s="2"/>
      <c r="AB8" s="21" t="s">
        <v>29</v>
      </c>
      <c r="AC8" s="22">
        <f>F36</f>
        <v>0.16737288135593223</v>
      </c>
      <c r="AD8" s="21" t="s">
        <v>30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x14ac:dyDescent="0.25">
      <c r="A9" s="14"/>
      <c r="B9" s="2"/>
      <c r="C9" s="2"/>
      <c r="D9" s="2"/>
      <c r="E9" s="2"/>
      <c r="F9" s="23"/>
      <c r="G9" s="2"/>
      <c r="H9" s="16"/>
      <c r="I9" s="17" t="s">
        <v>31</v>
      </c>
      <c r="J9" s="6">
        <v>105</v>
      </c>
      <c r="K9" s="2" t="s">
        <v>30</v>
      </c>
      <c r="L9" s="18"/>
      <c r="M9" s="2"/>
      <c r="N9" s="12">
        <v>1</v>
      </c>
      <c r="O9" s="12"/>
      <c r="P9" s="24">
        <f t="shared" ref="P9:P48" si="1">IF(N9&gt;0,IF(N9&lt;=$J$20,(($F$32+$F$33)/$J$20)/((1+($F$11/100))^N9),0),0)</f>
        <v>60505.874403397116</v>
      </c>
      <c r="Q9" s="25">
        <f t="shared" ref="Q9:Q48" si="2">IF(N9&gt;0,($F$41*((1+($F$14/100))^(N9-1)))/((1+($F$11/100))^N9),0)</f>
        <v>9140.5175847457649</v>
      </c>
      <c r="R9" s="25">
        <f t="shared" ref="R9:R48" si="3">IF(N9&gt;0,$F$40/((1+($F$11/100))^N9),0)</f>
        <v>0</v>
      </c>
      <c r="S9" s="25">
        <f t="shared" ref="S9:S48" si="4">IF(N9&gt;0,$J$35/((1+($F$11/100))^N9),0)</f>
        <v>28260.660571428569</v>
      </c>
      <c r="T9" s="25">
        <f t="shared" ref="T9:T48" si="5">IF(N9&gt;0,($F$17/$B$8)/((1+($F$11/100))^N9),0)</f>
        <v>0</v>
      </c>
      <c r="U9" s="25">
        <f t="shared" ref="U9:U48" si="6">IF(AND(MOD(N9,$J$31)=0,N9&gt;0),$B$47/((1+($F$11/100))^N9),0)</f>
        <v>0</v>
      </c>
      <c r="V9" s="25">
        <f t="shared" ref="V9:V48" si="7">IF(N9&gt;0,$J$32/((1+($F$11/100))^N9),0)</f>
        <v>0</v>
      </c>
      <c r="W9" s="24">
        <f t="shared" ref="W9:W18" si="8">IF(N9=$B$5,((((1-$J$15/100)^N9)*$B$48+((1-$J$16/100)^N9)*$B$49)/((1+($F$11/100))^N9))*-1,0)</f>
        <v>0</v>
      </c>
      <c r="X9" s="20">
        <f t="shared" si="0"/>
        <v>97907.052559571457</v>
      </c>
      <c r="Y9" s="3"/>
      <c r="Z9" s="6"/>
      <c r="AA9" s="2"/>
      <c r="AB9" s="21" t="s">
        <v>32</v>
      </c>
      <c r="AC9" s="26">
        <f>B49</f>
        <v>33810</v>
      </c>
      <c r="AD9" s="21" t="s">
        <v>3</v>
      </c>
      <c r="AE9" s="2"/>
      <c r="AF9" s="6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 x14ac:dyDescent="0.25">
      <c r="A10" s="27" t="s">
        <v>33</v>
      </c>
      <c r="B10" s="2"/>
      <c r="C10" s="2"/>
      <c r="D10" s="2"/>
      <c r="E10" s="1" t="s">
        <v>34</v>
      </c>
      <c r="F10" s="2"/>
      <c r="G10" s="2"/>
      <c r="H10" s="18"/>
      <c r="I10" s="17" t="s">
        <v>35</v>
      </c>
      <c r="J10" s="6">
        <v>322</v>
      </c>
      <c r="K10" s="2" t="s">
        <v>36</v>
      </c>
      <c r="L10" s="18"/>
      <c r="M10" s="2"/>
      <c r="N10" s="12">
        <f t="shared" ref="N10:N48" si="9">IF((N9+1)&gt;$B$5,,IF(N9=0,,N9+1))</f>
        <v>2</v>
      </c>
      <c r="O10" s="12"/>
      <c r="P10" s="24">
        <f t="shared" si="1"/>
        <v>57624.642288949632</v>
      </c>
      <c r="Q10" s="25">
        <f t="shared" si="2"/>
        <v>8792.307391041164</v>
      </c>
      <c r="R10" s="25">
        <f t="shared" si="3"/>
        <v>0</v>
      </c>
      <c r="S10" s="25">
        <f t="shared" si="4"/>
        <v>26914.914829931971</v>
      </c>
      <c r="T10" s="25">
        <f t="shared" si="5"/>
        <v>0</v>
      </c>
      <c r="U10" s="25">
        <f t="shared" si="6"/>
        <v>0</v>
      </c>
      <c r="V10" s="25">
        <f t="shared" si="7"/>
        <v>0</v>
      </c>
      <c r="W10" s="24">
        <f t="shared" si="8"/>
        <v>0</v>
      </c>
      <c r="X10" s="20">
        <f t="shared" si="0"/>
        <v>93331.864509922772</v>
      </c>
      <c r="Y10" s="3"/>
      <c r="Z10" s="6"/>
      <c r="AA10" s="2"/>
      <c r="AB10" s="21" t="s">
        <v>172</v>
      </c>
      <c r="AC10" s="28">
        <f>B54</f>
        <v>358137.26396938215</v>
      </c>
      <c r="AD10" s="21" t="s">
        <v>3</v>
      </c>
      <c r="AE10" s="2"/>
      <c r="AF10" s="6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 x14ac:dyDescent="0.25">
      <c r="A11" s="67" t="s">
        <v>37</v>
      </c>
      <c r="B11" s="68">
        <v>2500</v>
      </c>
      <c r="C11" s="68" t="s">
        <v>28</v>
      </c>
      <c r="D11" s="2"/>
      <c r="E11" s="17" t="s">
        <v>38</v>
      </c>
      <c r="F11" s="2">
        <v>5</v>
      </c>
      <c r="G11" s="2" t="s">
        <v>39</v>
      </c>
      <c r="H11" s="18"/>
      <c r="I11" s="17" t="s">
        <v>40</v>
      </c>
      <c r="J11" s="6">
        <v>4000</v>
      </c>
      <c r="K11" s="2" t="s">
        <v>41</v>
      </c>
      <c r="L11" s="18"/>
      <c r="M11" s="2"/>
      <c r="N11" s="12">
        <f t="shared" si="9"/>
        <v>3</v>
      </c>
      <c r="O11" s="12"/>
      <c r="P11" s="24">
        <f t="shared" si="1"/>
        <v>54880.611703761555</v>
      </c>
      <c r="Q11" s="25">
        <f t="shared" si="2"/>
        <v>8457.3623475729291</v>
      </c>
      <c r="R11" s="25">
        <f t="shared" si="3"/>
        <v>0</v>
      </c>
      <c r="S11" s="25">
        <f t="shared" si="4"/>
        <v>25633.252218982827</v>
      </c>
      <c r="T11" s="25">
        <f t="shared" si="5"/>
        <v>0</v>
      </c>
      <c r="U11" s="25">
        <f t="shared" si="6"/>
        <v>0</v>
      </c>
      <c r="V11" s="25">
        <f t="shared" si="7"/>
        <v>0</v>
      </c>
      <c r="W11" s="24">
        <f t="shared" si="8"/>
        <v>0</v>
      </c>
      <c r="X11" s="20">
        <f t="shared" si="0"/>
        <v>88971.226270317318</v>
      </c>
      <c r="Y11" s="3"/>
      <c r="Z11" s="6"/>
      <c r="AA11" s="2"/>
      <c r="AB11" s="21" t="s">
        <v>42</v>
      </c>
      <c r="AC11" s="29">
        <f>F12</f>
        <v>57921.5</v>
      </c>
      <c r="AD11" s="21" t="s">
        <v>43</v>
      </c>
      <c r="AE11" s="2"/>
      <c r="AF11" s="6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 x14ac:dyDescent="0.25">
      <c r="A12" s="30" t="s">
        <v>44</v>
      </c>
      <c r="B12" s="2">
        <v>0</v>
      </c>
      <c r="C12" s="2" t="s">
        <v>39</v>
      </c>
      <c r="D12" s="2"/>
      <c r="E12" s="69" t="s">
        <v>45</v>
      </c>
      <c r="F12" s="70">
        <v>57921.5</v>
      </c>
      <c r="G12" s="68" t="s">
        <v>43</v>
      </c>
      <c r="H12" s="18"/>
      <c r="I12" s="17" t="s">
        <v>46</v>
      </c>
      <c r="J12" s="6">
        <v>235</v>
      </c>
      <c r="K12" s="2" t="s">
        <v>47</v>
      </c>
      <c r="L12" s="18"/>
      <c r="M12" s="2"/>
      <c r="N12" s="12">
        <f t="shared" si="9"/>
        <v>4</v>
      </c>
      <c r="O12" s="12"/>
      <c r="P12" s="24">
        <f t="shared" si="1"/>
        <v>52267.249241677673</v>
      </c>
      <c r="Q12" s="25">
        <f t="shared" si="2"/>
        <v>8135.1771152844358</v>
      </c>
      <c r="R12" s="25">
        <f t="shared" si="3"/>
        <v>0</v>
      </c>
      <c r="S12" s="25">
        <f t="shared" si="4"/>
        <v>24412.621160936029</v>
      </c>
      <c r="T12" s="25">
        <f t="shared" si="5"/>
        <v>0</v>
      </c>
      <c r="U12" s="25">
        <f t="shared" si="6"/>
        <v>0</v>
      </c>
      <c r="V12" s="25">
        <f t="shared" si="7"/>
        <v>0</v>
      </c>
      <c r="W12" s="24">
        <f t="shared" si="8"/>
        <v>0</v>
      </c>
      <c r="X12" s="20">
        <f t="shared" si="0"/>
        <v>84815.047517898143</v>
      </c>
      <c r="Y12" s="3"/>
      <c r="Z12" s="6"/>
      <c r="AA12" s="2"/>
      <c r="AB12" s="31" t="s">
        <v>48</v>
      </c>
      <c r="AC12" s="28">
        <f>J39</f>
        <v>20295.693599999999</v>
      </c>
      <c r="AD12" s="21" t="s">
        <v>49</v>
      </c>
      <c r="AE12" s="2"/>
      <c r="AF12" s="6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x14ac:dyDescent="0.25">
      <c r="A13" s="68" t="s">
        <v>50</v>
      </c>
      <c r="B13" s="68">
        <v>24</v>
      </c>
      <c r="C13" s="68" t="s">
        <v>39</v>
      </c>
      <c r="D13" s="2"/>
      <c r="E13" s="69" t="s">
        <v>29</v>
      </c>
      <c r="F13" s="71">
        <v>0.79</v>
      </c>
      <c r="G13" s="68" t="s">
        <v>51</v>
      </c>
      <c r="H13" s="18"/>
      <c r="I13" s="17" t="s">
        <v>52</v>
      </c>
      <c r="J13" s="2">
        <v>30</v>
      </c>
      <c r="K13" s="2" t="s">
        <v>53</v>
      </c>
      <c r="L13" s="18"/>
      <c r="M13" s="2"/>
      <c r="N13" s="12">
        <f t="shared" si="9"/>
        <v>5</v>
      </c>
      <c r="O13" s="12"/>
      <c r="P13" s="24">
        <f t="shared" si="1"/>
        <v>49778.332611121594</v>
      </c>
      <c r="Q13" s="25">
        <f t="shared" si="2"/>
        <v>7825.2656061307434</v>
      </c>
      <c r="R13" s="25">
        <f t="shared" si="3"/>
        <v>0</v>
      </c>
      <c r="S13" s="25">
        <f t="shared" si="4"/>
        <v>23250.115391367643</v>
      </c>
      <c r="T13" s="25">
        <f t="shared" si="5"/>
        <v>0</v>
      </c>
      <c r="U13" s="25">
        <f t="shared" si="6"/>
        <v>0</v>
      </c>
      <c r="V13" s="25">
        <f t="shared" si="7"/>
        <v>0</v>
      </c>
      <c r="W13" s="24">
        <f t="shared" si="8"/>
        <v>0</v>
      </c>
      <c r="X13" s="20">
        <f t="shared" si="0"/>
        <v>80853.713608619975</v>
      </c>
      <c r="Y13" s="3"/>
      <c r="Z13" s="6"/>
      <c r="AA13" s="2"/>
      <c r="AB13" s="2" t="s">
        <v>171</v>
      </c>
      <c r="AC13" s="6">
        <f>J26</f>
        <v>117.5</v>
      </c>
      <c r="AD13" s="2" t="s">
        <v>160</v>
      </c>
      <c r="AE13" s="2"/>
      <c r="AF13" s="6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" x14ac:dyDescent="0.25">
      <c r="A14" s="67" t="s">
        <v>54</v>
      </c>
      <c r="B14" s="68">
        <v>0</v>
      </c>
      <c r="C14" s="68" t="s">
        <v>39</v>
      </c>
      <c r="D14" s="2"/>
      <c r="E14" s="69" t="s">
        <v>55</v>
      </c>
      <c r="F14" s="68">
        <v>1</v>
      </c>
      <c r="G14" s="68" t="s">
        <v>56</v>
      </c>
      <c r="H14" s="18"/>
      <c r="I14" s="17" t="s">
        <v>57</v>
      </c>
      <c r="J14" s="5">
        <v>20</v>
      </c>
      <c r="K14" s="2" t="s">
        <v>39</v>
      </c>
      <c r="L14" s="18"/>
      <c r="M14" s="2"/>
      <c r="N14" s="12">
        <f t="shared" si="9"/>
        <v>6</v>
      </c>
      <c r="O14" s="12"/>
      <c r="P14" s="24">
        <f t="shared" si="1"/>
        <v>0</v>
      </c>
      <c r="Q14" s="25">
        <f t="shared" si="2"/>
        <v>7527.1602497067151</v>
      </c>
      <c r="R14" s="25">
        <f t="shared" si="3"/>
        <v>0</v>
      </c>
      <c r="S14" s="25">
        <f t="shared" si="4"/>
        <v>22142.967039397758</v>
      </c>
      <c r="T14" s="25">
        <f t="shared" si="5"/>
        <v>0</v>
      </c>
      <c r="U14" s="25">
        <f t="shared" si="6"/>
        <v>0</v>
      </c>
      <c r="V14" s="25">
        <f t="shared" si="7"/>
        <v>0</v>
      </c>
      <c r="W14" s="24">
        <f t="shared" si="8"/>
        <v>0</v>
      </c>
      <c r="X14" s="20">
        <f t="shared" si="0"/>
        <v>29670.127289104472</v>
      </c>
      <c r="Y14" s="3"/>
      <c r="Z14" s="6"/>
      <c r="AA14" s="2"/>
      <c r="AB14" s="2" t="s">
        <v>196</v>
      </c>
      <c r="AC14" s="15">
        <f>J17</f>
        <v>0.99</v>
      </c>
      <c r="AD14" s="2" t="s">
        <v>67</v>
      </c>
      <c r="AE14" s="2"/>
      <c r="AF14" s="6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 x14ac:dyDescent="0.25">
      <c r="A15" s="68" t="s">
        <v>58</v>
      </c>
      <c r="B15" s="68">
        <v>0</v>
      </c>
      <c r="C15" s="68" t="s">
        <v>39</v>
      </c>
      <c r="D15" s="2"/>
      <c r="E15" s="17" t="s">
        <v>59</v>
      </c>
      <c r="F15" s="2">
        <v>0</v>
      </c>
      <c r="G15" s="2" t="s">
        <v>60</v>
      </c>
      <c r="H15" s="18"/>
      <c r="I15" s="17" t="s">
        <v>61</v>
      </c>
      <c r="J15" s="2">
        <v>7.08</v>
      </c>
      <c r="K15" s="2" t="s">
        <v>62</v>
      </c>
      <c r="L15" s="18"/>
      <c r="M15" s="2"/>
      <c r="N15" s="12">
        <f t="shared" si="9"/>
        <v>7</v>
      </c>
      <c r="O15" s="12"/>
      <c r="P15" s="24">
        <f t="shared" si="1"/>
        <v>0</v>
      </c>
      <c r="Q15" s="25">
        <f t="shared" si="2"/>
        <v>7240.4112878131264</v>
      </c>
      <c r="R15" s="25">
        <f t="shared" si="3"/>
        <v>0</v>
      </c>
      <c r="S15" s="25">
        <f t="shared" si="4"/>
        <v>21088.54003752167</v>
      </c>
      <c r="T15" s="25">
        <f t="shared" si="5"/>
        <v>0</v>
      </c>
      <c r="U15" s="25">
        <f t="shared" si="6"/>
        <v>0</v>
      </c>
      <c r="V15" s="25">
        <f t="shared" si="7"/>
        <v>0</v>
      </c>
      <c r="W15" s="24">
        <f t="shared" si="8"/>
        <v>0</v>
      </c>
      <c r="X15" s="20">
        <f t="shared" si="0"/>
        <v>28328.951325334798</v>
      </c>
      <c r="Y15" s="3"/>
      <c r="Z15" s="6"/>
      <c r="AA15" s="2"/>
      <c r="AB15" s="2"/>
      <c r="AC15" s="2"/>
      <c r="AD15" s="2"/>
      <c r="AE15" s="2"/>
      <c r="AF15" s="6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 x14ac:dyDescent="0.25">
      <c r="A16" s="67" t="s">
        <v>183</v>
      </c>
      <c r="B16" s="68">
        <v>110</v>
      </c>
      <c r="C16" s="68" t="s">
        <v>28</v>
      </c>
      <c r="D16" s="2"/>
      <c r="E16" s="17" t="s">
        <v>63</v>
      </c>
      <c r="F16" s="2">
        <v>0</v>
      </c>
      <c r="G16" s="2" t="s">
        <v>60</v>
      </c>
      <c r="H16" s="18"/>
      <c r="I16" s="17" t="s">
        <v>64</v>
      </c>
      <c r="J16" s="2">
        <v>11</v>
      </c>
      <c r="K16" s="2" t="s">
        <v>62</v>
      </c>
      <c r="L16" s="18"/>
      <c r="M16" s="2"/>
      <c r="N16" s="12">
        <f t="shared" si="9"/>
        <v>8</v>
      </c>
      <c r="O16" s="12"/>
      <c r="P16" s="24">
        <f t="shared" si="1"/>
        <v>0</v>
      </c>
      <c r="Q16" s="25">
        <f t="shared" si="2"/>
        <v>6964.586095896434</v>
      </c>
      <c r="R16" s="25">
        <f t="shared" si="3"/>
        <v>0</v>
      </c>
      <c r="S16" s="25">
        <f t="shared" si="4"/>
        <v>20084.323845258736</v>
      </c>
      <c r="T16" s="25">
        <f t="shared" si="5"/>
        <v>0</v>
      </c>
      <c r="U16" s="25">
        <f t="shared" si="6"/>
        <v>0</v>
      </c>
      <c r="V16" s="25">
        <f t="shared" si="7"/>
        <v>0</v>
      </c>
      <c r="W16" s="24">
        <f t="shared" si="8"/>
        <v>0</v>
      </c>
      <c r="X16" s="20">
        <f t="shared" si="0"/>
        <v>27048.909941155169</v>
      </c>
      <c r="Y16" s="3"/>
      <c r="Z16" s="6"/>
      <c r="AA16" s="2"/>
      <c r="AB16" s="2"/>
      <c r="AC16" s="2"/>
      <c r="AD16" s="2"/>
      <c r="AE16" s="2"/>
      <c r="AF16" s="6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x14ac:dyDescent="0.25">
      <c r="A17" s="30" t="s">
        <v>184</v>
      </c>
      <c r="B17" s="2">
        <v>0</v>
      </c>
      <c r="C17" s="2" t="s">
        <v>39</v>
      </c>
      <c r="D17" s="2"/>
      <c r="E17" s="69" t="s">
        <v>65</v>
      </c>
      <c r="F17" s="68">
        <v>0</v>
      </c>
      <c r="G17" s="68" t="s">
        <v>60</v>
      </c>
      <c r="H17" s="18"/>
      <c r="I17" s="17" t="s">
        <v>66</v>
      </c>
      <c r="J17" s="15">
        <v>0.99</v>
      </c>
      <c r="K17" s="2" t="s">
        <v>67</v>
      </c>
      <c r="L17" s="18"/>
      <c r="M17" s="2"/>
      <c r="N17" s="12">
        <f t="shared" si="9"/>
        <v>9</v>
      </c>
      <c r="O17" s="12"/>
      <c r="P17" s="24">
        <f t="shared" si="1"/>
        <v>0</v>
      </c>
      <c r="Q17" s="25">
        <f t="shared" si="2"/>
        <v>6699.2685303384769</v>
      </c>
      <c r="R17" s="25">
        <f t="shared" si="3"/>
        <v>0</v>
      </c>
      <c r="S17" s="25">
        <f t="shared" si="4"/>
        <v>19127.927471674986</v>
      </c>
      <c r="T17" s="25">
        <f t="shared" si="5"/>
        <v>0</v>
      </c>
      <c r="U17" s="25">
        <f t="shared" si="6"/>
        <v>0</v>
      </c>
      <c r="V17" s="25">
        <f t="shared" si="7"/>
        <v>0</v>
      </c>
      <c r="W17" s="24">
        <f t="shared" si="8"/>
        <v>0</v>
      </c>
      <c r="X17" s="20">
        <f t="shared" si="0"/>
        <v>25827.196002013465</v>
      </c>
      <c r="Y17" s="3"/>
      <c r="Z17" s="6"/>
      <c r="AA17" s="2"/>
      <c r="AB17" s="2"/>
      <c r="AC17" s="2"/>
      <c r="AD17" s="2"/>
      <c r="AE17" s="2"/>
      <c r="AF17" s="6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x14ac:dyDescent="0.25">
      <c r="A18" s="30" t="s">
        <v>68</v>
      </c>
      <c r="B18" s="2">
        <v>0</v>
      </c>
      <c r="C18" s="2" t="s">
        <v>39</v>
      </c>
      <c r="D18" s="2"/>
      <c r="E18" s="69" t="s">
        <v>69</v>
      </c>
      <c r="F18" s="72">
        <v>44147.56</v>
      </c>
      <c r="G18" s="68" t="s">
        <v>60</v>
      </c>
      <c r="H18" s="18"/>
      <c r="I18" s="74" t="s">
        <v>71</v>
      </c>
      <c r="J18" s="75">
        <v>0</v>
      </c>
      <c r="K18" s="76" t="s">
        <v>28</v>
      </c>
      <c r="L18" s="18"/>
      <c r="M18" s="2"/>
      <c r="N18" s="12">
        <f t="shared" si="9"/>
        <v>10</v>
      </c>
      <c r="O18" s="12"/>
      <c r="P18" s="24">
        <f t="shared" si="1"/>
        <v>0</v>
      </c>
      <c r="Q18" s="25">
        <f t="shared" si="2"/>
        <v>6444.0583006112965</v>
      </c>
      <c r="R18" s="25">
        <f t="shared" si="3"/>
        <v>0</v>
      </c>
      <c r="S18" s="25">
        <f t="shared" si="4"/>
        <v>18217.073782547606</v>
      </c>
      <c r="T18" s="25">
        <f t="shared" si="5"/>
        <v>0</v>
      </c>
      <c r="U18" s="25">
        <f t="shared" si="6"/>
        <v>0</v>
      </c>
      <c r="V18" s="25">
        <f t="shared" si="7"/>
        <v>0</v>
      </c>
      <c r="W18" s="24">
        <f t="shared" si="8"/>
        <v>-70899.07291199264</v>
      </c>
      <c r="X18" s="20">
        <f t="shared" si="0"/>
        <v>-46237.940828833736</v>
      </c>
      <c r="Y18" s="3"/>
      <c r="Z18" s="6"/>
      <c r="AA18" s="2"/>
      <c r="AB18" s="2"/>
      <c r="AC18" s="2"/>
      <c r="AD18" s="2"/>
      <c r="AE18" s="2"/>
      <c r="AF18" s="6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x14ac:dyDescent="0.25">
      <c r="A19" s="30" t="s">
        <v>70</v>
      </c>
      <c r="B19" s="2">
        <v>0</v>
      </c>
      <c r="C19" s="2" t="s">
        <v>39</v>
      </c>
      <c r="D19" s="2"/>
      <c r="E19" s="69" t="s">
        <v>48</v>
      </c>
      <c r="F19" s="73">
        <v>1.6538879999999998</v>
      </c>
      <c r="G19" s="68" t="s">
        <v>153</v>
      </c>
      <c r="H19" s="18"/>
      <c r="I19" s="1" t="s">
        <v>78</v>
      </c>
      <c r="J19" s="2"/>
      <c r="K19" s="2"/>
      <c r="L19" s="18"/>
      <c r="M19" s="2"/>
      <c r="N19" s="12">
        <f t="shared" si="9"/>
        <v>0</v>
      </c>
      <c r="O19" s="12"/>
      <c r="P19" s="24">
        <f t="shared" si="1"/>
        <v>0</v>
      </c>
      <c r="Q19" s="25">
        <f t="shared" si="2"/>
        <v>0</v>
      </c>
      <c r="R19" s="25">
        <f t="shared" si="3"/>
        <v>0</v>
      </c>
      <c r="S19" s="25">
        <f t="shared" si="4"/>
        <v>0</v>
      </c>
      <c r="T19" s="25">
        <f t="shared" si="5"/>
        <v>0</v>
      </c>
      <c r="U19" s="25">
        <f t="shared" si="6"/>
        <v>0</v>
      </c>
      <c r="V19" s="25">
        <f t="shared" si="7"/>
        <v>0</v>
      </c>
      <c r="W19" s="24">
        <f t="shared" ref="W19:W48" si="10">IF(N19=$B$5,((((1-$J$15/100)^N19)*$B$54+((1-$J$16/100)^N19)*$B$49)/((1+($F$11/100))^N19))*-1,0)</f>
        <v>0</v>
      </c>
      <c r="X19" s="20">
        <f t="shared" si="0"/>
        <v>0</v>
      </c>
      <c r="Y19" s="3"/>
      <c r="Z19" s="6"/>
      <c r="AA19" s="2"/>
      <c r="AB19" s="2"/>
      <c r="AC19" s="2"/>
      <c r="AD19" s="2"/>
      <c r="AE19" s="2"/>
      <c r="AF19" s="6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x14ac:dyDescent="0.25">
      <c r="A20" s="30" t="s">
        <v>72</v>
      </c>
      <c r="B20" s="2">
        <v>0</v>
      </c>
      <c r="C20" s="2" t="s">
        <v>39</v>
      </c>
      <c r="D20" s="2"/>
      <c r="E20" s="68" t="s">
        <v>177</v>
      </c>
      <c r="F20" s="77">
        <f>58.3*2</f>
        <v>116.6</v>
      </c>
      <c r="G20" s="68" t="s">
        <v>60</v>
      </c>
      <c r="H20" s="18"/>
      <c r="I20" s="17" t="s">
        <v>84</v>
      </c>
      <c r="J20" s="2">
        <v>5</v>
      </c>
      <c r="K20" s="2" t="s">
        <v>53</v>
      </c>
      <c r="L20" s="18"/>
      <c r="M20" s="2"/>
      <c r="N20" s="12">
        <f t="shared" si="9"/>
        <v>0</v>
      </c>
      <c r="O20" s="12"/>
      <c r="P20" s="24">
        <f t="shared" si="1"/>
        <v>0</v>
      </c>
      <c r="Q20" s="25">
        <f t="shared" si="2"/>
        <v>0</v>
      </c>
      <c r="R20" s="25">
        <f t="shared" si="3"/>
        <v>0</v>
      </c>
      <c r="S20" s="25">
        <f t="shared" si="4"/>
        <v>0</v>
      </c>
      <c r="T20" s="25">
        <f t="shared" si="5"/>
        <v>0</v>
      </c>
      <c r="U20" s="25">
        <f t="shared" si="6"/>
        <v>0</v>
      </c>
      <c r="V20" s="25">
        <f t="shared" si="7"/>
        <v>0</v>
      </c>
      <c r="W20" s="24">
        <f t="shared" si="10"/>
        <v>0</v>
      </c>
      <c r="X20" s="20">
        <f t="shared" si="0"/>
        <v>0</v>
      </c>
      <c r="Y20" s="3"/>
      <c r="Z20" s="6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78" t="s">
        <v>73</v>
      </c>
      <c r="B21" s="68">
        <v>10</v>
      </c>
      <c r="C21" s="68" t="s">
        <v>39</v>
      </c>
      <c r="D21" s="2"/>
      <c r="E21" s="68" t="s">
        <v>74</v>
      </c>
      <c r="F21" s="68">
        <v>0</v>
      </c>
      <c r="G21" s="68" t="s">
        <v>75</v>
      </c>
      <c r="H21" s="18"/>
      <c r="I21" s="17" t="s">
        <v>87</v>
      </c>
      <c r="J21" s="2">
        <v>30</v>
      </c>
      <c r="K21" s="2" t="s">
        <v>88</v>
      </c>
      <c r="L21" s="18"/>
      <c r="M21" s="2"/>
      <c r="N21" s="12">
        <f t="shared" si="9"/>
        <v>0</v>
      </c>
      <c r="O21" s="12"/>
      <c r="P21" s="24">
        <f t="shared" si="1"/>
        <v>0</v>
      </c>
      <c r="Q21" s="25">
        <f t="shared" si="2"/>
        <v>0</v>
      </c>
      <c r="R21" s="25">
        <f t="shared" si="3"/>
        <v>0</v>
      </c>
      <c r="S21" s="25">
        <f t="shared" si="4"/>
        <v>0</v>
      </c>
      <c r="T21" s="25">
        <f t="shared" si="5"/>
        <v>0</v>
      </c>
      <c r="U21" s="25">
        <f t="shared" si="6"/>
        <v>0</v>
      </c>
      <c r="V21" s="25">
        <f t="shared" si="7"/>
        <v>0</v>
      </c>
      <c r="W21" s="24">
        <f t="shared" si="10"/>
        <v>0</v>
      </c>
      <c r="X21" s="20">
        <f t="shared" si="0"/>
        <v>0</v>
      </c>
      <c r="Y21" s="3"/>
      <c r="Z21" s="6"/>
      <c r="AA21" s="2"/>
      <c r="AB21" s="32" t="s">
        <v>29</v>
      </c>
      <c r="AC21" s="33"/>
      <c r="AD21" s="33"/>
      <c r="AE21" s="33"/>
      <c r="AF21" s="2"/>
      <c r="AG21" s="32" t="s">
        <v>27</v>
      </c>
      <c r="AH21" s="33"/>
      <c r="AI21" s="33"/>
      <c r="AJ21" s="33"/>
      <c r="AK21" s="2"/>
      <c r="AL21" s="112" t="s">
        <v>187</v>
      </c>
      <c r="AM21" s="112" t="s">
        <v>188</v>
      </c>
      <c r="AN21" s="112" t="s">
        <v>189</v>
      </c>
      <c r="AO21" s="112" t="s">
        <v>32</v>
      </c>
      <c r="AP21" s="112" t="s">
        <v>190</v>
      </c>
      <c r="AQ21" s="112" t="s">
        <v>191</v>
      </c>
      <c r="AR21" s="117" t="str">
        <f>AB66</f>
        <v>Energy Efficiency</v>
      </c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78" t="s">
        <v>76</v>
      </c>
      <c r="B22" s="68">
        <v>8</v>
      </c>
      <c r="C22" s="68" t="s">
        <v>39</v>
      </c>
      <c r="D22" s="2"/>
      <c r="E22" s="17" t="s">
        <v>77</v>
      </c>
      <c r="F22" s="2">
        <v>5.34</v>
      </c>
      <c r="G22" s="2" t="s">
        <v>62</v>
      </c>
      <c r="H22" s="18"/>
      <c r="I22" s="95"/>
      <c r="J22" s="95"/>
      <c r="K22" s="95"/>
      <c r="L22" s="18"/>
      <c r="M22" s="2"/>
      <c r="N22" s="12">
        <f t="shared" si="9"/>
        <v>0</v>
      </c>
      <c r="O22" s="12"/>
      <c r="P22" s="24">
        <f t="shared" si="1"/>
        <v>0</v>
      </c>
      <c r="Q22" s="25">
        <f t="shared" si="2"/>
        <v>0</v>
      </c>
      <c r="R22" s="25">
        <f t="shared" si="3"/>
        <v>0</v>
      </c>
      <c r="S22" s="25">
        <f t="shared" si="4"/>
        <v>0</v>
      </c>
      <c r="T22" s="25">
        <f t="shared" si="5"/>
        <v>0</v>
      </c>
      <c r="U22" s="25">
        <f t="shared" si="6"/>
        <v>0</v>
      </c>
      <c r="V22" s="25">
        <f t="shared" si="7"/>
        <v>0</v>
      </c>
      <c r="W22" s="24">
        <f t="shared" si="10"/>
        <v>0</v>
      </c>
      <c r="X22" s="20">
        <f t="shared" si="0"/>
        <v>0</v>
      </c>
      <c r="Y22" s="3"/>
      <c r="Z22" s="6"/>
      <c r="AA22" s="2"/>
      <c r="AB22" s="33" t="s">
        <v>79</v>
      </c>
      <c r="AC22" s="33" t="s">
        <v>80</v>
      </c>
      <c r="AD22" s="33" t="s">
        <v>23</v>
      </c>
      <c r="AE22" s="33" t="s">
        <v>81</v>
      </c>
      <c r="AF22" s="2"/>
      <c r="AG22" s="33" t="s">
        <v>79</v>
      </c>
      <c r="AH22" s="33" t="s">
        <v>82</v>
      </c>
      <c r="AI22" s="33" t="s">
        <v>23</v>
      </c>
      <c r="AJ22" s="33" t="s">
        <v>81</v>
      </c>
      <c r="AK22" s="2"/>
      <c r="AL22" s="113">
        <v>-50</v>
      </c>
      <c r="AM22" s="114">
        <f>AJ24</f>
        <v>-30.946488750872508</v>
      </c>
      <c r="AN22" s="114">
        <f>AE24</f>
        <v>-6.2484172247398808</v>
      </c>
      <c r="AO22" s="115">
        <f t="shared" ref="AO22:AO32" si="11">AE39</f>
        <v>-3.6248705070488891</v>
      </c>
      <c r="AP22" s="115">
        <f t="shared" ref="AP22:AP32" si="12">AJ39</f>
        <v>-18.928574002653335</v>
      </c>
      <c r="AQ22" s="115">
        <f>AE54</f>
        <v>-12.680156777913481</v>
      </c>
      <c r="AR22" s="56">
        <f>AE69</f>
        <v>6.2484172247398053</v>
      </c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68" t="s">
        <v>83</v>
      </c>
      <c r="B23" s="79">
        <v>310</v>
      </c>
      <c r="C23" s="68" t="s">
        <v>28</v>
      </c>
      <c r="D23" s="2"/>
      <c r="E23" s="2"/>
      <c r="F23" s="2"/>
      <c r="G23" s="2"/>
      <c r="H23" s="18"/>
      <c r="I23" s="89" t="s">
        <v>154</v>
      </c>
      <c r="J23" s="90"/>
      <c r="K23" s="90"/>
      <c r="L23" s="91"/>
      <c r="M23" s="2"/>
      <c r="N23" s="12">
        <f t="shared" si="9"/>
        <v>0</v>
      </c>
      <c r="O23" s="12"/>
      <c r="P23" s="24">
        <f t="shared" si="1"/>
        <v>0</v>
      </c>
      <c r="Q23" s="25">
        <f t="shared" si="2"/>
        <v>0</v>
      </c>
      <c r="R23" s="25">
        <f t="shared" si="3"/>
        <v>0</v>
      </c>
      <c r="S23" s="25">
        <f t="shared" si="4"/>
        <v>0</v>
      </c>
      <c r="T23" s="25">
        <f t="shared" si="5"/>
        <v>0</v>
      </c>
      <c r="U23" s="25">
        <f t="shared" si="6"/>
        <v>0</v>
      </c>
      <c r="V23" s="25">
        <f t="shared" si="7"/>
        <v>0</v>
      </c>
      <c r="W23" s="24">
        <f t="shared" si="10"/>
        <v>0</v>
      </c>
      <c r="X23" s="20">
        <f t="shared" si="0"/>
        <v>0</v>
      </c>
      <c r="Y23" s="3"/>
      <c r="Z23" s="6"/>
      <c r="AA23" s="2"/>
      <c r="AB23" s="33" t="s">
        <v>85</v>
      </c>
      <c r="AC23" s="35">
        <v>0.16737288135593223</v>
      </c>
      <c r="AD23" s="36">
        <f>X49</f>
        <v>617965.41213168134</v>
      </c>
      <c r="AE23" s="33"/>
      <c r="AF23" s="2"/>
      <c r="AG23" s="33" t="s">
        <v>86</v>
      </c>
      <c r="AH23" s="37">
        <v>358137.26396938215</v>
      </c>
      <c r="AI23" s="36">
        <f>X49</f>
        <v>617965.41213168134</v>
      </c>
      <c r="AJ23" s="33"/>
      <c r="AK23" s="2"/>
      <c r="AL23" s="113">
        <v>-40</v>
      </c>
      <c r="AM23" s="114">
        <f>AJ25</f>
        <v>-24.757191000698018</v>
      </c>
      <c r="AN23" s="114">
        <f t="shared" ref="AN23:AN32" si="13">AE25</f>
        <v>-4.9987337797919196</v>
      </c>
      <c r="AO23" s="115">
        <f t="shared" si="11"/>
        <v>-2.899896405639145</v>
      </c>
      <c r="AP23" s="115">
        <f t="shared" si="12"/>
        <v>-15.142859202122686</v>
      </c>
      <c r="AQ23" s="115">
        <f t="shared" ref="AQ23:AQ32" si="14">AE55</f>
        <v>-10.144125422330784</v>
      </c>
      <c r="AR23" s="56">
        <f t="shared" ref="AR23:AR32" si="15">AE70</f>
        <v>4.9987337797918636</v>
      </c>
      <c r="AS23" s="7"/>
      <c r="AT23" s="7"/>
      <c r="AU23" s="7"/>
      <c r="AV23" s="7"/>
      <c r="AW23" s="7"/>
      <c r="AX23" s="7"/>
      <c r="AY23" s="7"/>
    </row>
    <row r="24" spans="1:51" ht="15.75" customHeight="1" x14ac:dyDescent="0.25">
      <c r="A24" s="68" t="s">
        <v>178</v>
      </c>
      <c r="B24" s="68">
        <v>53</v>
      </c>
      <c r="C24" s="68" t="s">
        <v>28</v>
      </c>
      <c r="D24" s="2"/>
      <c r="E24" s="2"/>
      <c r="F24" s="2"/>
      <c r="G24" s="2"/>
      <c r="H24" s="18"/>
      <c r="I24" s="90" t="s">
        <v>155</v>
      </c>
      <c r="J24" s="92" t="s">
        <v>162</v>
      </c>
      <c r="K24" s="90"/>
      <c r="L24" s="91"/>
      <c r="M24" s="2"/>
      <c r="N24" s="12">
        <f t="shared" si="9"/>
        <v>0</v>
      </c>
      <c r="O24" s="12"/>
      <c r="P24" s="24">
        <f t="shared" si="1"/>
        <v>0</v>
      </c>
      <c r="Q24" s="25">
        <f t="shared" si="2"/>
        <v>0</v>
      </c>
      <c r="R24" s="25">
        <f t="shared" si="3"/>
        <v>0</v>
      </c>
      <c r="S24" s="25">
        <f t="shared" si="4"/>
        <v>0</v>
      </c>
      <c r="T24" s="25">
        <f t="shared" si="5"/>
        <v>0</v>
      </c>
      <c r="U24" s="25">
        <f t="shared" si="6"/>
        <v>0</v>
      </c>
      <c r="V24" s="25">
        <f t="shared" si="7"/>
        <v>0</v>
      </c>
      <c r="W24" s="24">
        <f t="shared" si="10"/>
        <v>0</v>
      </c>
      <c r="X24" s="20">
        <f t="shared" si="0"/>
        <v>0</v>
      </c>
      <c r="Y24" s="3"/>
      <c r="Z24" s="6"/>
      <c r="AA24" s="2"/>
      <c r="AB24" s="33">
        <f t="shared" ref="AB24:AB28" si="16">AB25-10</f>
        <v>-50</v>
      </c>
      <c r="AC24" s="35">
        <f t="shared" ref="AC24:AC34" si="17">$AC$23*(1+(AB24/100))</f>
        <v>8.3686440677966115E-2</v>
      </c>
      <c r="AD24" s="36">
        <f t="dataTable" ref="AD24:AD34" dt2D="0" dtr="0" r1="F36" ca="1"/>
        <v>579352.35487711057</v>
      </c>
      <c r="AE24" s="40">
        <f t="shared" ref="AE24:AE34" si="18">100*((AD24-$AD$29)/$AD$29)</f>
        <v>-6.2484172247398808</v>
      </c>
      <c r="AF24" s="2"/>
      <c r="AG24" s="33">
        <f t="shared" ref="AG24:AG28" si="19">AG25-10</f>
        <v>-50</v>
      </c>
      <c r="AH24" s="37">
        <f t="shared" ref="AH24:AH34" si="20">$AH$23*(1+(AG24/100))</f>
        <v>179068.63198469108</v>
      </c>
      <c r="AI24" s="36">
        <f t="dataTable" ref="AI24:AI34" dt2D="0" dtr="0" r1="B54" ca="1"/>
        <v>426726.81538206764</v>
      </c>
      <c r="AJ24" s="40">
        <f t="shared" ref="AJ24:AJ34" si="21">100*((AI24-$AI$29)/$AI$29)</f>
        <v>-30.946488750872508</v>
      </c>
      <c r="AK24" s="2"/>
      <c r="AL24" s="113">
        <v>-30</v>
      </c>
      <c r="AM24" s="114">
        <f t="shared" ref="AM24:AM32" si="22">AJ26</f>
        <v>-18.567893250523518</v>
      </c>
      <c r="AN24" s="114">
        <f t="shared" si="13"/>
        <v>-3.749050334843921</v>
      </c>
      <c r="AO24" s="115">
        <f t="shared" si="11"/>
        <v>-2.1749223042293258</v>
      </c>
      <c r="AP24" s="115">
        <f t="shared" si="12"/>
        <v>-11.357144401591992</v>
      </c>
      <c r="AQ24" s="115">
        <f t="shared" si="14"/>
        <v>-7.6080940667480892</v>
      </c>
      <c r="AR24" s="56">
        <f t="shared" si="15"/>
        <v>3.7490503348439024</v>
      </c>
      <c r="AS24" s="7"/>
      <c r="AT24" s="7"/>
      <c r="AU24" s="7"/>
      <c r="AV24" s="7"/>
      <c r="AW24" s="7"/>
      <c r="AX24" s="7"/>
      <c r="AY24" s="7"/>
    </row>
    <row r="25" spans="1:51" ht="15.75" customHeight="1" x14ac:dyDescent="0.25">
      <c r="A25" s="68" t="s">
        <v>179</v>
      </c>
      <c r="B25" s="68">
        <v>74.2</v>
      </c>
      <c r="C25" s="68" t="s">
        <v>28</v>
      </c>
      <c r="D25" s="2"/>
      <c r="E25" s="2"/>
      <c r="F25" s="2"/>
      <c r="G25" s="2"/>
      <c r="H25" s="18"/>
      <c r="I25" s="93" t="s">
        <v>157</v>
      </c>
      <c r="J25" s="93">
        <v>1.3</v>
      </c>
      <c r="K25" s="93" t="s">
        <v>158</v>
      </c>
      <c r="L25" s="91"/>
      <c r="M25" s="2"/>
      <c r="N25" s="12">
        <f t="shared" si="9"/>
        <v>0</v>
      </c>
      <c r="O25" s="12"/>
      <c r="P25" s="24">
        <f t="shared" si="1"/>
        <v>0</v>
      </c>
      <c r="Q25" s="25">
        <f t="shared" si="2"/>
        <v>0</v>
      </c>
      <c r="R25" s="25">
        <f t="shared" si="3"/>
        <v>0</v>
      </c>
      <c r="S25" s="25">
        <f t="shared" si="4"/>
        <v>0</v>
      </c>
      <c r="T25" s="25">
        <f t="shared" si="5"/>
        <v>0</v>
      </c>
      <c r="U25" s="25">
        <f t="shared" si="6"/>
        <v>0</v>
      </c>
      <c r="V25" s="25">
        <f t="shared" si="7"/>
        <v>0</v>
      </c>
      <c r="W25" s="24">
        <f t="shared" si="10"/>
        <v>0</v>
      </c>
      <c r="X25" s="20">
        <f t="shared" si="0"/>
        <v>0</v>
      </c>
      <c r="Y25" s="3"/>
      <c r="Z25" s="6"/>
      <c r="AA25" s="2"/>
      <c r="AB25" s="33">
        <f t="shared" si="16"/>
        <v>-40</v>
      </c>
      <c r="AC25" s="35">
        <f t="shared" si="17"/>
        <v>0.10042372881355933</v>
      </c>
      <c r="AD25" s="36">
        <v>587074.96632802463</v>
      </c>
      <c r="AE25" s="40">
        <f t="shared" si="18"/>
        <v>-4.9987337797919196</v>
      </c>
      <c r="AF25" s="2"/>
      <c r="AG25" s="33">
        <f t="shared" si="19"/>
        <v>-40</v>
      </c>
      <c r="AH25" s="37">
        <f t="shared" si="20"/>
        <v>214882.35838162928</v>
      </c>
      <c r="AI25" s="36">
        <v>464974.53473199031</v>
      </c>
      <c r="AJ25" s="40">
        <f t="shared" si="21"/>
        <v>-24.757191000698018</v>
      </c>
      <c r="AK25" s="2"/>
      <c r="AL25" s="113">
        <v>-20</v>
      </c>
      <c r="AM25" s="114">
        <f t="shared" si="22"/>
        <v>-12.378595500349018</v>
      </c>
      <c r="AN25" s="114">
        <f t="shared" si="13"/>
        <v>-2.4993668898959598</v>
      </c>
      <c r="AO25" s="115">
        <f t="shared" si="11"/>
        <v>-1.4499482028195632</v>
      </c>
      <c r="AP25" s="115">
        <f t="shared" si="12"/>
        <v>-7.571429601061352</v>
      </c>
      <c r="AQ25" s="115">
        <f t="shared" si="14"/>
        <v>-5.0720627111654117</v>
      </c>
      <c r="AR25" s="56">
        <f t="shared" si="15"/>
        <v>2.4993668898959034</v>
      </c>
      <c r="AS25" s="7"/>
      <c r="AT25" s="7"/>
      <c r="AU25" s="7"/>
      <c r="AV25" s="7"/>
      <c r="AW25" s="7"/>
      <c r="AX25" s="7"/>
      <c r="AY25" s="7"/>
    </row>
    <row r="26" spans="1:51" ht="15.75" customHeight="1" x14ac:dyDescent="0.25">
      <c r="A26" s="42"/>
      <c r="B26" s="43"/>
      <c r="C26" s="43"/>
      <c r="D26" s="43"/>
      <c r="E26" s="43"/>
      <c r="F26" s="43"/>
      <c r="G26" s="43"/>
      <c r="H26" s="44"/>
      <c r="I26" s="43" t="s">
        <v>159</v>
      </c>
      <c r="J26" s="94">
        <f>J12/2</f>
        <v>117.5</v>
      </c>
      <c r="K26" s="43" t="s">
        <v>160</v>
      </c>
      <c r="L26" s="44"/>
      <c r="M26" s="2"/>
      <c r="N26" s="12">
        <f t="shared" si="9"/>
        <v>0</v>
      </c>
      <c r="O26" s="12"/>
      <c r="P26" s="24">
        <f t="shared" si="1"/>
        <v>0</v>
      </c>
      <c r="Q26" s="25">
        <f t="shared" si="2"/>
        <v>0</v>
      </c>
      <c r="R26" s="25">
        <f t="shared" si="3"/>
        <v>0</v>
      </c>
      <c r="S26" s="25">
        <f t="shared" si="4"/>
        <v>0</v>
      </c>
      <c r="T26" s="25">
        <f t="shared" si="5"/>
        <v>0</v>
      </c>
      <c r="U26" s="25">
        <f t="shared" si="6"/>
        <v>0</v>
      </c>
      <c r="V26" s="25">
        <f t="shared" si="7"/>
        <v>0</v>
      </c>
      <c r="W26" s="24">
        <f t="shared" si="10"/>
        <v>0</v>
      </c>
      <c r="X26" s="20">
        <f t="shared" si="0"/>
        <v>0</v>
      </c>
      <c r="Y26" s="3"/>
      <c r="Z26" s="6"/>
      <c r="AA26" s="2"/>
      <c r="AB26" s="33">
        <f t="shared" si="16"/>
        <v>-30</v>
      </c>
      <c r="AC26" s="35">
        <f t="shared" si="17"/>
        <v>0.11716101694915255</v>
      </c>
      <c r="AD26" s="36">
        <v>594797.57777893892</v>
      </c>
      <c r="AE26" s="40">
        <f t="shared" si="18"/>
        <v>-3.749050334843921</v>
      </c>
      <c r="AF26" s="2"/>
      <c r="AG26" s="33">
        <f t="shared" si="19"/>
        <v>-30</v>
      </c>
      <c r="AH26" s="37">
        <f t="shared" si="20"/>
        <v>250696.08477856749</v>
      </c>
      <c r="AI26" s="36">
        <v>503222.25408191304</v>
      </c>
      <c r="AJ26" s="40">
        <f t="shared" si="21"/>
        <v>-18.567893250523518</v>
      </c>
      <c r="AK26" s="2"/>
      <c r="AL26" s="113">
        <v>-10</v>
      </c>
      <c r="AM26" s="114">
        <f t="shared" si="22"/>
        <v>-6.1892977501745001</v>
      </c>
      <c r="AN26" s="114">
        <f t="shared" si="13"/>
        <v>-1.2496834449480365</v>
      </c>
      <c r="AO26" s="115">
        <f t="shared" si="11"/>
        <v>-0.72497410140980034</v>
      </c>
      <c r="AP26" s="115">
        <f t="shared" si="12"/>
        <v>-3.7857148005306951</v>
      </c>
      <c r="AQ26" s="115">
        <f t="shared" si="14"/>
        <v>-2.5360313555826961</v>
      </c>
      <c r="AR26" s="56">
        <f t="shared" si="15"/>
        <v>1.249683444947961</v>
      </c>
      <c r="AS26" s="7"/>
      <c r="AT26" s="7"/>
      <c r="AU26" s="7"/>
      <c r="AV26" s="7"/>
      <c r="AW26" s="7"/>
      <c r="AX26" s="7"/>
      <c r="AY26" s="7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6"/>
      <c r="K27" s="2"/>
      <c r="L27" s="2"/>
      <c r="M27" s="2"/>
      <c r="N27" s="12">
        <f t="shared" si="9"/>
        <v>0</v>
      </c>
      <c r="O27" s="12"/>
      <c r="P27" s="24">
        <f t="shared" si="1"/>
        <v>0</v>
      </c>
      <c r="Q27" s="25">
        <f t="shared" si="2"/>
        <v>0</v>
      </c>
      <c r="R27" s="25">
        <f t="shared" si="3"/>
        <v>0</v>
      </c>
      <c r="S27" s="25">
        <f t="shared" si="4"/>
        <v>0</v>
      </c>
      <c r="T27" s="25">
        <f t="shared" si="5"/>
        <v>0</v>
      </c>
      <c r="U27" s="25">
        <f t="shared" si="6"/>
        <v>0</v>
      </c>
      <c r="V27" s="25">
        <f t="shared" si="7"/>
        <v>0</v>
      </c>
      <c r="W27" s="24">
        <f t="shared" si="10"/>
        <v>0</v>
      </c>
      <c r="X27" s="20">
        <f t="shared" si="0"/>
        <v>0</v>
      </c>
      <c r="Y27" s="3"/>
      <c r="Z27" s="6"/>
      <c r="AA27" s="2"/>
      <c r="AB27" s="33">
        <f t="shared" si="16"/>
        <v>-20</v>
      </c>
      <c r="AC27" s="35">
        <f t="shared" si="17"/>
        <v>0.13389830508474579</v>
      </c>
      <c r="AD27" s="36">
        <v>602520.18922985299</v>
      </c>
      <c r="AE27" s="40">
        <f t="shared" si="18"/>
        <v>-2.4993668898959598</v>
      </c>
      <c r="AF27" s="2"/>
      <c r="AG27" s="33">
        <f t="shared" si="19"/>
        <v>-20</v>
      </c>
      <c r="AH27" s="37">
        <f t="shared" si="20"/>
        <v>286509.81117550575</v>
      </c>
      <c r="AI27" s="36">
        <v>541469.97343183577</v>
      </c>
      <c r="AJ27" s="40">
        <f t="shared" si="21"/>
        <v>-12.378595500349018</v>
      </c>
      <c r="AK27" s="2"/>
      <c r="AL27" s="113">
        <v>0</v>
      </c>
      <c r="AM27" s="114">
        <f t="shared" si="22"/>
        <v>0</v>
      </c>
      <c r="AN27" s="114">
        <f t="shared" si="13"/>
        <v>0</v>
      </c>
      <c r="AO27" s="115">
        <f t="shared" si="11"/>
        <v>0</v>
      </c>
      <c r="AP27" s="115">
        <f t="shared" si="12"/>
        <v>0</v>
      </c>
      <c r="AQ27" s="115">
        <f t="shared" si="14"/>
        <v>0</v>
      </c>
      <c r="AR27" s="56">
        <f t="shared" si="15"/>
        <v>0</v>
      </c>
      <c r="AS27" s="7"/>
      <c r="AT27" s="7"/>
      <c r="AU27" s="7"/>
      <c r="AV27" s="7"/>
      <c r="AW27" s="7"/>
      <c r="AX27" s="7"/>
      <c r="AY27" s="7"/>
    </row>
    <row r="28" spans="1:51" ht="15.75" customHeight="1" x14ac:dyDescent="0.25">
      <c r="A28" s="1" t="s">
        <v>89</v>
      </c>
      <c r="B28" s="2"/>
      <c r="C28" s="2"/>
      <c r="D28" s="2"/>
      <c r="E28" s="2"/>
      <c r="F28" s="2"/>
      <c r="G28" s="2"/>
      <c r="H28" s="2"/>
      <c r="I28" s="2"/>
      <c r="J28" s="6"/>
      <c r="K28" s="2"/>
      <c r="L28" s="2"/>
      <c r="M28" s="2"/>
      <c r="N28" s="12">
        <f t="shared" si="9"/>
        <v>0</v>
      </c>
      <c r="O28" s="12"/>
      <c r="P28" s="24">
        <f t="shared" si="1"/>
        <v>0</v>
      </c>
      <c r="Q28" s="25">
        <f t="shared" si="2"/>
        <v>0</v>
      </c>
      <c r="R28" s="25">
        <f t="shared" si="3"/>
        <v>0</v>
      </c>
      <c r="S28" s="25">
        <f t="shared" si="4"/>
        <v>0</v>
      </c>
      <c r="T28" s="25">
        <f t="shared" si="5"/>
        <v>0</v>
      </c>
      <c r="U28" s="25">
        <f t="shared" si="6"/>
        <v>0</v>
      </c>
      <c r="V28" s="25">
        <f t="shared" si="7"/>
        <v>0</v>
      </c>
      <c r="W28" s="24">
        <f t="shared" si="10"/>
        <v>0</v>
      </c>
      <c r="X28" s="20">
        <f t="shared" si="0"/>
        <v>0</v>
      </c>
      <c r="Y28" s="3"/>
      <c r="Z28" s="6"/>
      <c r="AA28" s="2"/>
      <c r="AB28" s="33">
        <f t="shared" si="16"/>
        <v>-10</v>
      </c>
      <c r="AC28" s="35">
        <f t="shared" si="17"/>
        <v>0.15063559322033901</v>
      </c>
      <c r="AD28" s="36">
        <v>610242.80068076681</v>
      </c>
      <c r="AE28" s="40">
        <f t="shared" si="18"/>
        <v>-1.2496834449480365</v>
      </c>
      <c r="AF28" s="2"/>
      <c r="AG28" s="33">
        <f t="shared" si="19"/>
        <v>-10</v>
      </c>
      <c r="AH28" s="37">
        <f t="shared" si="20"/>
        <v>322323.53757244395</v>
      </c>
      <c r="AI28" s="36">
        <v>579717.69278175861</v>
      </c>
      <c r="AJ28" s="40">
        <f t="shared" si="21"/>
        <v>-6.1892977501745001</v>
      </c>
      <c r="AK28" s="2"/>
      <c r="AL28" s="113">
        <v>10</v>
      </c>
      <c r="AM28" s="114">
        <f t="shared" si="22"/>
        <v>6.1892977501745001</v>
      </c>
      <c r="AN28" s="114">
        <f t="shared" si="13"/>
        <v>1.249683444947961</v>
      </c>
      <c r="AO28" s="115">
        <f t="shared" si="11"/>
        <v>0.72497410140976271</v>
      </c>
      <c r="AP28" s="115">
        <f t="shared" si="12"/>
        <v>3.78571480053062</v>
      </c>
      <c r="AQ28" s="115">
        <f t="shared" si="14"/>
        <v>2.5360313555826774</v>
      </c>
      <c r="AR28" s="56">
        <f t="shared" si="15"/>
        <v>-1.2496834449480365</v>
      </c>
      <c r="AS28" s="7"/>
      <c r="AT28" s="7"/>
      <c r="AU28" s="7"/>
      <c r="AV28" s="7"/>
      <c r="AW28" s="7"/>
      <c r="AX28" s="7"/>
      <c r="AY28" s="7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6"/>
      <c r="K29" s="2"/>
      <c r="L29" s="2"/>
      <c r="M29" s="2"/>
      <c r="N29" s="12">
        <f t="shared" si="9"/>
        <v>0</v>
      </c>
      <c r="O29" s="12"/>
      <c r="P29" s="24">
        <f t="shared" si="1"/>
        <v>0</v>
      </c>
      <c r="Q29" s="25">
        <f t="shared" si="2"/>
        <v>0</v>
      </c>
      <c r="R29" s="25">
        <f t="shared" si="3"/>
        <v>0</v>
      </c>
      <c r="S29" s="25">
        <f t="shared" si="4"/>
        <v>0</v>
      </c>
      <c r="T29" s="25">
        <f t="shared" si="5"/>
        <v>0</v>
      </c>
      <c r="U29" s="25">
        <f t="shared" si="6"/>
        <v>0</v>
      </c>
      <c r="V29" s="25">
        <f t="shared" si="7"/>
        <v>0</v>
      </c>
      <c r="W29" s="24">
        <f t="shared" si="10"/>
        <v>0</v>
      </c>
      <c r="X29" s="20">
        <f t="shared" si="0"/>
        <v>0</v>
      </c>
      <c r="Y29" s="3"/>
      <c r="Z29" s="6"/>
      <c r="AA29" s="2"/>
      <c r="AB29" s="84">
        <v>0</v>
      </c>
      <c r="AC29" s="85">
        <f t="shared" si="17"/>
        <v>0.16737288135593223</v>
      </c>
      <c r="AD29" s="86">
        <v>617965.41213168134</v>
      </c>
      <c r="AE29" s="87">
        <f t="shared" si="18"/>
        <v>0</v>
      </c>
      <c r="AF29" s="2"/>
      <c r="AG29" s="45">
        <v>0</v>
      </c>
      <c r="AH29" s="88">
        <f t="shared" si="20"/>
        <v>358137.26396938215</v>
      </c>
      <c r="AI29" s="46">
        <v>617965.41213168134</v>
      </c>
      <c r="AJ29" s="87">
        <f t="shared" si="21"/>
        <v>0</v>
      </c>
      <c r="AK29" s="2"/>
      <c r="AL29" s="113">
        <v>20</v>
      </c>
      <c r="AM29" s="114">
        <f t="shared" si="22"/>
        <v>12.378595500348981</v>
      </c>
      <c r="AN29" s="114">
        <f t="shared" si="13"/>
        <v>2.4993668898959034</v>
      </c>
      <c r="AO29" s="115">
        <f t="shared" si="11"/>
        <v>1.4499482028195443</v>
      </c>
      <c r="AP29" s="115">
        <f t="shared" si="12"/>
        <v>7.5714296010612774</v>
      </c>
      <c r="AQ29" s="115">
        <f t="shared" si="14"/>
        <v>5.0720627111653735</v>
      </c>
      <c r="AR29" s="56">
        <f t="shared" si="15"/>
        <v>-2.4993668898959598</v>
      </c>
      <c r="AS29" s="7"/>
      <c r="AT29" s="7"/>
      <c r="AU29" s="7"/>
      <c r="AV29" s="7"/>
      <c r="AW29" s="7"/>
      <c r="AX29" s="7"/>
      <c r="AY29" s="7"/>
    </row>
    <row r="30" spans="1:51" ht="15.75" customHeight="1" x14ac:dyDescent="0.25">
      <c r="A30" s="8" t="s">
        <v>90</v>
      </c>
      <c r="B30" s="9"/>
      <c r="C30" s="9"/>
      <c r="D30" s="9"/>
      <c r="E30" s="11" t="s">
        <v>91</v>
      </c>
      <c r="F30" s="9"/>
      <c r="G30" s="9"/>
      <c r="H30" s="9"/>
      <c r="I30" s="11" t="s">
        <v>92</v>
      </c>
      <c r="J30" s="47"/>
      <c r="K30" s="9"/>
      <c r="L30" s="10"/>
      <c r="M30" s="2"/>
      <c r="N30" s="12">
        <f t="shared" si="9"/>
        <v>0</v>
      </c>
      <c r="O30" s="12"/>
      <c r="P30" s="24">
        <f t="shared" si="1"/>
        <v>0</v>
      </c>
      <c r="Q30" s="25">
        <f t="shared" si="2"/>
        <v>0</v>
      </c>
      <c r="R30" s="25">
        <f t="shared" si="3"/>
        <v>0</v>
      </c>
      <c r="S30" s="25">
        <f t="shared" si="4"/>
        <v>0</v>
      </c>
      <c r="T30" s="25">
        <f t="shared" si="5"/>
        <v>0</v>
      </c>
      <c r="U30" s="25">
        <f t="shared" si="6"/>
        <v>0</v>
      </c>
      <c r="V30" s="25">
        <f t="shared" si="7"/>
        <v>0</v>
      </c>
      <c r="W30" s="24">
        <f t="shared" si="10"/>
        <v>0</v>
      </c>
      <c r="X30" s="20">
        <f t="shared" si="0"/>
        <v>0</v>
      </c>
      <c r="Y30" s="3"/>
      <c r="Z30" s="6"/>
      <c r="AA30" s="2"/>
      <c r="AB30" s="33">
        <f t="shared" ref="AB30:AB34" si="23">AB29+10</f>
        <v>10</v>
      </c>
      <c r="AC30" s="35">
        <f t="shared" si="17"/>
        <v>0.18411016949152548</v>
      </c>
      <c r="AD30" s="36">
        <v>625688.0235825954</v>
      </c>
      <c r="AE30" s="40">
        <f t="shared" si="18"/>
        <v>1.249683444947961</v>
      </c>
      <c r="AF30" s="2"/>
      <c r="AG30" s="33">
        <f t="shared" ref="AG30:AG34" si="24">AG29+10</f>
        <v>10</v>
      </c>
      <c r="AH30" s="37">
        <f t="shared" si="20"/>
        <v>393950.99036632042</v>
      </c>
      <c r="AI30" s="36">
        <v>656213.13148160407</v>
      </c>
      <c r="AJ30" s="40">
        <f t="shared" si="21"/>
        <v>6.1892977501745001</v>
      </c>
      <c r="AK30" s="2"/>
      <c r="AL30" s="113">
        <v>30</v>
      </c>
      <c r="AM30" s="114">
        <f t="shared" si="22"/>
        <v>18.567893250523483</v>
      </c>
      <c r="AN30" s="114">
        <f t="shared" si="13"/>
        <v>3.7490503348439024</v>
      </c>
      <c r="AO30" s="115">
        <f t="shared" si="11"/>
        <v>2.1749223042293071</v>
      </c>
      <c r="AP30" s="115">
        <f t="shared" si="12"/>
        <v>11.357144401591954</v>
      </c>
      <c r="AQ30" s="115">
        <f t="shared" si="14"/>
        <v>7.6080940667480705</v>
      </c>
      <c r="AR30" s="56">
        <f t="shared" si="15"/>
        <v>-3.749050334843921</v>
      </c>
      <c r="AS30" s="7"/>
      <c r="AT30" s="7"/>
      <c r="AU30" s="7"/>
      <c r="AV30" s="7"/>
      <c r="AW30" s="7"/>
      <c r="AX30" s="7"/>
      <c r="AY30" s="7"/>
    </row>
    <row r="31" spans="1:51" ht="15.75" customHeight="1" x14ac:dyDescent="0.25">
      <c r="A31" s="67" t="s">
        <v>37</v>
      </c>
      <c r="B31" s="72">
        <f>IF(B11=0,0,-B11/$B$8)</f>
        <v>-529.66101694915255</v>
      </c>
      <c r="C31" s="68" t="s">
        <v>3</v>
      </c>
      <c r="D31" s="2"/>
      <c r="E31" s="69" t="s">
        <v>93</v>
      </c>
      <c r="F31" s="80">
        <f>(J21/100)*B57</f>
        <v>107449.26393657736</v>
      </c>
      <c r="G31" s="68" t="s">
        <v>3</v>
      </c>
      <c r="H31" s="2"/>
      <c r="I31" s="69" t="s">
        <v>94</v>
      </c>
      <c r="J31" s="73">
        <f>ROUNDDOWN(J11/(F12/J12),0)</f>
        <v>16</v>
      </c>
      <c r="K31" s="68" t="s">
        <v>53</v>
      </c>
      <c r="L31" s="18"/>
      <c r="M31" s="2"/>
      <c r="N31" s="12">
        <f t="shared" si="9"/>
        <v>0</v>
      </c>
      <c r="O31" s="12"/>
      <c r="P31" s="24">
        <f t="shared" si="1"/>
        <v>0</v>
      </c>
      <c r="Q31" s="25">
        <f t="shared" si="2"/>
        <v>0</v>
      </c>
      <c r="R31" s="25">
        <f t="shared" si="3"/>
        <v>0</v>
      </c>
      <c r="S31" s="25">
        <f t="shared" si="4"/>
        <v>0</v>
      </c>
      <c r="T31" s="25">
        <f t="shared" si="5"/>
        <v>0</v>
      </c>
      <c r="U31" s="25">
        <f t="shared" si="6"/>
        <v>0</v>
      </c>
      <c r="V31" s="25">
        <f t="shared" si="7"/>
        <v>0</v>
      </c>
      <c r="W31" s="24">
        <f t="shared" si="10"/>
        <v>0</v>
      </c>
      <c r="X31" s="20">
        <f t="shared" si="0"/>
        <v>0</v>
      </c>
      <c r="Y31" s="3"/>
      <c r="Z31" s="6"/>
      <c r="AA31" s="2"/>
      <c r="AB31" s="33">
        <f t="shared" si="23"/>
        <v>20</v>
      </c>
      <c r="AC31" s="35">
        <f t="shared" si="17"/>
        <v>0.20084745762711867</v>
      </c>
      <c r="AD31" s="36">
        <v>633410.63503350934</v>
      </c>
      <c r="AE31" s="40">
        <f t="shared" si="18"/>
        <v>2.4993668898959034</v>
      </c>
      <c r="AF31" s="2"/>
      <c r="AG31" s="33">
        <f t="shared" si="24"/>
        <v>20</v>
      </c>
      <c r="AH31" s="37">
        <f t="shared" si="20"/>
        <v>429764.71676325856</v>
      </c>
      <c r="AI31" s="36">
        <v>694460.85083152668</v>
      </c>
      <c r="AJ31" s="40">
        <f t="shared" si="21"/>
        <v>12.378595500348981</v>
      </c>
      <c r="AK31" s="2"/>
      <c r="AL31" s="113">
        <v>40</v>
      </c>
      <c r="AM31" s="114">
        <f t="shared" si="22"/>
        <v>24.757191000697944</v>
      </c>
      <c r="AN31" s="114">
        <f t="shared" si="13"/>
        <v>4.9987337797918636</v>
      </c>
      <c r="AO31" s="115">
        <f t="shared" si="11"/>
        <v>2.8998964056391072</v>
      </c>
      <c r="AP31" s="115">
        <f t="shared" si="12"/>
        <v>15.14285920212261</v>
      </c>
      <c r="AQ31" s="115">
        <f t="shared" si="14"/>
        <v>10.144125422330767</v>
      </c>
      <c r="AR31" s="56">
        <f t="shared" si="15"/>
        <v>-4.9987337797919196</v>
      </c>
      <c r="AS31" s="7"/>
      <c r="AT31" s="7"/>
      <c r="AU31" s="7"/>
      <c r="AV31" s="7"/>
      <c r="AW31" s="7"/>
      <c r="AX31" s="7"/>
      <c r="AY31" s="7"/>
    </row>
    <row r="32" spans="1:51" ht="15.75" customHeight="1" x14ac:dyDescent="0.25">
      <c r="A32" s="30" t="s">
        <v>44</v>
      </c>
      <c r="B32" s="6">
        <f>IF(B12=0,0,-B12/B9)</f>
        <v>0</v>
      </c>
      <c r="C32" s="2" t="s">
        <v>3</v>
      </c>
      <c r="D32" s="2"/>
      <c r="E32" s="69" t="s">
        <v>95</v>
      </c>
      <c r="F32" s="72">
        <f>B57-F31</f>
        <v>250714.94918534718</v>
      </c>
      <c r="G32" s="68" t="s">
        <v>3</v>
      </c>
      <c r="H32" s="2"/>
      <c r="I32" s="69" t="s">
        <v>59</v>
      </c>
      <c r="J32" s="15">
        <f>IF(J24="Yes",SUM(F50:F51),0)</f>
        <v>0</v>
      </c>
      <c r="K32" s="68" t="s">
        <v>49</v>
      </c>
      <c r="L32" s="18"/>
      <c r="M32" s="2"/>
      <c r="N32" s="12">
        <f t="shared" si="9"/>
        <v>0</v>
      </c>
      <c r="O32" s="12"/>
      <c r="P32" s="24">
        <f t="shared" si="1"/>
        <v>0</v>
      </c>
      <c r="Q32" s="25">
        <f t="shared" si="2"/>
        <v>0</v>
      </c>
      <c r="R32" s="25">
        <f t="shared" si="3"/>
        <v>0</v>
      </c>
      <c r="S32" s="25">
        <f t="shared" si="4"/>
        <v>0</v>
      </c>
      <c r="T32" s="25">
        <f t="shared" si="5"/>
        <v>0</v>
      </c>
      <c r="U32" s="25">
        <f t="shared" si="6"/>
        <v>0</v>
      </c>
      <c r="V32" s="25">
        <f t="shared" si="7"/>
        <v>0</v>
      </c>
      <c r="W32" s="24">
        <f t="shared" si="10"/>
        <v>0</v>
      </c>
      <c r="X32" s="20">
        <f t="shared" si="0"/>
        <v>0</v>
      </c>
      <c r="Y32" s="3"/>
      <c r="Z32" s="6"/>
      <c r="AA32" s="2"/>
      <c r="AB32" s="33">
        <f t="shared" si="23"/>
        <v>30</v>
      </c>
      <c r="AC32" s="35">
        <f t="shared" si="17"/>
        <v>0.21758474576271192</v>
      </c>
      <c r="AD32" s="36">
        <v>641133.24648442364</v>
      </c>
      <c r="AE32" s="40">
        <f t="shared" si="18"/>
        <v>3.7490503348439024</v>
      </c>
      <c r="AF32" s="2"/>
      <c r="AG32" s="33">
        <f t="shared" si="24"/>
        <v>30</v>
      </c>
      <c r="AH32" s="37">
        <f t="shared" si="20"/>
        <v>465578.44316019682</v>
      </c>
      <c r="AI32" s="36">
        <v>732708.57018144941</v>
      </c>
      <c r="AJ32" s="40">
        <f t="shared" si="21"/>
        <v>18.567893250523483</v>
      </c>
      <c r="AK32" s="2"/>
      <c r="AL32" s="113">
        <v>50</v>
      </c>
      <c r="AM32" s="114">
        <f t="shared" si="22"/>
        <v>30.946488750872465</v>
      </c>
      <c r="AN32" s="114">
        <f t="shared" si="13"/>
        <v>6.2484172247398053</v>
      </c>
      <c r="AO32" s="115">
        <f t="shared" si="11"/>
        <v>3.6248705070488891</v>
      </c>
      <c r="AP32" s="115">
        <f t="shared" si="12"/>
        <v>22.287403913637053</v>
      </c>
      <c r="AQ32" s="115">
        <f t="shared" si="14"/>
        <v>12.680156777913462</v>
      </c>
      <c r="AR32" s="56">
        <f t="shared" si="15"/>
        <v>-6.2484172247398808</v>
      </c>
      <c r="AS32" s="7"/>
      <c r="AT32" s="7"/>
      <c r="AU32" s="7"/>
      <c r="AV32" s="7"/>
      <c r="AW32" s="7"/>
      <c r="AX32" s="7"/>
      <c r="AY32" s="7"/>
    </row>
    <row r="33" spans="1:51" ht="15.75" customHeight="1" x14ac:dyDescent="0.25">
      <c r="A33" s="68" t="s">
        <v>50</v>
      </c>
      <c r="B33" s="72">
        <f>IF(B13=0,0,(B13/100)*B51)</f>
        <v>60604.722580645161</v>
      </c>
      <c r="C33" s="68" t="s">
        <v>3</v>
      </c>
      <c r="D33" s="2"/>
      <c r="E33" s="69" t="s">
        <v>96</v>
      </c>
      <c r="F33" s="80">
        <f>F32*(F22/100)*J20</f>
        <v>66940.891432487697</v>
      </c>
      <c r="G33" s="68" t="s">
        <v>3</v>
      </c>
      <c r="H33" s="2"/>
      <c r="I33" s="69" t="s">
        <v>97</v>
      </c>
      <c r="J33" s="72">
        <f>F12*B5</f>
        <v>579215</v>
      </c>
      <c r="K33" s="68" t="s">
        <v>98</v>
      </c>
      <c r="L33" s="18"/>
      <c r="M33" s="2"/>
      <c r="N33" s="12">
        <f t="shared" si="9"/>
        <v>0</v>
      </c>
      <c r="O33" s="12"/>
      <c r="P33" s="24">
        <f t="shared" si="1"/>
        <v>0</v>
      </c>
      <c r="Q33" s="25">
        <f t="shared" si="2"/>
        <v>0</v>
      </c>
      <c r="R33" s="25">
        <f t="shared" si="3"/>
        <v>0</v>
      </c>
      <c r="S33" s="25">
        <f t="shared" si="4"/>
        <v>0</v>
      </c>
      <c r="T33" s="25">
        <f t="shared" si="5"/>
        <v>0</v>
      </c>
      <c r="U33" s="25">
        <f t="shared" si="6"/>
        <v>0</v>
      </c>
      <c r="V33" s="25">
        <f t="shared" si="7"/>
        <v>0</v>
      </c>
      <c r="W33" s="24">
        <f t="shared" si="10"/>
        <v>0</v>
      </c>
      <c r="X33" s="20">
        <f t="shared" si="0"/>
        <v>0</v>
      </c>
      <c r="Y33" s="3"/>
      <c r="Z33" s="6"/>
      <c r="AA33" s="2"/>
      <c r="AB33" s="33">
        <f t="shared" si="23"/>
        <v>40</v>
      </c>
      <c r="AC33" s="35">
        <f t="shared" si="17"/>
        <v>0.23432203389830511</v>
      </c>
      <c r="AD33" s="36">
        <v>648855.8579353377</v>
      </c>
      <c r="AE33" s="40">
        <f t="shared" si="18"/>
        <v>4.9987337797918636</v>
      </c>
      <c r="AF33" s="2"/>
      <c r="AG33" s="33">
        <f t="shared" si="24"/>
        <v>40</v>
      </c>
      <c r="AH33" s="37">
        <f t="shared" si="20"/>
        <v>501392.16955713497</v>
      </c>
      <c r="AI33" s="36">
        <v>770956.28953137191</v>
      </c>
      <c r="AJ33" s="40">
        <f t="shared" si="21"/>
        <v>24.757191000697944</v>
      </c>
      <c r="AK33" s="2"/>
      <c r="AL33" s="34"/>
      <c r="AM33" s="38"/>
      <c r="AN33" s="39"/>
      <c r="AO33" s="41"/>
      <c r="AP33" s="2"/>
      <c r="AQ33" s="7"/>
      <c r="AR33" s="7"/>
      <c r="AS33" s="7"/>
      <c r="AT33" s="7"/>
      <c r="AU33" s="7"/>
      <c r="AV33" s="7"/>
      <c r="AW33" s="7"/>
      <c r="AX33" s="7"/>
      <c r="AY33" s="7"/>
    </row>
    <row r="34" spans="1:51" ht="15.75" customHeight="1" x14ac:dyDescent="0.25">
      <c r="A34" s="67" t="s">
        <v>183</v>
      </c>
      <c r="B34" s="72">
        <f>IF(B16=0,0,B16/$B$8)</f>
        <v>23.305084745762713</v>
      </c>
      <c r="C34" s="68" t="s">
        <v>3</v>
      </c>
      <c r="D34" s="2"/>
      <c r="E34" s="2"/>
      <c r="F34" s="7"/>
      <c r="G34" s="2"/>
      <c r="H34" s="2"/>
      <c r="I34" s="2"/>
      <c r="J34" s="2"/>
      <c r="K34" s="2"/>
      <c r="L34" s="18"/>
      <c r="M34" s="2"/>
      <c r="N34" s="12">
        <f t="shared" si="9"/>
        <v>0</v>
      </c>
      <c r="O34" s="12"/>
      <c r="P34" s="24">
        <f t="shared" si="1"/>
        <v>0</v>
      </c>
      <c r="Q34" s="25">
        <f t="shared" si="2"/>
        <v>0</v>
      </c>
      <c r="R34" s="25">
        <f t="shared" si="3"/>
        <v>0</v>
      </c>
      <c r="S34" s="25">
        <f t="shared" si="4"/>
        <v>0</v>
      </c>
      <c r="T34" s="25">
        <f t="shared" si="5"/>
        <v>0</v>
      </c>
      <c r="U34" s="25">
        <f t="shared" si="6"/>
        <v>0</v>
      </c>
      <c r="V34" s="25">
        <f t="shared" si="7"/>
        <v>0</v>
      </c>
      <c r="W34" s="24">
        <f t="shared" si="10"/>
        <v>0</v>
      </c>
      <c r="X34" s="20">
        <f t="shared" si="0"/>
        <v>0</v>
      </c>
      <c r="Y34" s="3"/>
      <c r="Z34" s="6"/>
      <c r="AA34" s="2"/>
      <c r="AB34" s="33">
        <f t="shared" si="23"/>
        <v>50</v>
      </c>
      <c r="AC34" s="35">
        <f t="shared" si="17"/>
        <v>0.25105932203389836</v>
      </c>
      <c r="AD34" s="36">
        <v>656578.46938625164</v>
      </c>
      <c r="AE34" s="40">
        <f t="shared" si="18"/>
        <v>6.2484172247398053</v>
      </c>
      <c r="AF34" s="2"/>
      <c r="AG34" s="33">
        <f t="shared" si="24"/>
        <v>50</v>
      </c>
      <c r="AH34" s="37">
        <f t="shared" si="20"/>
        <v>537205.89595407317</v>
      </c>
      <c r="AI34" s="36">
        <v>809204.00888129475</v>
      </c>
      <c r="AJ34" s="40">
        <f t="shared" si="21"/>
        <v>30.946488750872465</v>
      </c>
      <c r="AK34" s="2"/>
      <c r="AL34" s="34"/>
      <c r="AM34" s="38"/>
      <c r="AN34" s="39"/>
      <c r="AO34" s="41"/>
      <c r="AP34" s="2"/>
      <c r="AQ34" s="7"/>
      <c r="AR34" s="7"/>
      <c r="AS34" s="7"/>
      <c r="AT34" s="7"/>
      <c r="AU34" s="7"/>
      <c r="AV34" s="7"/>
      <c r="AW34" s="7"/>
      <c r="AX34" s="7"/>
      <c r="AY34" s="7"/>
    </row>
    <row r="35" spans="1:51" ht="15.75" customHeight="1" x14ac:dyDescent="0.25">
      <c r="A35" s="30" t="s">
        <v>184</v>
      </c>
      <c r="B35" s="6">
        <f>IF(B17=0,0,(B17/100)*$B$51)</f>
        <v>0</v>
      </c>
      <c r="C35" s="2" t="s">
        <v>3</v>
      </c>
      <c r="D35" s="2"/>
      <c r="E35" s="1" t="s">
        <v>99</v>
      </c>
      <c r="F35" s="2"/>
      <c r="G35" s="2"/>
      <c r="H35" s="2"/>
      <c r="I35" s="1" t="s">
        <v>100</v>
      </c>
      <c r="J35" s="48">
        <f>SUM(J36:J39)</f>
        <v>29673.693599999999</v>
      </c>
      <c r="K35" s="1" t="s">
        <v>49</v>
      </c>
      <c r="L35" s="18"/>
      <c r="M35" s="2"/>
      <c r="N35" s="12">
        <f t="shared" si="9"/>
        <v>0</v>
      </c>
      <c r="O35" s="12"/>
      <c r="P35" s="24">
        <f t="shared" si="1"/>
        <v>0</v>
      </c>
      <c r="Q35" s="25">
        <f t="shared" si="2"/>
        <v>0</v>
      </c>
      <c r="R35" s="25">
        <f t="shared" si="3"/>
        <v>0</v>
      </c>
      <c r="S35" s="25">
        <f t="shared" si="4"/>
        <v>0</v>
      </c>
      <c r="T35" s="25">
        <f t="shared" si="5"/>
        <v>0</v>
      </c>
      <c r="U35" s="25">
        <f t="shared" si="6"/>
        <v>0</v>
      </c>
      <c r="V35" s="25">
        <f t="shared" si="7"/>
        <v>0</v>
      </c>
      <c r="W35" s="24">
        <f t="shared" si="10"/>
        <v>0</v>
      </c>
      <c r="X35" s="20">
        <f t="shared" si="0"/>
        <v>0</v>
      </c>
      <c r="Y35" s="3"/>
      <c r="Z35" s="6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30" t="s">
        <v>68</v>
      </c>
      <c r="B36" s="6">
        <f>IF(B18=0,0,(B18/100)*$B$50)</f>
        <v>0</v>
      </c>
      <c r="C36" s="2" t="s">
        <v>3</v>
      </c>
      <c r="D36" s="2"/>
      <c r="E36" s="69" t="s">
        <v>29</v>
      </c>
      <c r="F36" s="81">
        <f>F13/$B$8</f>
        <v>0.16737288135593223</v>
      </c>
      <c r="G36" s="68" t="s">
        <v>30</v>
      </c>
      <c r="H36" s="2"/>
      <c r="I36" s="68" t="s">
        <v>177</v>
      </c>
      <c r="J36" s="71">
        <f>F20/$B$8</f>
        <v>24.703389830508474</v>
      </c>
      <c r="K36" s="68" t="s">
        <v>49</v>
      </c>
      <c r="L36" s="18"/>
      <c r="M36" s="2"/>
      <c r="N36" s="12">
        <f t="shared" si="9"/>
        <v>0</v>
      </c>
      <c r="O36" s="12"/>
      <c r="P36" s="24">
        <f t="shared" si="1"/>
        <v>0</v>
      </c>
      <c r="Q36" s="25">
        <f t="shared" si="2"/>
        <v>0</v>
      </c>
      <c r="R36" s="25">
        <f t="shared" si="3"/>
        <v>0</v>
      </c>
      <c r="S36" s="25">
        <f t="shared" si="4"/>
        <v>0</v>
      </c>
      <c r="T36" s="25">
        <f t="shared" si="5"/>
        <v>0</v>
      </c>
      <c r="U36" s="25">
        <f t="shared" si="6"/>
        <v>0</v>
      </c>
      <c r="V36" s="25">
        <f t="shared" si="7"/>
        <v>0</v>
      </c>
      <c r="W36" s="24">
        <f t="shared" si="10"/>
        <v>0</v>
      </c>
      <c r="X36" s="20">
        <f t="shared" si="0"/>
        <v>0</v>
      </c>
      <c r="Y36" s="3"/>
      <c r="Z36" s="6"/>
      <c r="AA36" s="2"/>
      <c r="AB36" s="32" t="s">
        <v>32</v>
      </c>
      <c r="AC36" s="33"/>
      <c r="AD36" s="33"/>
      <c r="AE36" s="33"/>
      <c r="AF36" s="2"/>
      <c r="AG36" s="32" t="s">
        <v>101</v>
      </c>
      <c r="AH36" s="33"/>
      <c r="AI36" s="33"/>
      <c r="AJ36" s="33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30" t="s">
        <v>70</v>
      </c>
      <c r="B37" s="6">
        <f t="shared" ref="B37:B40" si="25">IF(B19=0,0,(B19/100)*$B$51)</f>
        <v>0</v>
      </c>
      <c r="C37" s="2" t="s">
        <v>3</v>
      </c>
      <c r="D37" s="2"/>
      <c r="E37" s="69" t="s">
        <v>102</v>
      </c>
      <c r="F37" s="82">
        <f>(F21/((1-J14%)*J10))/B8</f>
        <v>0</v>
      </c>
      <c r="G37" s="68" t="s">
        <v>30</v>
      </c>
      <c r="H37" s="2"/>
      <c r="I37" s="69" t="s">
        <v>69</v>
      </c>
      <c r="J37" s="71">
        <f>F18/$B$8</f>
        <v>9353.296610169491</v>
      </c>
      <c r="K37" s="68" t="s">
        <v>49</v>
      </c>
      <c r="L37" s="18"/>
      <c r="M37" s="2"/>
      <c r="N37" s="12">
        <f t="shared" si="9"/>
        <v>0</v>
      </c>
      <c r="O37" s="12"/>
      <c r="P37" s="24">
        <f t="shared" si="1"/>
        <v>0</v>
      </c>
      <c r="Q37" s="25">
        <f t="shared" si="2"/>
        <v>0</v>
      </c>
      <c r="R37" s="25">
        <f t="shared" si="3"/>
        <v>0</v>
      </c>
      <c r="S37" s="25">
        <f t="shared" si="4"/>
        <v>0</v>
      </c>
      <c r="T37" s="25">
        <f t="shared" si="5"/>
        <v>0</v>
      </c>
      <c r="U37" s="25">
        <f t="shared" si="6"/>
        <v>0</v>
      </c>
      <c r="V37" s="25">
        <f t="shared" si="7"/>
        <v>0</v>
      </c>
      <c r="W37" s="24">
        <f t="shared" si="10"/>
        <v>0</v>
      </c>
      <c r="X37" s="20">
        <f t="shared" si="0"/>
        <v>0</v>
      </c>
      <c r="Y37" s="3"/>
      <c r="Z37" s="6"/>
      <c r="AA37" s="2"/>
      <c r="AB37" s="33" t="s">
        <v>79</v>
      </c>
      <c r="AC37" s="33" t="s">
        <v>103</v>
      </c>
      <c r="AD37" s="33" t="s">
        <v>23</v>
      </c>
      <c r="AE37" s="33" t="s">
        <v>81</v>
      </c>
      <c r="AF37" s="2"/>
      <c r="AG37" s="33" t="s">
        <v>79</v>
      </c>
      <c r="AH37" s="33" t="s">
        <v>104</v>
      </c>
      <c r="AI37" s="33" t="s">
        <v>23</v>
      </c>
      <c r="AJ37" s="33" t="s">
        <v>81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67" t="s">
        <v>72</v>
      </c>
      <c r="B38" s="72">
        <f t="shared" si="25"/>
        <v>0</v>
      </c>
      <c r="C38" s="68" t="s">
        <v>3</v>
      </c>
      <c r="D38" s="2"/>
      <c r="E38" s="69" t="s">
        <v>105</v>
      </c>
      <c r="F38" s="82">
        <f>F36*J17</f>
        <v>0.16569915254237291</v>
      </c>
      <c r="G38" s="68" t="s">
        <v>4</v>
      </c>
      <c r="H38" s="2"/>
      <c r="I38" s="69" t="s">
        <v>63</v>
      </c>
      <c r="J38" s="71">
        <f>F16/$B$8</f>
        <v>0</v>
      </c>
      <c r="K38" s="68" t="s">
        <v>49</v>
      </c>
      <c r="L38" s="18"/>
      <c r="M38" s="2"/>
      <c r="N38" s="12">
        <f t="shared" si="9"/>
        <v>0</v>
      </c>
      <c r="O38" s="12"/>
      <c r="P38" s="24">
        <f t="shared" si="1"/>
        <v>0</v>
      </c>
      <c r="Q38" s="25">
        <f t="shared" si="2"/>
        <v>0</v>
      </c>
      <c r="R38" s="25">
        <f t="shared" si="3"/>
        <v>0</v>
      </c>
      <c r="S38" s="25">
        <f t="shared" si="4"/>
        <v>0</v>
      </c>
      <c r="T38" s="25">
        <f t="shared" si="5"/>
        <v>0</v>
      </c>
      <c r="U38" s="25">
        <f t="shared" si="6"/>
        <v>0</v>
      </c>
      <c r="V38" s="25">
        <f t="shared" si="7"/>
        <v>0</v>
      </c>
      <c r="W38" s="24">
        <f t="shared" si="10"/>
        <v>0</v>
      </c>
      <c r="X38" s="20">
        <f t="shared" si="0"/>
        <v>0</v>
      </c>
      <c r="Y38" s="3"/>
      <c r="Z38" s="6"/>
      <c r="AA38" s="2"/>
      <c r="AB38" s="33" t="s">
        <v>85</v>
      </c>
      <c r="AC38" s="37">
        <v>33810</v>
      </c>
      <c r="AD38" s="36">
        <f>X49</f>
        <v>617965.41213168134</v>
      </c>
      <c r="AE38" s="33"/>
      <c r="AF38" s="2"/>
      <c r="AG38" s="33" t="s">
        <v>85</v>
      </c>
      <c r="AH38" s="37">
        <v>57921.5</v>
      </c>
      <c r="AI38" s="36">
        <f>X49</f>
        <v>617965.41213168134</v>
      </c>
      <c r="AJ38" s="33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78" t="s">
        <v>73</v>
      </c>
      <c r="B39" s="72">
        <f t="shared" si="25"/>
        <v>25251.967741935485</v>
      </c>
      <c r="C39" s="68" t="s">
        <v>3</v>
      </c>
      <c r="D39" s="2"/>
      <c r="E39" s="2"/>
      <c r="F39" s="2"/>
      <c r="G39" s="2"/>
      <c r="H39" s="2"/>
      <c r="I39" s="69" t="s">
        <v>48</v>
      </c>
      <c r="J39" s="83">
        <f>F19*F12/$B$8</f>
        <v>20295.693599999999</v>
      </c>
      <c r="K39" s="68" t="s">
        <v>49</v>
      </c>
      <c r="L39" s="18"/>
      <c r="M39" s="2"/>
      <c r="N39" s="12">
        <f t="shared" si="9"/>
        <v>0</v>
      </c>
      <c r="O39" s="12"/>
      <c r="P39" s="24">
        <f t="shared" si="1"/>
        <v>0</v>
      </c>
      <c r="Q39" s="25">
        <f t="shared" si="2"/>
        <v>0</v>
      </c>
      <c r="R39" s="25">
        <f t="shared" si="3"/>
        <v>0</v>
      </c>
      <c r="S39" s="25">
        <f t="shared" si="4"/>
        <v>0</v>
      </c>
      <c r="T39" s="25">
        <f t="shared" si="5"/>
        <v>0</v>
      </c>
      <c r="U39" s="25">
        <f t="shared" si="6"/>
        <v>0</v>
      </c>
      <c r="V39" s="25">
        <f t="shared" si="7"/>
        <v>0</v>
      </c>
      <c r="W39" s="24">
        <f t="shared" si="10"/>
        <v>0</v>
      </c>
      <c r="X39" s="20">
        <f t="shared" si="0"/>
        <v>0</v>
      </c>
      <c r="Y39" s="3"/>
      <c r="Z39" s="6"/>
      <c r="AA39" s="2"/>
      <c r="AB39" s="33">
        <f t="shared" ref="AB39:AB43" si="26">AB40-10</f>
        <v>-50</v>
      </c>
      <c r="AC39" s="37">
        <f t="shared" ref="AC39:AC49" si="27">$AC$38*(1+(AB39/100))</f>
        <v>16905</v>
      </c>
      <c r="AD39" s="36">
        <f t="dataTable" ref="AD39:AD49" dt2D="0" dtr="0" r1="B49" ca="1"/>
        <v>595564.96616355691</v>
      </c>
      <c r="AE39" s="40">
        <f t="shared" ref="AE39:AE49" si="28">100*((AD39-$AD$44)/$AD$44)</f>
        <v>-3.6248705070488891</v>
      </c>
      <c r="AF39" s="2"/>
      <c r="AG39" s="33">
        <f t="shared" ref="AG39:AG43" si="29">AG40-10</f>
        <v>-50</v>
      </c>
      <c r="AH39" s="37">
        <f t="shared" ref="AH39:AH49" si="30">$AH$38*(1+(AG39/100))</f>
        <v>28960.75</v>
      </c>
      <c r="AI39" s="36">
        <f t="dataTable" ref="AI39:AI49" dt2D="0" dtr="0" r1="F12" ca="1"/>
        <v>500993.37178553437</v>
      </c>
      <c r="AJ39" s="40">
        <f t="shared" ref="AJ39:AJ49" si="31">100*((AI39-$AI$44)/$AI$44)</f>
        <v>-18.928574002653335</v>
      </c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78" t="s">
        <v>76</v>
      </c>
      <c r="B40" s="72">
        <f t="shared" si="25"/>
        <v>20201.574193548389</v>
      </c>
      <c r="C40" s="68" t="s">
        <v>3</v>
      </c>
      <c r="D40" s="2"/>
      <c r="E40" s="69" t="s">
        <v>106</v>
      </c>
      <c r="F40" s="71">
        <f>F37*F12*J17</f>
        <v>0</v>
      </c>
      <c r="G40" s="68" t="s">
        <v>49</v>
      </c>
      <c r="H40" s="2"/>
      <c r="I40" s="2"/>
      <c r="J40" s="2"/>
      <c r="K40" s="2"/>
      <c r="L40" s="18"/>
      <c r="M40" s="2"/>
      <c r="N40" s="12">
        <f t="shared" si="9"/>
        <v>0</v>
      </c>
      <c r="O40" s="12"/>
      <c r="P40" s="24">
        <f t="shared" si="1"/>
        <v>0</v>
      </c>
      <c r="Q40" s="25">
        <f t="shared" si="2"/>
        <v>0</v>
      </c>
      <c r="R40" s="25">
        <f t="shared" si="3"/>
        <v>0</v>
      </c>
      <c r="S40" s="25">
        <f t="shared" si="4"/>
        <v>0</v>
      </c>
      <c r="T40" s="25">
        <f t="shared" si="5"/>
        <v>0</v>
      </c>
      <c r="U40" s="25">
        <f t="shared" si="6"/>
        <v>0</v>
      </c>
      <c r="V40" s="25">
        <f t="shared" si="7"/>
        <v>0</v>
      </c>
      <c r="W40" s="24">
        <f t="shared" si="10"/>
        <v>0</v>
      </c>
      <c r="X40" s="20">
        <f t="shared" si="0"/>
        <v>0</v>
      </c>
      <c r="Y40" s="3"/>
      <c r="Z40" s="6"/>
      <c r="AA40" s="2"/>
      <c r="AB40" s="33">
        <f t="shared" si="26"/>
        <v>-40</v>
      </c>
      <c r="AC40" s="37">
        <f t="shared" si="27"/>
        <v>20286</v>
      </c>
      <c r="AD40" s="36">
        <v>600045.05535718158</v>
      </c>
      <c r="AE40" s="40">
        <f t="shared" si="28"/>
        <v>-2.899896405639145</v>
      </c>
      <c r="AF40" s="2"/>
      <c r="AG40" s="33">
        <f t="shared" si="29"/>
        <v>-40</v>
      </c>
      <c r="AH40" s="37">
        <f t="shared" si="30"/>
        <v>34752.9</v>
      </c>
      <c r="AI40" s="36">
        <v>524387.77985476365</v>
      </c>
      <c r="AJ40" s="40">
        <f t="shared" si="31"/>
        <v>-15.142859202122686</v>
      </c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68" t="s">
        <v>83</v>
      </c>
      <c r="B41" s="72">
        <f t="shared" ref="B41:B43" si="32">IF(B23=0,0,B23/$B$8)</f>
        <v>65.677966101694921</v>
      </c>
      <c r="C41" s="68" t="s">
        <v>3</v>
      </c>
      <c r="D41" s="2"/>
      <c r="E41" s="69" t="s">
        <v>107</v>
      </c>
      <c r="F41" s="73">
        <f>F38*F12</f>
        <v>9597.5434639830528</v>
      </c>
      <c r="G41" s="68" t="s">
        <v>49</v>
      </c>
      <c r="H41" s="2"/>
      <c r="I41" s="2"/>
      <c r="J41" s="2"/>
      <c r="K41" s="2"/>
      <c r="L41" s="18"/>
      <c r="M41" s="2"/>
      <c r="N41" s="12">
        <f t="shared" si="9"/>
        <v>0</v>
      </c>
      <c r="O41" s="12"/>
      <c r="P41" s="24">
        <f t="shared" si="1"/>
        <v>0</v>
      </c>
      <c r="Q41" s="25">
        <f t="shared" si="2"/>
        <v>0</v>
      </c>
      <c r="R41" s="25">
        <f t="shared" si="3"/>
        <v>0</v>
      </c>
      <c r="S41" s="25">
        <f t="shared" si="4"/>
        <v>0</v>
      </c>
      <c r="T41" s="25">
        <f t="shared" si="5"/>
        <v>0</v>
      </c>
      <c r="U41" s="25">
        <f t="shared" si="6"/>
        <v>0</v>
      </c>
      <c r="V41" s="25">
        <f t="shared" si="7"/>
        <v>0</v>
      </c>
      <c r="W41" s="24">
        <f t="shared" si="10"/>
        <v>0</v>
      </c>
      <c r="X41" s="20">
        <f t="shared" si="0"/>
        <v>0</v>
      </c>
      <c r="Y41" s="3"/>
      <c r="Z41" s="6"/>
      <c r="AA41" s="2"/>
      <c r="AB41" s="33">
        <f t="shared" si="26"/>
        <v>-30</v>
      </c>
      <c r="AC41" s="37">
        <f t="shared" si="27"/>
        <v>23667</v>
      </c>
      <c r="AD41" s="36">
        <v>604525.14455080673</v>
      </c>
      <c r="AE41" s="40">
        <f t="shared" si="28"/>
        <v>-2.1749223042293258</v>
      </c>
      <c r="AF41" s="2"/>
      <c r="AG41" s="33">
        <f t="shared" si="29"/>
        <v>-30</v>
      </c>
      <c r="AH41" s="37">
        <f t="shared" si="30"/>
        <v>40545.049999999996</v>
      </c>
      <c r="AI41" s="36">
        <v>547782.18792399322</v>
      </c>
      <c r="AJ41" s="40">
        <f t="shared" si="31"/>
        <v>-11.357144401591992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68" t="s">
        <v>178</v>
      </c>
      <c r="B42" s="72">
        <f t="shared" si="32"/>
        <v>11.228813559322035</v>
      </c>
      <c r="C42" s="68" t="s">
        <v>3</v>
      </c>
      <c r="D42" s="2"/>
      <c r="E42" s="2"/>
      <c r="F42" s="2"/>
      <c r="G42" s="2"/>
      <c r="H42" s="2"/>
      <c r="I42" s="2"/>
      <c r="J42" s="2"/>
      <c r="K42" s="2"/>
      <c r="L42" s="18"/>
      <c r="M42" s="2"/>
      <c r="N42" s="12">
        <f t="shared" si="9"/>
        <v>0</v>
      </c>
      <c r="O42" s="12"/>
      <c r="P42" s="24">
        <f t="shared" si="1"/>
        <v>0</v>
      </c>
      <c r="Q42" s="25">
        <f t="shared" si="2"/>
        <v>0</v>
      </c>
      <c r="R42" s="25">
        <f t="shared" si="3"/>
        <v>0</v>
      </c>
      <c r="S42" s="25">
        <f t="shared" si="4"/>
        <v>0</v>
      </c>
      <c r="T42" s="25">
        <f t="shared" si="5"/>
        <v>0</v>
      </c>
      <c r="U42" s="25">
        <f t="shared" si="6"/>
        <v>0</v>
      </c>
      <c r="V42" s="25">
        <f t="shared" si="7"/>
        <v>0</v>
      </c>
      <c r="W42" s="24">
        <f t="shared" si="10"/>
        <v>0</v>
      </c>
      <c r="X42" s="20">
        <f t="shared" si="0"/>
        <v>0</v>
      </c>
      <c r="Y42" s="3"/>
      <c r="Z42" s="6"/>
      <c r="AA42" s="2"/>
      <c r="AB42" s="33">
        <f t="shared" si="26"/>
        <v>-20</v>
      </c>
      <c r="AC42" s="37">
        <f t="shared" si="27"/>
        <v>27048</v>
      </c>
      <c r="AD42" s="36">
        <v>609005.23374443152</v>
      </c>
      <c r="AE42" s="40">
        <f t="shared" si="28"/>
        <v>-1.4499482028195632</v>
      </c>
      <c r="AF42" s="2"/>
      <c r="AG42" s="33">
        <f t="shared" si="29"/>
        <v>-20</v>
      </c>
      <c r="AH42" s="37">
        <f t="shared" si="30"/>
        <v>46337.200000000004</v>
      </c>
      <c r="AI42" s="36">
        <v>571176.59599322244</v>
      </c>
      <c r="AJ42" s="40">
        <f t="shared" si="31"/>
        <v>-7.571429601061352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68" t="s">
        <v>179</v>
      </c>
      <c r="B43" s="72">
        <f t="shared" si="32"/>
        <v>15.72033898305085</v>
      </c>
      <c r="C43" s="68" t="s">
        <v>3</v>
      </c>
      <c r="D43" s="2"/>
      <c r="E43" s="2"/>
      <c r="F43" s="2"/>
      <c r="G43" s="2"/>
      <c r="H43" s="2"/>
      <c r="I43" s="2"/>
      <c r="J43" s="2"/>
      <c r="K43" s="2"/>
      <c r="L43" s="18"/>
      <c r="M43" s="2"/>
      <c r="N43" s="12">
        <f t="shared" si="9"/>
        <v>0</v>
      </c>
      <c r="O43" s="12"/>
      <c r="P43" s="24">
        <f t="shared" si="1"/>
        <v>0</v>
      </c>
      <c r="Q43" s="25">
        <f t="shared" si="2"/>
        <v>0</v>
      </c>
      <c r="R43" s="25">
        <f t="shared" si="3"/>
        <v>0</v>
      </c>
      <c r="S43" s="25">
        <f t="shared" si="4"/>
        <v>0</v>
      </c>
      <c r="T43" s="25">
        <f t="shared" si="5"/>
        <v>0</v>
      </c>
      <c r="U43" s="25">
        <f t="shared" si="6"/>
        <v>0</v>
      </c>
      <c r="V43" s="25">
        <f t="shared" si="7"/>
        <v>0</v>
      </c>
      <c r="W43" s="24">
        <f t="shared" si="10"/>
        <v>0</v>
      </c>
      <c r="X43" s="20">
        <f t="shared" si="0"/>
        <v>0</v>
      </c>
      <c r="Y43" s="3"/>
      <c r="Z43" s="6"/>
      <c r="AA43" s="2"/>
      <c r="AB43" s="33">
        <f t="shared" si="26"/>
        <v>-10</v>
      </c>
      <c r="AC43" s="37">
        <f t="shared" si="27"/>
        <v>30429</v>
      </c>
      <c r="AD43" s="36">
        <v>613485.32293805631</v>
      </c>
      <c r="AE43" s="40">
        <f t="shared" si="28"/>
        <v>-0.72497410140980034</v>
      </c>
      <c r="AF43" s="2"/>
      <c r="AG43" s="33">
        <f t="shared" si="29"/>
        <v>-10</v>
      </c>
      <c r="AH43" s="37">
        <f t="shared" si="30"/>
        <v>52129.35</v>
      </c>
      <c r="AI43" s="36">
        <v>594571.00406245177</v>
      </c>
      <c r="AJ43" s="40">
        <f t="shared" si="31"/>
        <v>-3.7857148005306951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1" t="s">
        <v>163</v>
      </c>
      <c r="F44" s="2"/>
      <c r="G44" s="2"/>
      <c r="H44" s="2"/>
      <c r="I44" s="2"/>
      <c r="J44" s="2"/>
      <c r="K44" s="2"/>
      <c r="L44" s="18"/>
      <c r="M44" s="2"/>
      <c r="N44" s="12">
        <f t="shared" si="9"/>
        <v>0</v>
      </c>
      <c r="O44" s="12"/>
      <c r="P44" s="24">
        <f t="shared" si="1"/>
        <v>0</v>
      </c>
      <c r="Q44" s="25">
        <f t="shared" si="2"/>
        <v>0</v>
      </c>
      <c r="R44" s="25">
        <f t="shared" si="3"/>
        <v>0</v>
      </c>
      <c r="S44" s="25">
        <f t="shared" si="4"/>
        <v>0</v>
      </c>
      <c r="T44" s="25">
        <f t="shared" si="5"/>
        <v>0</v>
      </c>
      <c r="U44" s="25">
        <f t="shared" si="6"/>
        <v>0</v>
      </c>
      <c r="V44" s="25">
        <f t="shared" si="7"/>
        <v>0</v>
      </c>
      <c r="W44" s="24">
        <f t="shared" si="10"/>
        <v>0</v>
      </c>
      <c r="X44" s="20">
        <f t="shared" si="0"/>
        <v>0</v>
      </c>
      <c r="Y44" s="3"/>
      <c r="Z44" s="6"/>
      <c r="AA44" s="2"/>
      <c r="AB44" s="45">
        <v>0</v>
      </c>
      <c r="AC44" s="49">
        <f t="shared" si="27"/>
        <v>33810</v>
      </c>
      <c r="AD44" s="46">
        <v>617965.41213168134</v>
      </c>
      <c r="AE44" s="87">
        <f t="shared" si="28"/>
        <v>0</v>
      </c>
      <c r="AF44" s="2"/>
      <c r="AG44" s="45">
        <v>0</v>
      </c>
      <c r="AH44" s="49">
        <f t="shared" si="30"/>
        <v>57921.5</v>
      </c>
      <c r="AI44" s="46">
        <v>617965.41213168134</v>
      </c>
      <c r="AJ44" s="87">
        <f t="shared" si="31"/>
        <v>0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7" t="s">
        <v>108</v>
      </c>
      <c r="B45" s="3"/>
      <c r="C45" s="1"/>
      <c r="D45" s="2"/>
      <c r="E45" s="17" t="s">
        <v>164</v>
      </c>
      <c r="F45" s="97">
        <f>((1+(B14/100))*J9*J10)*(1+(B13%+B15%+B21%+B22%))</f>
        <v>48010.2</v>
      </c>
      <c r="G45" s="2" t="s">
        <v>3</v>
      </c>
      <c r="H45" s="2"/>
      <c r="I45" s="2"/>
      <c r="J45" s="2"/>
      <c r="K45" s="2"/>
      <c r="L45" s="18"/>
      <c r="M45" s="2"/>
      <c r="N45" s="12">
        <f t="shared" si="9"/>
        <v>0</v>
      </c>
      <c r="O45" s="12"/>
      <c r="P45" s="24">
        <f t="shared" si="1"/>
        <v>0</v>
      </c>
      <c r="Q45" s="25">
        <f t="shared" si="2"/>
        <v>0</v>
      </c>
      <c r="R45" s="25">
        <f t="shared" si="3"/>
        <v>0</v>
      </c>
      <c r="S45" s="25">
        <f t="shared" si="4"/>
        <v>0</v>
      </c>
      <c r="T45" s="25">
        <f t="shared" si="5"/>
        <v>0</v>
      </c>
      <c r="U45" s="25">
        <f t="shared" si="6"/>
        <v>0</v>
      </c>
      <c r="V45" s="25">
        <f t="shared" si="7"/>
        <v>0</v>
      </c>
      <c r="W45" s="24">
        <f t="shared" si="10"/>
        <v>0</v>
      </c>
      <c r="X45" s="20">
        <f t="shared" si="0"/>
        <v>0</v>
      </c>
      <c r="Y45" s="3"/>
      <c r="Z45" s="6"/>
      <c r="AA45" s="2"/>
      <c r="AB45" s="33">
        <f t="shared" ref="AB45:AB49" si="33">AB44+10</f>
        <v>10</v>
      </c>
      <c r="AC45" s="37">
        <f t="shared" si="27"/>
        <v>37191</v>
      </c>
      <c r="AD45" s="36">
        <v>622445.50132530613</v>
      </c>
      <c r="AE45" s="40">
        <f t="shared" si="28"/>
        <v>0.72497410140976271</v>
      </c>
      <c r="AF45" s="2"/>
      <c r="AG45" s="33">
        <f t="shared" ref="AG45:AG49" si="34">AG44+10</f>
        <v>10</v>
      </c>
      <c r="AH45" s="37">
        <f t="shared" si="30"/>
        <v>63713.650000000009</v>
      </c>
      <c r="AI45" s="36">
        <v>641359.82020091044</v>
      </c>
      <c r="AJ45" s="40">
        <f t="shared" si="31"/>
        <v>3.78571480053062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17" t="s">
        <v>197</v>
      </c>
      <c r="B46" s="72">
        <f>J8/B8</f>
        <v>218709.67741935485</v>
      </c>
      <c r="C46" s="68" t="s">
        <v>3</v>
      </c>
      <c r="D46" s="2"/>
      <c r="E46" s="2" t="s">
        <v>165</v>
      </c>
      <c r="F46" s="97">
        <f>((J21%)*F45)+(((1-J21%)*F45)*(1+(F22%*J20)))</f>
        <v>56983.306379999995</v>
      </c>
      <c r="G46" s="2" t="s">
        <v>3</v>
      </c>
      <c r="H46" s="2"/>
      <c r="I46" s="2"/>
      <c r="J46" s="2"/>
      <c r="K46" s="2"/>
      <c r="L46" s="18"/>
      <c r="M46" s="2"/>
      <c r="N46" s="12">
        <f t="shared" si="9"/>
        <v>0</v>
      </c>
      <c r="O46" s="12"/>
      <c r="P46" s="24">
        <f t="shared" si="1"/>
        <v>0</v>
      </c>
      <c r="Q46" s="25">
        <f t="shared" si="2"/>
        <v>0</v>
      </c>
      <c r="R46" s="25">
        <f t="shared" si="3"/>
        <v>0</v>
      </c>
      <c r="S46" s="25">
        <f t="shared" si="4"/>
        <v>0</v>
      </c>
      <c r="T46" s="25">
        <f t="shared" si="5"/>
        <v>0</v>
      </c>
      <c r="U46" s="25">
        <f t="shared" si="6"/>
        <v>0</v>
      </c>
      <c r="V46" s="25">
        <f t="shared" si="7"/>
        <v>0</v>
      </c>
      <c r="W46" s="24">
        <f t="shared" si="10"/>
        <v>0</v>
      </c>
      <c r="X46" s="20">
        <f t="shared" si="0"/>
        <v>0</v>
      </c>
      <c r="Y46" s="3"/>
      <c r="Z46" s="6"/>
      <c r="AA46" s="2"/>
      <c r="AB46" s="33">
        <f t="shared" si="33"/>
        <v>20</v>
      </c>
      <c r="AC46" s="37">
        <f t="shared" si="27"/>
        <v>40572</v>
      </c>
      <c r="AD46" s="36">
        <v>626925.59051893104</v>
      </c>
      <c r="AE46" s="40">
        <f t="shared" si="28"/>
        <v>1.4499482028195443</v>
      </c>
      <c r="AF46" s="2"/>
      <c r="AG46" s="33">
        <f t="shared" si="34"/>
        <v>20</v>
      </c>
      <c r="AH46" s="37">
        <f t="shared" si="30"/>
        <v>69505.8</v>
      </c>
      <c r="AI46" s="36">
        <v>664754.22827013978</v>
      </c>
      <c r="AJ46" s="40">
        <f t="shared" si="31"/>
        <v>7.5714296010612774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69" t="s">
        <v>109</v>
      </c>
      <c r="B47" s="72">
        <f>IF(J24="No",J9*J10,0)</f>
        <v>33810</v>
      </c>
      <c r="C47" s="68" t="s">
        <v>3</v>
      </c>
      <c r="D47" s="2"/>
      <c r="E47" s="2" t="s">
        <v>94</v>
      </c>
      <c r="F47" s="97">
        <f>J12*J11</f>
        <v>940000</v>
      </c>
      <c r="G47" s="2" t="s">
        <v>98</v>
      </c>
      <c r="H47" s="2"/>
      <c r="I47" s="1"/>
      <c r="J47" s="2"/>
      <c r="K47" s="2"/>
      <c r="L47" s="18"/>
      <c r="M47" s="2"/>
      <c r="N47" s="12">
        <f t="shared" si="9"/>
        <v>0</v>
      </c>
      <c r="O47" s="12"/>
      <c r="P47" s="24">
        <f t="shared" si="1"/>
        <v>0</v>
      </c>
      <c r="Q47" s="25">
        <f t="shared" si="2"/>
        <v>0</v>
      </c>
      <c r="R47" s="25">
        <f t="shared" si="3"/>
        <v>0</v>
      </c>
      <c r="S47" s="25">
        <f t="shared" si="4"/>
        <v>0</v>
      </c>
      <c r="T47" s="25">
        <f t="shared" si="5"/>
        <v>0</v>
      </c>
      <c r="U47" s="25">
        <f t="shared" si="6"/>
        <v>0</v>
      </c>
      <c r="V47" s="25">
        <f t="shared" si="7"/>
        <v>0</v>
      </c>
      <c r="W47" s="24">
        <f t="shared" si="10"/>
        <v>0</v>
      </c>
      <c r="X47" s="20">
        <f t="shared" si="0"/>
        <v>0</v>
      </c>
      <c r="Y47" s="3"/>
      <c r="Z47" s="6"/>
      <c r="AA47" s="2"/>
      <c r="AB47" s="33">
        <f t="shared" si="33"/>
        <v>30</v>
      </c>
      <c r="AC47" s="37">
        <f t="shared" si="27"/>
        <v>43953</v>
      </c>
      <c r="AD47" s="36">
        <v>631405.67971255584</v>
      </c>
      <c r="AE47" s="40">
        <f t="shared" si="28"/>
        <v>2.1749223042293071</v>
      </c>
      <c r="AF47" s="2"/>
      <c r="AG47" s="33">
        <f t="shared" si="34"/>
        <v>30</v>
      </c>
      <c r="AH47" s="37">
        <f t="shared" si="30"/>
        <v>75297.95</v>
      </c>
      <c r="AI47" s="36">
        <v>688148.63633936923</v>
      </c>
      <c r="AJ47" s="40">
        <f t="shared" si="31"/>
        <v>11.357144401591954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67" t="s">
        <v>110</v>
      </c>
      <c r="B48" s="80">
        <f>(1+(B14/100))*B46</f>
        <v>218709.67741935485</v>
      </c>
      <c r="C48" s="68" t="s">
        <v>3</v>
      </c>
      <c r="D48" s="2"/>
      <c r="E48" s="2" t="s">
        <v>166</v>
      </c>
      <c r="F48" s="98">
        <f>(F46/F47)*J25</f>
        <v>7.8806700312765959E-2</v>
      </c>
      <c r="G48" s="2" t="s">
        <v>4</v>
      </c>
      <c r="H48" s="2"/>
      <c r="I48" s="17"/>
      <c r="J48" s="23"/>
      <c r="K48" s="2"/>
      <c r="L48" s="18"/>
      <c r="M48" s="2"/>
      <c r="N48" s="12">
        <f t="shared" si="9"/>
        <v>0</v>
      </c>
      <c r="O48" s="12"/>
      <c r="P48" s="24">
        <f t="shared" si="1"/>
        <v>0</v>
      </c>
      <c r="Q48" s="25">
        <f t="shared" si="2"/>
        <v>0</v>
      </c>
      <c r="R48" s="25">
        <f t="shared" si="3"/>
        <v>0</v>
      </c>
      <c r="S48" s="25">
        <f t="shared" si="4"/>
        <v>0</v>
      </c>
      <c r="T48" s="25">
        <f t="shared" si="5"/>
        <v>0</v>
      </c>
      <c r="U48" s="25">
        <f t="shared" si="6"/>
        <v>0</v>
      </c>
      <c r="V48" s="25">
        <f t="shared" si="7"/>
        <v>0</v>
      </c>
      <c r="W48" s="24">
        <f t="shared" si="10"/>
        <v>0</v>
      </c>
      <c r="X48" s="20">
        <f t="shared" si="0"/>
        <v>0</v>
      </c>
      <c r="Y48" s="3"/>
      <c r="Z48" s="6"/>
      <c r="AA48" s="2"/>
      <c r="AB48" s="33">
        <f t="shared" si="33"/>
        <v>40</v>
      </c>
      <c r="AC48" s="37">
        <f t="shared" si="27"/>
        <v>47334</v>
      </c>
      <c r="AD48" s="36">
        <v>635885.76890618086</v>
      </c>
      <c r="AE48" s="40">
        <f t="shared" si="28"/>
        <v>2.8998964056391072</v>
      </c>
      <c r="AF48" s="2"/>
      <c r="AG48" s="33">
        <f t="shared" si="34"/>
        <v>40</v>
      </c>
      <c r="AH48" s="37">
        <f t="shared" si="30"/>
        <v>81090.099999999991</v>
      </c>
      <c r="AI48" s="36">
        <v>711543.04440859857</v>
      </c>
      <c r="AJ48" s="40">
        <f t="shared" si="31"/>
        <v>15.14285920212261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67" t="s">
        <v>111</v>
      </c>
      <c r="B49" s="79">
        <f>(1+(B14/100))*B47</f>
        <v>33810</v>
      </c>
      <c r="C49" s="68" t="s">
        <v>3</v>
      </c>
      <c r="D49" s="2"/>
      <c r="E49" s="2" t="s">
        <v>167</v>
      </c>
      <c r="F49" s="6">
        <f>J26*365</f>
        <v>42887.5</v>
      </c>
      <c r="G49" s="2" t="s">
        <v>43</v>
      </c>
      <c r="H49" s="2"/>
      <c r="I49" s="2"/>
      <c r="J49" s="2"/>
      <c r="K49" s="2"/>
      <c r="L49" s="18"/>
      <c r="M49" s="2"/>
      <c r="N49" s="13" t="s">
        <v>112</v>
      </c>
      <c r="O49" s="20">
        <f t="shared" ref="O49:X49" si="35">SUM(O8:O48)</f>
        <v>107449.26393657736</v>
      </c>
      <c r="P49" s="20">
        <f t="shared" si="35"/>
        <v>275056.71024890756</v>
      </c>
      <c r="Q49" s="20">
        <f t="shared" si="35"/>
        <v>77226.114509141087</v>
      </c>
      <c r="R49" s="20">
        <f t="shared" si="35"/>
        <v>0</v>
      </c>
      <c r="S49" s="20">
        <f t="shared" si="35"/>
        <v>229132.39634904778</v>
      </c>
      <c r="T49" s="20">
        <f t="shared" si="35"/>
        <v>0</v>
      </c>
      <c r="U49" s="20">
        <f t="shared" si="35"/>
        <v>0</v>
      </c>
      <c r="V49" s="20">
        <f t="shared" si="35"/>
        <v>0</v>
      </c>
      <c r="W49" s="20">
        <f t="shared" si="35"/>
        <v>-70899.07291199264</v>
      </c>
      <c r="X49" s="20">
        <f t="shared" si="35"/>
        <v>617965.41213168134</v>
      </c>
      <c r="Y49" s="3"/>
      <c r="Z49" s="3"/>
      <c r="AA49" s="2"/>
      <c r="AB49" s="33">
        <f t="shared" si="33"/>
        <v>50</v>
      </c>
      <c r="AC49" s="37">
        <f t="shared" si="27"/>
        <v>50715</v>
      </c>
      <c r="AD49" s="36">
        <v>640365.85809980577</v>
      </c>
      <c r="AE49" s="40">
        <f t="shared" si="28"/>
        <v>3.6248705070488891</v>
      </c>
      <c r="AF49" s="2"/>
      <c r="AG49" s="33">
        <f t="shared" si="34"/>
        <v>50</v>
      </c>
      <c r="AH49" s="37">
        <f t="shared" si="30"/>
        <v>86882.25</v>
      </c>
      <c r="AI49" s="36">
        <v>755693.85958004103</v>
      </c>
      <c r="AJ49" s="40">
        <f t="shared" si="31"/>
        <v>22.287403913637053</v>
      </c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68" t="s">
        <v>113</v>
      </c>
      <c r="B50" s="80">
        <f>B48+B49</f>
        <v>252519.67741935485</v>
      </c>
      <c r="C50" s="68" t="s">
        <v>3</v>
      </c>
      <c r="D50" s="2"/>
      <c r="E50" s="2" t="s">
        <v>168</v>
      </c>
      <c r="F50" s="5">
        <f>F48*F49</f>
        <v>3379.8223596637499</v>
      </c>
      <c r="G50" s="99" t="s">
        <v>49</v>
      </c>
      <c r="H50" s="2"/>
      <c r="I50" s="2"/>
      <c r="J50" s="2"/>
      <c r="K50" s="2"/>
      <c r="L50" s="18"/>
      <c r="M50" s="2"/>
      <c r="N50" s="2"/>
      <c r="O50" s="2"/>
      <c r="P50" s="6"/>
      <c r="Q50" s="2"/>
      <c r="R50" s="2"/>
      <c r="S50" s="2"/>
      <c r="T50" s="2"/>
      <c r="U50" s="2"/>
      <c r="V50" s="2"/>
      <c r="W50" s="2"/>
      <c r="X50" s="50"/>
      <c r="Y50" s="50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68" t="s">
        <v>114</v>
      </c>
      <c r="B51" s="80">
        <f>(1+(B15/100))*B50</f>
        <v>252519.67741935485</v>
      </c>
      <c r="C51" s="68" t="s">
        <v>3</v>
      </c>
      <c r="D51" s="2"/>
      <c r="E51" s="2" t="s">
        <v>169</v>
      </c>
      <c r="F51" s="100">
        <f>IF(F12&gt;F49,(F12-F49)*F48,0)</f>
        <v>1184.7799325021235</v>
      </c>
      <c r="G51" s="99" t="s">
        <v>49</v>
      </c>
      <c r="H51" s="2"/>
      <c r="I51" s="2"/>
      <c r="J51" s="2"/>
      <c r="K51" s="2"/>
      <c r="L51" s="18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32" t="s">
        <v>48</v>
      </c>
      <c r="AC51" s="33"/>
      <c r="AD51" s="33"/>
      <c r="AE51" s="33"/>
      <c r="AF51" s="2"/>
      <c r="AG51" s="32" t="s">
        <v>159</v>
      </c>
      <c r="AH51" s="33"/>
      <c r="AI51" s="33"/>
      <c r="AJ51" s="33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67" t="s">
        <v>115</v>
      </c>
      <c r="B52" s="72">
        <f>SUM(B33:B41)+SUM(B51)</f>
        <v>358666.92498633132</v>
      </c>
      <c r="C52" s="68" t="s">
        <v>3</v>
      </c>
      <c r="D52" s="2"/>
      <c r="E52" s="2"/>
      <c r="F52" s="2"/>
      <c r="G52" s="2"/>
      <c r="H52" s="2"/>
      <c r="I52" s="2"/>
      <c r="J52" s="2"/>
      <c r="K52" s="2"/>
      <c r="L52" s="18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33" t="s">
        <v>79</v>
      </c>
      <c r="AC52" s="33" t="s">
        <v>117</v>
      </c>
      <c r="AD52" s="33" t="s">
        <v>23</v>
      </c>
      <c r="AE52" s="33" t="s">
        <v>81</v>
      </c>
      <c r="AF52" s="2"/>
      <c r="AG52" s="33" t="s">
        <v>79</v>
      </c>
      <c r="AH52" s="33" t="s">
        <v>170</v>
      </c>
      <c r="AI52" s="33" t="s">
        <v>23</v>
      </c>
      <c r="AJ52" s="33" t="s">
        <v>81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67" t="s">
        <v>116</v>
      </c>
      <c r="B53" s="72">
        <f>SUM(B31:B32)</f>
        <v>-529.66101694915255</v>
      </c>
      <c r="C53" s="68" t="s">
        <v>3</v>
      </c>
      <c r="D53" s="2"/>
      <c r="E53" s="2"/>
      <c r="F53" s="2"/>
      <c r="G53" s="2"/>
      <c r="H53" s="2"/>
      <c r="I53" s="2"/>
      <c r="J53" s="2"/>
      <c r="K53" s="2"/>
      <c r="L53" s="18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33" t="s">
        <v>85</v>
      </c>
      <c r="AC53" s="37">
        <v>20295.693599999999</v>
      </c>
      <c r="AD53" s="36">
        <f>X49</f>
        <v>617965.41213168134</v>
      </c>
      <c r="AE53" s="33"/>
      <c r="AF53" s="2"/>
      <c r="AG53" s="33" t="s">
        <v>85</v>
      </c>
      <c r="AH53" s="37">
        <v>117.5</v>
      </c>
      <c r="AI53" s="36">
        <f>X49</f>
        <v>617965.41213168134</v>
      </c>
      <c r="AJ53" s="33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67" t="s">
        <v>172</v>
      </c>
      <c r="B54" s="72">
        <f>SUM(B52:B53)</f>
        <v>358137.26396938215</v>
      </c>
      <c r="C54" s="68" t="s">
        <v>3</v>
      </c>
      <c r="D54" s="2"/>
      <c r="E54" s="2"/>
      <c r="F54" s="2"/>
      <c r="G54" s="2"/>
      <c r="H54" s="2"/>
      <c r="I54" s="2"/>
      <c r="J54" s="2"/>
      <c r="K54" s="2"/>
      <c r="L54" s="18"/>
      <c r="M54" s="2"/>
      <c r="N54" s="2"/>
      <c r="O54" s="1"/>
      <c r="P54" s="1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33">
        <f>AB55-10</f>
        <v>-50</v>
      </c>
      <c r="AC54" s="37">
        <f t="shared" ref="AC54:AC64" si="36">$AC$53*(1+(AB54/100))</f>
        <v>10147.846799999999</v>
      </c>
      <c r="AD54" s="36">
        <f t="dataTable" ref="AD54:AD64" dt2D="0" dtr="0" r1="J39" ca="1"/>
        <v>539606.42904010497</v>
      </c>
      <c r="AE54" s="40">
        <f t="shared" ref="AE54:AE64" si="37">100*((AD54-$AD$59)/$AD$59)</f>
        <v>-12.680156777913481</v>
      </c>
      <c r="AF54" s="2"/>
      <c r="AG54" s="33">
        <f t="shared" ref="AG54:AG56" si="38">AG55-20</f>
        <v>-100</v>
      </c>
      <c r="AH54" s="37">
        <f>$AH$53*(1+(AG54/100))</f>
        <v>0</v>
      </c>
      <c r="AI54" s="36">
        <f t="dataTable" ref="AI54:AI64" dt2D="0" dtr="0" r1="J26" ca="1"/>
        <v>617965.41213168134</v>
      </c>
      <c r="AJ54" s="40">
        <f>100*((AI54-$AI$59)/$AI$59)</f>
        <v>0</v>
      </c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69" t="s">
        <v>71</v>
      </c>
      <c r="B55" s="72">
        <f>J18/B8</f>
        <v>0</v>
      </c>
      <c r="C55" s="68" t="s">
        <v>3</v>
      </c>
      <c r="D55" s="2"/>
      <c r="E55" s="2"/>
      <c r="F55" s="2"/>
      <c r="G55" s="2"/>
      <c r="H55" s="2"/>
      <c r="I55" s="2"/>
      <c r="J55" s="2"/>
      <c r="K55" s="2"/>
      <c r="L55" s="18"/>
      <c r="M55" s="2"/>
      <c r="N55" s="51"/>
      <c r="O55" s="52" t="s">
        <v>118</v>
      </c>
      <c r="P55" s="53" t="str">
        <f>B1</f>
        <v>Malaysia</v>
      </c>
      <c r="Q55" s="51"/>
      <c r="R55" s="51"/>
      <c r="S55" s="51"/>
      <c r="T55" s="51"/>
      <c r="U55" s="51"/>
      <c r="V55" s="54"/>
      <c r="W55" s="2"/>
      <c r="X55" s="7"/>
      <c r="Y55" s="7"/>
      <c r="Z55" s="54"/>
      <c r="AA55" s="7"/>
      <c r="AB55" s="33">
        <f>AB56-10</f>
        <v>-40</v>
      </c>
      <c r="AC55" s="37">
        <f t="shared" si="36"/>
        <v>12177.416159999999</v>
      </c>
      <c r="AD55" s="36">
        <v>555278.22565842024</v>
      </c>
      <c r="AE55" s="40">
        <f t="shared" si="37"/>
        <v>-10.144125422330784</v>
      </c>
      <c r="AF55" s="2"/>
      <c r="AG55" s="33">
        <f t="shared" si="38"/>
        <v>-80</v>
      </c>
      <c r="AH55" s="37">
        <f t="shared" ref="AH55:AH64" si="39">$AH$53*(1+(AG55/100))</f>
        <v>23.499999999999996</v>
      </c>
      <c r="AI55" s="36">
        <v>617965.41213168134</v>
      </c>
      <c r="AJ55" s="40">
        <f t="shared" ref="AJ55:AJ64" si="40">100*((AI55-$AI$59)/$AI$59)</f>
        <v>0</v>
      </c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 t="s">
        <v>180</v>
      </c>
      <c r="B56" s="72">
        <f>SUM(B42:B43)</f>
        <v>26.949152542372886</v>
      </c>
      <c r="C56" s="68" t="s">
        <v>3</v>
      </c>
      <c r="D56" s="2"/>
      <c r="E56" s="2"/>
      <c r="F56" s="2"/>
      <c r="G56" s="2"/>
      <c r="H56" s="2"/>
      <c r="I56" s="2"/>
      <c r="J56" s="2"/>
      <c r="K56" s="2"/>
      <c r="L56" s="18"/>
      <c r="M56" s="2"/>
      <c r="N56" s="2"/>
      <c r="O56" s="2" t="s">
        <v>119</v>
      </c>
      <c r="P56" s="50">
        <f>SUM(O49:P49)</f>
        <v>382505.97418548493</v>
      </c>
      <c r="Q56" s="2" t="s">
        <v>3</v>
      </c>
      <c r="R56" s="55">
        <f t="shared" ref="R56:R60" si="41">P56/$J$33</f>
        <v>0.66038685839538847</v>
      </c>
      <c r="S56" s="2" t="s">
        <v>4</v>
      </c>
      <c r="T56" s="2"/>
      <c r="U56" s="2"/>
      <c r="V56" s="54"/>
      <c r="W56" s="2"/>
      <c r="X56" s="7"/>
      <c r="Y56" s="7"/>
      <c r="Z56" s="54"/>
      <c r="AA56" s="7"/>
      <c r="AB56" s="33">
        <f>AB57-10</f>
        <v>-30</v>
      </c>
      <c r="AC56" s="37">
        <f t="shared" si="36"/>
        <v>14206.985519999998</v>
      </c>
      <c r="AD56" s="36">
        <v>570950.02227673552</v>
      </c>
      <c r="AE56" s="40">
        <f t="shared" si="37"/>
        <v>-7.6080940667480892</v>
      </c>
      <c r="AF56" s="2"/>
      <c r="AG56" s="33">
        <f t="shared" si="38"/>
        <v>-60</v>
      </c>
      <c r="AH56" s="37">
        <f t="shared" si="39"/>
        <v>47</v>
      </c>
      <c r="AI56" s="36">
        <v>617965.41213168134</v>
      </c>
      <c r="AJ56" s="40">
        <f t="shared" si="40"/>
        <v>0</v>
      </c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69" t="s">
        <v>120</v>
      </c>
      <c r="B57" s="72">
        <f>SUM(B54:B56)</f>
        <v>358164.21312192455</v>
      </c>
      <c r="C57" s="68" t="s">
        <v>3</v>
      </c>
      <c r="D57" s="2"/>
      <c r="E57" s="2"/>
      <c r="F57" s="2"/>
      <c r="G57" s="2"/>
      <c r="H57" s="2"/>
      <c r="I57" s="2"/>
      <c r="J57" s="2"/>
      <c r="K57" s="2"/>
      <c r="L57" s="18"/>
      <c r="M57" s="2"/>
      <c r="N57" s="2"/>
      <c r="O57" s="2" t="s">
        <v>99</v>
      </c>
      <c r="P57" s="50">
        <f>SUM(Q49:R49)</f>
        <v>77226.114509141087</v>
      </c>
      <c r="Q57" s="2" t="s">
        <v>3</v>
      </c>
      <c r="R57" s="55">
        <f t="shared" si="41"/>
        <v>0.13332892709812605</v>
      </c>
      <c r="S57" s="2" t="s">
        <v>4</v>
      </c>
      <c r="T57" s="2"/>
      <c r="U57" s="2"/>
      <c r="V57" s="54"/>
      <c r="W57" s="2"/>
      <c r="X57" s="7"/>
      <c r="Y57" s="7"/>
      <c r="Z57" s="54"/>
      <c r="AA57" s="7"/>
      <c r="AB57" s="33">
        <f>AB58-10</f>
        <v>-20</v>
      </c>
      <c r="AC57" s="37">
        <f t="shared" si="36"/>
        <v>16236.55488</v>
      </c>
      <c r="AD57" s="36">
        <v>586621.81889505067</v>
      </c>
      <c r="AE57" s="40">
        <f t="shared" si="37"/>
        <v>-5.0720627111654117</v>
      </c>
      <c r="AF57" s="2"/>
      <c r="AG57" s="33">
        <f>AG58-20</f>
        <v>-40</v>
      </c>
      <c r="AH57" s="37">
        <f t="shared" si="39"/>
        <v>70.5</v>
      </c>
      <c r="AI57" s="36">
        <v>617965.41213168134</v>
      </c>
      <c r="AJ57" s="40">
        <f t="shared" si="40"/>
        <v>0</v>
      </c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4"/>
      <c r="M58" s="2"/>
      <c r="N58" s="2"/>
      <c r="O58" s="2" t="s">
        <v>121</v>
      </c>
      <c r="P58" s="50">
        <f>SUM(S49:T49)</f>
        <v>229132.39634904778</v>
      </c>
      <c r="Q58" s="2" t="s">
        <v>3</v>
      </c>
      <c r="R58" s="55">
        <f t="shared" si="41"/>
        <v>0.39559126809396816</v>
      </c>
      <c r="S58" s="2" t="s">
        <v>4</v>
      </c>
      <c r="T58" s="2"/>
      <c r="U58" s="2"/>
      <c r="V58" s="54"/>
      <c r="W58" s="2"/>
      <c r="X58" s="7"/>
      <c r="Y58" s="7"/>
      <c r="Z58" s="54"/>
      <c r="AA58" s="7"/>
      <c r="AB58" s="33">
        <f>AB59-10</f>
        <v>-10</v>
      </c>
      <c r="AC58" s="37">
        <f t="shared" si="36"/>
        <v>18266.124240000001</v>
      </c>
      <c r="AD58" s="36">
        <v>602293.61551336606</v>
      </c>
      <c r="AE58" s="40">
        <f t="shared" si="37"/>
        <v>-2.5360313555826961</v>
      </c>
      <c r="AF58" s="2"/>
      <c r="AG58" s="33">
        <f>AG59-20</f>
        <v>-20</v>
      </c>
      <c r="AH58" s="37">
        <f t="shared" si="39"/>
        <v>94</v>
      </c>
      <c r="AI58" s="36">
        <v>617965.41213168134</v>
      </c>
      <c r="AJ58" s="40">
        <f t="shared" si="40"/>
        <v>0</v>
      </c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 t="s">
        <v>122</v>
      </c>
      <c r="P59" s="50">
        <f>SUM(U49:V49)</f>
        <v>0</v>
      </c>
      <c r="Q59" s="2" t="s">
        <v>3</v>
      </c>
      <c r="R59" s="55">
        <f t="shared" si="41"/>
        <v>0</v>
      </c>
      <c r="S59" s="2" t="s">
        <v>4</v>
      </c>
      <c r="T59" s="2"/>
      <c r="U59" s="2"/>
      <c r="V59" s="54"/>
      <c r="W59" s="2"/>
      <c r="X59" s="7"/>
      <c r="Y59" s="7"/>
      <c r="Z59" s="54"/>
      <c r="AA59" s="7"/>
      <c r="AB59" s="45">
        <v>0</v>
      </c>
      <c r="AC59" s="49">
        <f t="shared" si="36"/>
        <v>20295.693599999999</v>
      </c>
      <c r="AD59" s="46">
        <v>617965.41213168134</v>
      </c>
      <c r="AE59" s="87">
        <f t="shared" si="37"/>
        <v>0</v>
      </c>
      <c r="AF59" s="2"/>
      <c r="AG59" s="45">
        <v>0</v>
      </c>
      <c r="AH59" s="88">
        <f t="shared" si="39"/>
        <v>117.5</v>
      </c>
      <c r="AI59" s="46">
        <v>617965.41213168134</v>
      </c>
      <c r="AJ59" s="87">
        <f t="shared" si="40"/>
        <v>0</v>
      </c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 t="s">
        <v>123</v>
      </c>
      <c r="B60" s="7">
        <f>B52*B8</f>
        <v>1692907.8859354837</v>
      </c>
      <c r="C60" s="2" t="s">
        <v>28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 t="s">
        <v>124</v>
      </c>
      <c r="P60" s="50">
        <f>W49</f>
        <v>-70899.07291199264</v>
      </c>
      <c r="Q60" s="2" t="s">
        <v>3</v>
      </c>
      <c r="R60" s="55">
        <f t="shared" si="41"/>
        <v>-0.12240545032844909</v>
      </c>
      <c r="S60" s="2" t="s">
        <v>4</v>
      </c>
      <c r="T60" s="2"/>
      <c r="U60" s="2"/>
      <c r="V60" s="54"/>
      <c r="W60" s="2"/>
      <c r="X60" s="7"/>
      <c r="Y60" s="7"/>
      <c r="Z60" s="54"/>
      <c r="AA60" s="7"/>
      <c r="AB60" s="33">
        <f>AB59+10</f>
        <v>10</v>
      </c>
      <c r="AC60" s="37">
        <f t="shared" si="36"/>
        <v>22325.26296</v>
      </c>
      <c r="AD60" s="36">
        <v>633637.2087499965</v>
      </c>
      <c r="AE60" s="40">
        <f t="shared" si="37"/>
        <v>2.5360313555826774</v>
      </c>
      <c r="AF60" s="2"/>
      <c r="AG60" s="33">
        <f>AG59+20</f>
        <v>20</v>
      </c>
      <c r="AH60" s="37">
        <f t="shared" si="39"/>
        <v>141</v>
      </c>
      <c r="AI60" s="36">
        <v>617965.41213168134</v>
      </c>
      <c r="AJ60" s="40">
        <f t="shared" si="40"/>
        <v>0</v>
      </c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1" t="s">
        <v>2</v>
      </c>
      <c r="P61" s="3">
        <f>SUM(P56:P60)</f>
        <v>617965.41213168111</v>
      </c>
      <c r="Q61" s="1" t="s">
        <v>3</v>
      </c>
      <c r="R61" s="57">
        <f>SUM(R56:R60)</f>
        <v>1.0669016032590337</v>
      </c>
      <c r="S61" s="1" t="s">
        <v>4</v>
      </c>
      <c r="T61" s="1"/>
      <c r="U61" s="2"/>
      <c r="V61" s="54"/>
      <c r="W61" s="2"/>
      <c r="X61" s="7"/>
      <c r="Y61" s="7"/>
      <c r="Z61" s="54"/>
      <c r="AA61" s="7"/>
      <c r="AB61" s="33">
        <f>AB60+10</f>
        <v>20</v>
      </c>
      <c r="AC61" s="37">
        <f t="shared" si="36"/>
        <v>24354.832319999998</v>
      </c>
      <c r="AD61" s="36">
        <v>649309.00536831177</v>
      </c>
      <c r="AE61" s="40">
        <f t="shared" si="37"/>
        <v>5.0720627111653735</v>
      </c>
      <c r="AF61" s="2"/>
      <c r="AG61" s="33">
        <f t="shared" ref="AG61:AG64" si="42">AG60+20</f>
        <v>40</v>
      </c>
      <c r="AH61" s="37">
        <f t="shared" si="39"/>
        <v>164.5</v>
      </c>
      <c r="AI61" s="36">
        <v>617965.41213168134</v>
      </c>
      <c r="AJ61" s="40">
        <f t="shared" si="40"/>
        <v>0</v>
      </c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54"/>
      <c r="W62" s="2"/>
      <c r="X62" s="7"/>
      <c r="Y62" s="7"/>
      <c r="Z62" s="54"/>
      <c r="AA62" s="7"/>
      <c r="AB62" s="33">
        <f>AB61+10</f>
        <v>30</v>
      </c>
      <c r="AC62" s="37">
        <f t="shared" si="36"/>
        <v>26384.401679999999</v>
      </c>
      <c r="AD62" s="36">
        <v>664980.80198662705</v>
      </c>
      <c r="AE62" s="40">
        <f t="shared" si="37"/>
        <v>7.6080940667480705</v>
      </c>
      <c r="AF62" s="2"/>
      <c r="AG62" s="33">
        <f t="shared" si="42"/>
        <v>60</v>
      </c>
      <c r="AH62" s="37">
        <f t="shared" si="39"/>
        <v>188</v>
      </c>
      <c r="AI62" s="36">
        <v>617965.41213168134</v>
      </c>
      <c r="AJ62" s="40">
        <f t="shared" si="40"/>
        <v>0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54"/>
      <c r="W63" s="2"/>
      <c r="X63" s="7"/>
      <c r="Y63" s="7"/>
      <c r="Z63" s="54"/>
      <c r="AA63" s="7"/>
      <c r="AB63" s="33">
        <f>AB62+10</f>
        <v>40</v>
      </c>
      <c r="AC63" s="37">
        <f t="shared" si="36"/>
        <v>28413.971039999997</v>
      </c>
      <c r="AD63" s="36">
        <v>680652.59860494232</v>
      </c>
      <c r="AE63" s="40">
        <f t="shared" si="37"/>
        <v>10.144125422330767</v>
      </c>
      <c r="AF63" s="2"/>
      <c r="AG63" s="33">
        <f t="shared" si="42"/>
        <v>80</v>
      </c>
      <c r="AH63" s="37">
        <f t="shared" si="39"/>
        <v>211.5</v>
      </c>
      <c r="AI63" s="36">
        <v>617965.41213168134</v>
      </c>
      <c r="AJ63" s="40">
        <f t="shared" si="40"/>
        <v>0</v>
      </c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54"/>
      <c r="W64" s="2"/>
      <c r="X64" s="7"/>
      <c r="Y64" s="7"/>
      <c r="Z64" s="54"/>
      <c r="AA64" s="7"/>
      <c r="AB64" s="33">
        <f>AB63+10</f>
        <v>50</v>
      </c>
      <c r="AC64" s="37">
        <f t="shared" si="36"/>
        <v>30443.540399999998</v>
      </c>
      <c r="AD64" s="36">
        <v>696324.3952232576</v>
      </c>
      <c r="AE64" s="40">
        <f t="shared" si="37"/>
        <v>12.680156777913462</v>
      </c>
      <c r="AF64" s="2"/>
      <c r="AG64" s="33">
        <f t="shared" si="42"/>
        <v>100</v>
      </c>
      <c r="AH64" s="37">
        <f t="shared" si="39"/>
        <v>235</v>
      </c>
      <c r="AI64" s="36">
        <v>617965.41213168134</v>
      </c>
      <c r="AJ64" s="40">
        <f t="shared" si="40"/>
        <v>0</v>
      </c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54"/>
      <c r="W65" s="2"/>
      <c r="X65" s="7"/>
      <c r="Y65" s="7"/>
      <c r="Z65" s="54"/>
      <c r="AA65" s="7"/>
      <c r="AF65" s="2"/>
      <c r="AG65" s="2"/>
      <c r="AH65" s="23"/>
      <c r="AI65" s="6"/>
      <c r="AJ65" s="56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54"/>
      <c r="W66" s="2"/>
      <c r="X66" s="7"/>
      <c r="Y66" s="7"/>
      <c r="Z66" s="54"/>
      <c r="AA66" s="7"/>
      <c r="AB66" s="32" t="s">
        <v>196</v>
      </c>
      <c r="AC66" s="33"/>
      <c r="AD66" s="33"/>
      <c r="AE66" s="33"/>
      <c r="AF66" s="2"/>
      <c r="AG66" s="2"/>
      <c r="AH66" s="23"/>
      <c r="AI66" s="6"/>
      <c r="AJ66" s="56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54"/>
      <c r="W67" s="2"/>
      <c r="X67" s="7"/>
      <c r="Y67" s="7"/>
      <c r="Z67" s="54"/>
      <c r="AA67" s="7"/>
      <c r="AB67" s="33" t="s">
        <v>79</v>
      </c>
      <c r="AC67" s="33" t="s">
        <v>196</v>
      </c>
      <c r="AD67" s="33" t="s">
        <v>23</v>
      </c>
      <c r="AE67" s="33" t="s">
        <v>81</v>
      </c>
      <c r="AF67" s="2"/>
      <c r="AG67" s="2"/>
      <c r="AH67" s="23"/>
      <c r="AI67" s="6"/>
      <c r="AJ67" s="56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54"/>
      <c r="W68" s="2"/>
      <c r="X68" s="7"/>
      <c r="Y68" s="7"/>
      <c r="Z68" s="54"/>
      <c r="AA68" s="7"/>
      <c r="AB68" s="33" t="s">
        <v>85</v>
      </c>
      <c r="AC68" s="35">
        <v>0.99</v>
      </c>
      <c r="AD68" s="36">
        <f>X49</f>
        <v>617965.41213168134</v>
      </c>
      <c r="AE68" s="33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54"/>
      <c r="W69" s="2"/>
      <c r="X69" s="7"/>
      <c r="Y69" s="7"/>
      <c r="Z69" s="54"/>
      <c r="AA69" s="7"/>
      <c r="AB69" s="33">
        <f t="shared" ref="AB69:AB73" si="43">AB70-10</f>
        <v>-50</v>
      </c>
      <c r="AC69" s="35">
        <f>$AC$68*(1+(-AB69/100))</f>
        <v>1.4849999999999999</v>
      </c>
      <c r="AD69" s="36">
        <f t="dataTable" ref="AD69:AD79" dt2D="0" dtr="0" r1="J17"/>
        <v>656578.46938625164</v>
      </c>
      <c r="AE69" s="40">
        <f>100*((AD69-$AD$74)/$AD$74)</f>
        <v>6.2484172247398053</v>
      </c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58"/>
      <c r="Y70" s="58"/>
      <c r="Z70" s="2"/>
      <c r="AA70" s="58"/>
      <c r="AB70" s="33">
        <f t="shared" si="43"/>
        <v>-40</v>
      </c>
      <c r="AC70" s="35">
        <f t="shared" ref="AC70:AC79" si="44">$AC$68*(1+(-AB70/100))</f>
        <v>1.3859999999999999</v>
      </c>
      <c r="AD70" s="36">
        <v>648855.8579353377</v>
      </c>
      <c r="AE70" s="40">
        <f t="shared" ref="AE70:AE79" si="45">100*((AD70-$AD$74)/$AD$74)</f>
        <v>4.9987337797918636</v>
      </c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33">
        <f t="shared" si="43"/>
        <v>-30</v>
      </c>
      <c r="AC71" s="35">
        <f t="shared" si="44"/>
        <v>1.2869999999999999</v>
      </c>
      <c r="AD71" s="36">
        <v>641133.24648442364</v>
      </c>
      <c r="AE71" s="40">
        <f t="shared" si="45"/>
        <v>3.7490503348439024</v>
      </c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33">
        <f t="shared" si="43"/>
        <v>-20</v>
      </c>
      <c r="AC72" s="35">
        <f t="shared" si="44"/>
        <v>1.1879999999999999</v>
      </c>
      <c r="AD72" s="36">
        <v>633410.63503350934</v>
      </c>
      <c r="AE72" s="40">
        <f t="shared" si="45"/>
        <v>2.4993668898959034</v>
      </c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33">
        <f t="shared" si="43"/>
        <v>-10</v>
      </c>
      <c r="AC73" s="35">
        <f t="shared" si="44"/>
        <v>1.089</v>
      </c>
      <c r="AD73" s="36">
        <v>625688.0235825954</v>
      </c>
      <c r="AE73" s="40">
        <f t="shared" si="45"/>
        <v>1.249683444947961</v>
      </c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45">
        <v>0</v>
      </c>
      <c r="AC74" s="85">
        <f t="shared" si="44"/>
        <v>0.99</v>
      </c>
      <c r="AD74" s="46">
        <v>617965.41213168134</v>
      </c>
      <c r="AE74" s="87">
        <f t="shared" si="45"/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33">
        <f t="shared" ref="AB75:AB79" si="46">AB74+10</f>
        <v>10</v>
      </c>
      <c r="AC75" s="35">
        <f t="shared" si="44"/>
        <v>0.89100000000000001</v>
      </c>
      <c r="AD75" s="36">
        <v>610242.80068076681</v>
      </c>
      <c r="AE75" s="40">
        <f t="shared" si="45"/>
        <v>-1.2496834449480365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33">
        <f t="shared" si="46"/>
        <v>20</v>
      </c>
      <c r="AC76" s="35">
        <f t="shared" si="44"/>
        <v>0.79200000000000004</v>
      </c>
      <c r="AD76" s="36">
        <v>602520.18922985299</v>
      </c>
      <c r="AE76" s="40">
        <f t="shared" si="45"/>
        <v>-2.4993668898959598</v>
      </c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33">
        <f t="shared" si="46"/>
        <v>30</v>
      </c>
      <c r="AC77" s="35">
        <f t="shared" si="44"/>
        <v>0.69299999999999995</v>
      </c>
      <c r="AD77" s="36">
        <v>594797.57777893892</v>
      </c>
      <c r="AE77" s="40">
        <f t="shared" si="45"/>
        <v>-3.749050334843921</v>
      </c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33">
        <f t="shared" si="46"/>
        <v>40</v>
      </c>
      <c r="AC78" s="35">
        <f t="shared" si="44"/>
        <v>0.59399999999999997</v>
      </c>
      <c r="AD78" s="36">
        <v>587074.96632802463</v>
      </c>
      <c r="AE78" s="40">
        <f t="shared" si="45"/>
        <v>-4.9987337797919196</v>
      </c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33">
        <f t="shared" si="46"/>
        <v>50</v>
      </c>
      <c r="AC79" s="35">
        <f t="shared" si="44"/>
        <v>0.495</v>
      </c>
      <c r="AD79" s="36">
        <v>579352.35487711057</v>
      </c>
      <c r="AE79" s="40">
        <f t="shared" si="45"/>
        <v>-6.2484172247398808</v>
      </c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  <row r="997" spans="1:51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</row>
    <row r="998" spans="1:51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</row>
    <row r="999" spans="1:51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</row>
    <row r="1000" spans="1:51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</row>
  </sheetData>
  <pageMargins left="0.7" right="0.7" top="0.75" bottom="0.75" header="0" footer="0"/>
  <pageSetup orientation="portrait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01966F2-4DB5-4422-9179-C91B92670A74}">
          <x14:formula1>
            <xm:f>Description!$A$18:$A$19</xm:f>
          </x14:formula1>
          <xm:sqref>J24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AO1000"/>
  <sheetViews>
    <sheetView zoomScale="70" zoomScaleNormal="70" workbookViewId="0">
      <selection activeCell="J8" sqref="J8:J16"/>
    </sheetView>
  </sheetViews>
  <sheetFormatPr defaultColWidth="14.42578125" defaultRowHeight="15" customHeight="1" x14ac:dyDescent="0.25"/>
  <cols>
    <col min="1" max="1" width="52.7109375" customWidth="1"/>
    <col min="2" max="2" width="17.42578125" customWidth="1"/>
    <col min="3" max="3" width="16.28515625" customWidth="1"/>
    <col min="4" max="4" width="8.85546875" customWidth="1"/>
    <col min="5" max="5" width="48" customWidth="1"/>
    <col min="6" max="6" width="14.28515625" customWidth="1"/>
    <col min="7" max="7" width="8.85546875" customWidth="1"/>
    <col min="8" max="8" width="19.28515625" customWidth="1"/>
    <col min="9" max="9" width="37.85546875" customWidth="1"/>
    <col min="10" max="10" width="17.4257812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16.42578125" customWidth="1"/>
    <col min="19" max="19" width="16" customWidth="1"/>
    <col min="20" max="20" width="22" customWidth="1"/>
    <col min="21" max="21" width="23.85546875" customWidth="1"/>
    <col min="22" max="22" width="12.7109375" customWidth="1"/>
    <col min="23" max="23" width="19.42578125" customWidth="1"/>
    <col min="24" max="24" width="13.42578125" customWidth="1"/>
    <col min="25" max="25" width="8.85546875" customWidth="1"/>
    <col min="26" max="26" width="20.140625" customWidth="1"/>
    <col min="27" max="27" width="25" customWidth="1"/>
    <col min="28" max="28" width="12.85546875" customWidth="1"/>
    <col min="29" max="29" width="19" customWidth="1"/>
    <col min="30" max="30" width="4.7109375" customWidth="1"/>
    <col min="31" max="31" width="20.140625" customWidth="1"/>
    <col min="32" max="32" width="19.28515625" customWidth="1"/>
    <col min="33" max="33" width="11.28515625" customWidth="1"/>
    <col min="34" max="34" width="17.85546875" customWidth="1"/>
  </cols>
  <sheetData>
    <row r="1" spans="1:34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5">
      <c r="A2" s="1" t="s">
        <v>2</v>
      </c>
      <c r="B2" s="3">
        <f>U49</f>
        <v>397338.58761659829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2"/>
      <c r="B3" s="4">
        <f>B2/F40</f>
        <v>0.68599498910870449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" t="s">
        <v>7</v>
      </c>
      <c r="AA4" s="2"/>
      <c r="AB4" s="2"/>
      <c r="AC4" s="2"/>
      <c r="AD4" s="2"/>
      <c r="AE4" s="2"/>
      <c r="AF4" s="2"/>
      <c r="AG4" s="2"/>
      <c r="AH4" s="2"/>
    </row>
    <row r="5" spans="1:34" x14ac:dyDescent="0.25">
      <c r="A5" s="2" t="s">
        <v>8</v>
      </c>
      <c r="B5" s="6">
        <v>10</v>
      </c>
      <c r="C5" s="2" t="s">
        <v>9</v>
      </c>
      <c r="D5" s="2"/>
      <c r="E5" s="2"/>
      <c r="F5" s="2"/>
      <c r="G5" s="2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5">
      <c r="A7" s="8" t="s">
        <v>11</v>
      </c>
      <c r="B7" s="9"/>
      <c r="C7" s="9"/>
      <c r="D7" s="9"/>
      <c r="E7" s="9"/>
      <c r="F7" s="9"/>
      <c r="G7" s="9"/>
      <c r="H7" s="10"/>
      <c r="I7" s="11" t="s">
        <v>12</v>
      </c>
      <c r="J7" s="9"/>
      <c r="K7" s="9"/>
      <c r="L7" s="10"/>
      <c r="M7" s="2"/>
      <c r="N7" s="12" t="s">
        <v>13</v>
      </c>
      <c r="O7" s="12" t="s">
        <v>14</v>
      </c>
      <c r="P7" s="12" t="s">
        <v>15</v>
      </c>
      <c r="Q7" s="12" t="s">
        <v>125</v>
      </c>
      <c r="R7" s="12" t="s">
        <v>126</v>
      </c>
      <c r="S7" s="12" t="s">
        <v>19</v>
      </c>
      <c r="T7" s="12" t="s">
        <v>22</v>
      </c>
      <c r="U7" s="13" t="s">
        <v>23</v>
      </c>
      <c r="V7" s="1"/>
      <c r="W7" s="2"/>
      <c r="X7" s="2"/>
      <c r="Y7" s="2"/>
      <c r="Z7" s="2" t="s">
        <v>24</v>
      </c>
      <c r="AA7" s="2"/>
      <c r="AB7" s="2"/>
      <c r="AC7" s="2"/>
      <c r="AD7" s="2"/>
      <c r="AE7" s="2"/>
      <c r="AF7" s="2"/>
      <c r="AG7" s="2"/>
      <c r="AH7" s="2"/>
    </row>
    <row r="8" spans="1:34" x14ac:dyDescent="0.25">
      <c r="A8" s="14" t="s">
        <v>25</v>
      </c>
      <c r="B8" s="15">
        <v>4.72</v>
      </c>
      <c r="C8" s="2" t="s">
        <v>26</v>
      </c>
      <c r="D8" s="2"/>
      <c r="E8" s="2"/>
      <c r="F8" s="2"/>
      <c r="G8" s="2"/>
      <c r="H8" s="16"/>
      <c r="I8" s="17" t="s">
        <v>197</v>
      </c>
      <c r="J8" s="6">
        <v>481135.4838709677</v>
      </c>
      <c r="K8" s="2" t="s">
        <v>28</v>
      </c>
      <c r="L8" s="18"/>
      <c r="M8" s="2"/>
      <c r="N8" s="12">
        <v>0</v>
      </c>
      <c r="O8" s="19">
        <f>F31</f>
        <v>56486.650628758878</v>
      </c>
      <c r="P8" s="12"/>
      <c r="Q8" s="12"/>
      <c r="R8" s="12"/>
      <c r="S8" s="12"/>
      <c r="T8" s="12"/>
      <c r="U8" s="20">
        <f t="shared" ref="U8:U48" si="0">SUM(O8:T8)</f>
        <v>56486.650628758878</v>
      </c>
      <c r="V8" s="3"/>
      <c r="W8" s="6"/>
      <c r="X8" s="2"/>
      <c r="Y8" s="2"/>
      <c r="Z8" s="21" t="s">
        <v>182</v>
      </c>
      <c r="AA8" s="22">
        <f>F36</f>
        <v>0.45550847457627119</v>
      </c>
      <c r="AB8" s="21" t="s">
        <v>128</v>
      </c>
      <c r="AC8" s="2"/>
      <c r="AD8" s="2"/>
      <c r="AE8" s="2"/>
      <c r="AF8" s="2"/>
      <c r="AG8" s="2"/>
      <c r="AH8" s="2"/>
    </row>
    <row r="9" spans="1:34" x14ac:dyDescent="0.25">
      <c r="A9" s="14"/>
      <c r="B9" s="2"/>
      <c r="C9" s="2"/>
      <c r="D9" s="2"/>
      <c r="E9" s="2"/>
      <c r="F9" s="23"/>
      <c r="G9" s="2"/>
      <c r="H9" s="16"/>
      <c r="I9" s="17" t="s">
        <v>129</v>
      </c>
      <c r="J9" s="15">
        <v>0.49</v>
      </c>
      <c r="K9" s="2" t="s">
        <v>130</v>
      </c>
      <c r="L9" s="18"/>
      <c r="M9" s="2"/>
      <c r="N9" s="12">
        <v>1</v>
      </c>
      <c r="O9" s="12"/>
      <c r="P9" s="24">
        <f t="shared" ref="P9:P48" si="1">IF(N9&gt;0,IF(N9&lt;=$J$15,(($F$32+$F$33)/$J$15)/((1+($F$11/100))^N9),0),0)</f>
        <v>31808.260598505556</v>
      </c>
      <c r="Q9" s="25">
        <f t="shared" ref="Q9:Q48" si="2">IF(N9&gt;0,($F$38*((1+($F$14/100))^(N9-1)))/((1+($F$11/100))^N9),0)</f>
        <v>12312.40925141243</v>
      </c>
      <c r="R9" s="25">
        <f t="shared" ref="R9:R48" si="3">IF(N9&gt;0,$J$30/((1+($F$11/100))^N9),0)</f>
        <v>16185.847828894266</v>
      </c>
      <c r="S9" s="25">
        <f t="shared" ref="S9:S48" si="4">IF(N9&gt;0,($F$16/$B$8)/((1+($F$11/100))^N9),0)</f>
        <v>4.0355125100887816</v>
      </c>
      <c r="T9" s="24">
        <f t="shared" ref="T9:T48" si="5">IF(N9=$B$5,((((1-$J$11/100)^N9)*$B$48)/((1+($F$11/100))^N9))*-1,0)</f>
        <v>0</v>
      </c>
      <c r="U9" s="20">
        <f t="shared" si="0"/>
        <v>60310.553191322339</v>
      </c>
      <c r="V9" s="3"/>
      <c r="W9" s="6"/>
      <c r="X9" s="2"/>
      <c r="Y9" s="2"/>
      <c r="Z9" s="21" t="s">
        <v>172</v>
      </c>
      <c r="AA9" s="28">
        <f>B51</f>
        <v>188261.88627665391</v>
      </c>
      <c r="AB9" s="21" t="s">
        <v>3</v>
      </c>
      <c r="AC9" s="2"/>
      <c r="AD9" s="6"/>
      <c r="AE9" s="2"/>
      <c r="AF9" s="2"/>
      <c r="AG9" s="2"/>
      <c r="AH9" s="2"/>
    </row>
    <row r="10" spans="1:34" x14ac:dyDescent="0.25">
      <c r="A10" s="27" t="s">
        <v>33</v>
      </c>
      <c r="B10" s="2"/>
      <c r="C10" s="2"/>
      <c r="D10" s="2"/>
      <c r="E10" s="1" t="s">
        <v>34</v>
      </c>
      <c r="F10" s="2"/>
      <c r="G10" s="2"/>
      <c r="H10" s="18"/>
      <c r="I10" s="17" t="s">
        <v>52</v>
      </c>
      <c r="J10" s="2">
        <v>30</v>
      </c>
      <c r="K10" s="2" t="s">
        <v>53</v>
      </c>
      <c r="L10" s="18"/>
      <c r="M10" s="2"/>
      <c r="N10" s="12">
        <f t="shared" ref="N10:N48" si="6">IF((N9+1)&gt;$B$5,,IF(N9=0,,N9+1))</f>
        <v>2</v>
      </c>
      <c r="O10" s="12"/>
      <c r="P10" s="24">
        <f t="shared" si="1"/>
        <v>30293.581522386245</v>
      </c>
      <c r="Q10" s="25">
        <f t="shared" si="2"/>
        <v>11843.36508945386</v>
      </c>
      <c r="R10" s="25">
        <f t="shared" si="3"/>
        <v>15415.093170375492</v>
      </c>
      <c r="S10" s="25">
        <f t="shared" si="4"/>
        <v>3.8433452477036014</v>
      </c>
      <c r="T10" s="24">
        <f t="shared" si="5"/>
        <v>0</v>
      </c>
      <c r="U10" s="20">
        <f t="shared" si="0"/>
        <v>57555.883127463298</v>
      </c>
      <c r="V10" s="3"/>
      <c r="W10" s="6"/>
      <c r="X10" s="2"/>
      <c r="Y10" s="2"/>
      <c r="Z10" s="21" t="s">
        <v>42</v>
      </c>
      <c r="AA10" s="29">
        <f>F12</f>
        <v>57921.5</v>
      </c>
      <c r="AB10" s="21" t="s">
        <v>43</v>
      </c>
      <c r="AC10" s="2"/>
      <c r="AD10" s="6"/>
      <c r="AE10" s="2"/>
      <c r="AF10" s="2"/>
      <c r="AG10" s="2"/>
      <c r="AH10" s="2"/>
    </row>
    <row r="11" spans="1:34" x14ac:dyDescent="0.25">
      <c r="A11" s="30" t="s">
        <v>131</v>
      </c>
      <c r="B11" s="2">
        <v>0</v>
      </c>
      <c r="C11" s="2" t="s">
        <v>28</v>
      </c>
      <c r="D11" s="2"/>
      <c r="E11" s="17" t="s">
        <v>38</v>
      </c>
      <c r="F11" s="2">
        <v>5</v>
      </c>
      <c r="G11" s="2" t="s">
        <v>39</v>
      </c>
      <c r="H11" s="18"/>
      <c r="I11" s="17" t="s">
        <v>61</v>
      </c>
      <c r="J11" s="2">
        <v>7.08</v>
      </c>
      <c r="K11" s="2" t="s">
        <v>62</v>
      </c>
      <c r="L11" s="18"/>
      <c r="M11" s="2"/>
      <c r="N11" s="12">
        <f t="shared" si="6"/>
        <v>3</v>
      </c>
      <c r="O11" s="12"/>
      <c r="P11" s="24">
        <f t="shared" si="1"/>
        <v>28851.030021320232</v>
      </c>
      <c r="Q11" s="25">
        <f t="shared" si="2"/>
        <v>11392.189276522284</v>
      </c>
      <c r="R11" s="25">
        <f t="shared" si="3"/>
        <v>14681.041114643325</v>
      </c>
      <c r="S11" s="25">
        <f t="shared" si="4"/>
        <v>3.660328807336763</v>
      </c>
      <c r="T11" s="24">
        <f t="shared" si="5"/>
        <v>0</v>
      </c>
      <c r="U11" s="20">
        <f t="shared" si="0"/>
        <v>54927.920741293179</v>
      </c>
      <c r="V11" s="3"/>
      <c r="W11" s="6"/>
      <c r="X11" s="2"/>
      <c r="Y11" s="2"/>
      <c r="Z11" s="31" t="s">
        <v>48</v>
      </c>
      <c r="AA11" s="29">
        <f>J34</f>
        <v>12047.671999999999</v>
      </c>
      <c r="AB11" s="21" t="s">
        <v>49</v>
      </c>
      <c r="AC11" s="2"/>
      <c r="AD11" s="6"/>
      <c r="AE11" s="2"/>
      <c r="AF11" s="2"/>
      <c r="AG11" s="2"/>
      <c r="AH11" s="2"/>
    </row>
    <row r="12" spans="1:34" x14ac:dyDescent="0.25">
      <c r="A12" s="30" t="s">
        <v>44</v>
      </c>
      <c r="B12" s="2">
        <v>0</v>
      </c>
      <c r="C12" s="2" t="s">
        <v>39</v>
      </c>
      <c r="D12" s="2"/>
      <c r="E12" s="17" t="s">
        <v>45</v>
      </c>
      <c r="F12" s="59">
        <v>57921.5</v>
      </c>
      <c r="G12" s="2" t="s">
        <v>43</v>
      </c>
      <c r="H12" s="18"/>
      <c r="I12" s="2"/>
      <c r="J12" s="2"/>
      <c r="K12" s="2"/>
      <c r="L12" s="18"/>
      <c r="M12" s="2"/>
      <c r="N12" s="12">
        <f t="shared" si="6"/>
        <v>4</v>
      </c>
      <c r="O12" s="12"/>
      <c r="P12" s="24">
        <f t="shared" si="1"/>
        <v>27477.171448876412</v>
      </c>
      <c r="Q12" s="25">
        <f t="shared" si="2"/>
        <v>10958.201113607149</v>
      </c>
      <c r="R12" s="25">
        <f t="shared" si="3"/>
        <v>13981.94391870793</v>
      </c>
      <c r="S12" s="25">
        <f t="shared" si="4"/>
        <v>3.4860274355588223</v>
      </c>
      <c r="T12" s="24">
        <f t="shared" si="5"/>
        <v>0</v>
      </c>
      <c r="U12" s="20">
        <f t="shared" si="0"/>
        <v>52420.80250862705</v>
      </c>
      <c r="V12" s="3"/>
      <c r="W12" s="6"/>
      <c r="X12" s="2"/>
      <c r="Y12" s="2"/>
      <c r="Z12" s="118" t="s">
        <v>196</v>
      </c>
      <c r="AA12" s="119">
        <f>J9</f>
        <v>0.49</v>
      </c>
      <c r="AB12" s="118" t="s">
        <v>130</v>
      </c>
      <c r="AC12" s="2"/>
      <c r="AD12" s="6"/>
      <c r="AE12" s="2"/>
      <c r="AF12" s="2"/>
      <c r="AG12" s="2"/>
      <c r="AH12" s="2"/>
    </row>
    <row r="13" spans="1:34" x14ac:dyDescent="0.25">
      <c r="A13" s="2" t="s">
        <v>50</v>
      </c>
      <c r="B13" s="2">
        <v>24</v>
      </c>
      <c r="C13" s="2" t="s">
        <v>39</v>
      </c>
      <c r="D13" s="2"/>
      <c r="E13" s="17" t="s">
        <v>127</v>
      </c>
      <c r="F13" s="15">
        <v>2.15</v>
      </c>
      <c r="G13" s="2" t="s">
        <v>132</v>
      </c>
      <c r="H13" s="18"/>
      <c r="I13" s="17"/>
      <c r="J13" s="6"/>
      <c r="K13" s="2"/>
      <c r="L13" s="18"/>
      <c r="M13" s="2"/>
      <c r="N13" s="12">
        <f t="shared" si="6"/>
        <v>5</v>
      </c>
      <c r="O13" s="12"/>
      <c r="P13" s="24">
        <f t="shared" si="1"/>
        <v>26168.734713215628</v>
      </c>
      <c r="Q13" s="25">
        <f t="shared" si="2"/>
        <v>10540.745833088782</v>
      </c>
      <c r="R13" s="25">
        <f t="shared" si="3"/>
        <v>13316.137065436122</v>
      </c>
      <c r="S13" s="25">
        <f t="shared" si="4"/>
        <v>3.3200261291036397</v>
      </c>
      <c r="T13" s="24">
        <f t="shared" si="5"/>
        <v>0</v>
      </c>
      <c r="U13" s="20">
        <f t="shared" si="0"/>
        <v>50028.93763786964</v>
      </c>
      <c r="V13" s="3"/>
      <c r="W13" s="6"/>
      <c r="X13" s="2"/>
      <c r="Y13" s="2"/>
      <c r="Z13" s="2"/>
      <c r="AA13" s="2"/>
      <c r="AB13" s="2"/>
      <c r="AC13" s="2"/>
      <c r="AD13" s="6"/>
      <c r="AE13" s="2"/>
      <c r="AF13" s="2"/>
      <c r="AG13" s="2"/>
      <c r="AH13" s="2"/>
    </row>
    <row r="14" spans="1:34" x14ac:dyDescent="0.25">
      <c r="A14" s="30" t="s">
        <v>54</v>
      </c>
      <c r="B14" s="2">
        <v>30</v>
      </c>
      <c r="C14" s="2" t="s">
        <v>39</v>
      </c>
      <c r="D14" s="2"/>
      <c r="E14" s="17" t="s">
        <v>133</v>
      </c>
      <c r="F14" s="2">
        <v>1</v>
      </c>
      <c r="G14" s="2" t="s">
        <v>56</v>
      </c>
      <c r="H14" s="18"/>
      <c r="I14" s="1" t="s">
        <v>78</v>
      </c>
      <c r="J14" s="2"/>
      <c r="K14" s="2"/>
      <c r="L14" s="18"/>
      <c r="M14" s="2"/>
      <c r="N14" s="12">
        <f t="shared" si="6"/>
        <v>6</v>
      </c>
      <c r="O14" s="12"/>
      <c r="P14" s="24">
        <f t="shared" si="1"/>
        <v>0</v>
      </c>
      <c r="Q14" s="25">
        <f t="shared" si="2"/>
        <v>10139.193610875876</v>
      </c>
      <c r="R14" s="25">
        <f t="shared" si="3"/>
        <v>12682.035300415357</v>
      </c>
      <c r="S14" s="25">
        <f t="shared" si="4"/>
        <v>3.1619296467653717</v>
      </c>
      <c r="T14" s="24">
        <f t="shared" si="5"/>
        <v>0</v>
      </c>
      <c r="U14" s="20">
        <f t="shared" si="0"/>
        <v>22824.390840937998</v>
      </c>
      <c r="V14" s="3"/>
      <c r="W14" s="6"/>
      <c r="X14" s="2"/>
      <c r="Y14" s="2"/>
      <c r="Z14" s="2"/>
      <c r="AA14" s="2"/>
      <c r="AB14" s="2"/>
      <c r="AC14" s="2"/>
      <c r="AD14" s="6"/>
      <c r="AE14" s="2"/>
      <c r="AF14" s="2"/>
      <c r="AG14" s="2"/>
      <c r="AH14" s="2"/>
    </row>
    <row r="15" spans="1:34" x14ac:dyDescent="0.25">
      <c r="A15" s="2" t="s">
        <v>134</v>
      </c>
      <c r="B15" s="2">
        <v>0</v>
      </c>
      <c r="C15" s="2" t="s">
        <v>39</v>
      </c>
      <c r="D15" s="2"/>
      <c r="E15" s="17" t="s">
        <v>63</v>
      </c>
      <c r="F15" s="2">
        <v>0</v>
      </c>
      <c r="G15" s="2" t="s">
        <v>60</v>
      </c>
      <c r="H15" s="18"/>
      <c r="I15" s="17" t="s">
        <v>84</v>
      </c>
      <c r="J15" s="2">
        <v>5</v>
      </c>
      <c r="K15" s="2" t="s">
        <v>53</v>
      </c>
      <c r="L15" s="18"/>
      <c r="M15" s="2"/>
      <c r="N15" s="12">
        <f t="shared" si="6"/>
        <v>7</v>
      </c>
      <c r="O15" s="12"/>
      <c r="P15" s="24">
        <f t="shared" si="1"/>
        <v>0</v>
      </c>
      <c r="Q15" s="25">
        <f t="shared" si="2"/>
        <v>9752.938616175843</v>
      </c>
      <c r="R15" s="25">
        <f t="shared" si="3"/>
        <v>12078.128857538431</v>
      </c>
      <c r="S15" s="25">
        <f t="shared" si="4"/>
        <v>3.0113615683479726</v>
      </c>
      <c r="T15" s="24">
        <f t="shared" si="5"/>
        <v>0</v>
      </c>
      <c r="U15" s="20">
        <f t="shared" si="0"/>
        <v>21834.078835282624</v>
      </c>
      <c r="V15" s="3"/>
      <c r="W15" s="6"/>
      <c r="X15" s="2"/>
      <c r="Y15" s="2"/>
      <c r="Z15" s="2"/>
      <c r="AA15" s="2"/>
      <c r="AB15" s="2"/>
      <c r="AC15" s="2"/>
      <c r="AD15" s="6"/>
      <c r="AE15" s="2"/>
      <c r="AF15" s="2"/>
      <c r="AG15" s="2"/>
      <c r="AH15" s="2"/>
    </row>
    <row r="16" spans="1:34" x14ac:dyDescent="0.25">
      <c r="A16" s="30" t="s">
        <v>183</v>
      </c>
      <c r="B16" s="2">
        <v>110</v>
      </c>
      <c r="C16" s="2" t="s">
        <v>28</v>
      </c>
      <c r="D16" s="2"/>
      <c r="E16" s="17" t="s">
        <v>65</v>
      </c>
      <c r="F16" s="2">
        <v>20</v>
      </c>
      <c r="G16" s="2" t="s">
        <v>60</v>
      </c>
      <c r="H16" s="18"/>
      <c r="I16" s="17" t="s">
        <v>87</v>
      </c>
      <c r="J16" s="2">
        <v>30</v>
      </c>
      <c r="K16" s="2" t="s">
        <v>88</v>
      </c>
      <c r="L16" s="18"/>
      <c r="M16" s="2"/>
      <c r="N16" s="12">
        <f t="shared" si="6"/>
        <v>8</v>
      </c>
      <c r="O16" s="12"/>
      <c r="P16" s="24">
        <f t="shared" si="1"/>
        <v>0</v>
      </c>
      <c r="Q16" s="25">
        <f t="shared" si="2"/>
        <v>9381.39809746438</v>
      </c>
      <c r="R16" s="25">
        <f t="shared" si="3"/>
        <v>11502.979864322318</v>
      </c>
      <c r="S16" s="25">
        <f t="shared" si="4"/>
        <v>2.8679633984266406</v>
      </c>
      <c r="T16" s="24">
        <f t="shared" si="5"/>
        <v>0</v>
      </c>
      <c r="U16" s="20">
        <f t="shared" si="0"/>
        <v>20887.245925185125</v>
      </c>
      <c r="V16" s="3"/>
      <c r="W16" s="6"/>
      <c r="X16" s="2"/>
      <c r="Y16" s="2"/>
      <c r="Z16" s="2"/>
      <c r="AA16" s="2"/>
      <c r="AB16" s="2"/>
      <c r="AC16" s="2"/>
      <c r="AD16" s="6"/>
      <c r="AE16" s="2"/>
      <c r="AF16" s="2"/>
      <c r="AG16" s="2"/>
      <c r="AH16" s="2"/>
    </row>
    <row r="17" spans="1:41" x14ac:dyDescent="0.25">
      <c r="A17" s="30" t="s">
        <v>184</v>
      </c>
      <c r="B17" s="2">
        <v>0</v>
      </c>
      <c r="C17" s="2" t="s">
        <v>39</v>
      </c>
      <c r="D17" s="2"/>
      <c r="E17" s="17" t="s">
        <v>69</v>
      </c>
      <c r="F17" s="6">
        <v>23235.45</v>
      </c>
      <c r="G17" s="2" t="s">
        <v>60</v>
      </c>
      <c r="H17" s="18"/>
      <c r="I17" s="2"/>
      <c r="J17" s="2"/>
      <c r="K17" s="2"/>
      <c r="L17" s="18"/>
      <c r="M17" s="2"/>
      <c r="N17" s="12">
        <f t="shared" si="6"/>
        <v>9</v>
      </c>
      <c r="O17" s="12"/>
      <c r="P17" s="24">
        <f t="shared" si="1"/>
        <v>0</v>
      </c>
      <c r="Q17" s="25">
        <f t="shared" si="2"/>
        <v>9024.0115032752637</v>
      </c>
      <c r="R17" s="25">
        <f t="shared" si="3"/>
        <v>10955.218918402206</v>
      </c>
      <c r="S17" s="25">
        <f t="shared" si="4"/>
        <v>2.7313937127872769</v>
      </c>
      <c r="T17" s="24">
        <f t="shared" si="5"/>
        <v>0</v>
      </c>
      <c r="U17" s="20">
        <f t="shared" si="0"/>
        <v>19981.961815390259</v>
      </c>
      <c r="V17" s="3"/>
      <c r="W17" s="6"/>
      <c r="X17" s="2"/>
      <c r="Y17" s="2"/>
      <c r="Z17" s="2"/>
      <c r="AA17" s="2"/>
      <c r="AB17" s="2"/>
      <c r="AC17" s="2"/>
      <c r="AD17" s="6"/>
      <c r="AE17" s="2"/>
      <c r="AF17" s="2"/>
      <c r="AG17" s="2"/>
      <c r="AH17" s="2"/>
    </row>
    <row r="18" spans="1:41" x14ac:dyDescent="0.25">
      <c r="A18" s="30" t="s">
        <v>68</v>
      </c>
      <c r="B18" s="2">
        <v>0</v>
      </c>
      <c r="C18" s="2" t="s">
        <v>39</v>
      </c>
      <c r="D18" s="2"/>
      <c r="E18" s="17" t="s">
        <v>48</v>
      </c>
      <c r="F18" s="7">
        <v>0.98175999999999986</v>
      </c>
      <c r="G18" s="2" t="s">
        <v>153</v>
      </c>
      <c r="H18" s="18"/>
      <c r="I18" s="17"/>
      <c r="J18" s="2"/>
      <c r="K18" s="2"/>
      <c r="L18" s="18"/>
      <c r="M18" s="2"/>
      <c r="N18" s="12">
        <f t="shared" si="6"/>
        <v>10</v>
      </c>
      <c r="O18" s="12"/>
      <c r="P18" s="24">
        <f t="shared" si="1"/>
        <v>0</v>
      </c>
      <c r="Q18" s="25">
        <f t="shared" si="2"/>
        <v>8680.239636483826</v>
      </c>
      <c r="R18" s="25">
        <f t="shared" si="3"/>
        <v>10433.541827049721</v>
      </c>
      <c r="S18" s="25">
        <f t="shared" si="4"/>
        <v>2.6013273455116921</v>
      </c>
      <c r="T18" s="24">
        <f t="shared" si="5"/>
        <v>-39036.220426411252</v>
      </c>
      <c r="U18" s="20">
        <f t="shared" si="0"/>
        <v>-19919.837635532196</v>
      </c>
      <c r="V18" s="3"/>
      <c r="W18" s="6"/>
      <c r="X18" s="2"/>
      <c r="Y18" s="2"/>
      <c r="Z18" s="2"/>
      <c r="AA18" s="2"/>
      <c r="AB18" s="2"/>
      <c r="AC18" s="2"/>
      <c r="AD18" s="6"/>
      <c r="AE18" s="2"/>
      <c r="AF18" s="2"/>
      <c r="AG18" s="2"/>
      <c r="AH18" s="2"/>
    </row>
    <row r="19" spans="1:41" x14ac:dyDescent="0.25">
      <c r="A19" s="30" t="s">
        <v>70</v>
      </c>
      <c r="B19" s="2">
        <v>0</v>
      </c>
      <c r="C19" s="2" t="s">
        <v>39</v>
      </c>
      <c r="D19" s="2"/>
      <c r="E19" s="2" t="s">
        <v>177</v>
      </c>
      <c r="F19" s="60">
        <f>58.3*2</f>
        <v>116.6</v>
      </c>
      <c r="G19" s="2" t="s">
        <v>60</v>
      </c>
      <c r="H19" s="18"/>
      <c r="I19" s="2"/>
      <c r="J19" s="2"/>
      <c r="K19" s="2"/>
      <c r="L19" s="18"/>
      <c r="M19" s="2"/>
      <c r="N19" s="12">
        <f t="shared" si="6"/>
        <v>0</v>
      </c>
      <c r="O19" s="12"/>
      <c r="P19" s="24">
        <f t="shared" si="1"/>
        <v>0</v>
      </c>
      <c r="Q19" s="25">
        <f t="shared" si="2"/>
        <v>0</v>
      </c>
      <c r="R19" s="25">
        <f t="shared" si="3"/>
        <v>0</v>
      </c>
      <c r="S19" s="25">
        <f t="shared" si="4"/>
        <v>0</v>
      </c>
      <c r="T19" s="24">
        <f t="shared" si="5"/>
        <v>0</v>
      </c>
      <c r="U19" s="20">
        <f t="shared" si="0"/>
        <v>0</v>
      </c>
      <c r="V19" s="3"/>
      <c r="W19" s="6"/>
      <c r="X19" s="2"/>
      <c r="Y19" s="2"/>
      <c r="Z19" s="2"/>
      <c r="AA19" s="2"/>
      <c r="AB19" s="2"/>
      <c r="AC19" s="2"/>
      <c r="AD19" s="6"/>
      <c r="AE19" s="2"/>
      <c r="AF19" s="2"/>
      <c r="AG19" s="2"/>
      <c r="AH19" s="2"/>
    </row>
    <row r="20" spans="1:41" x14ac:dyDescent="0.25">
      <c r="A20" s="30" t="s">
        <v>72</v>
      </c>
      <c r="B20" s="2">
        <v>0</v>
      </c>
      <c r="C20" s="2" t="s">
        <v>39</v>
      </c>
      <c r="D20" s="2"/>
      <c r="E20" s="17" t="s">
        <v>77</v>
      </c>
      <c r="F20" s="2">
        <v>5.34</v>
      </c>
      <c r="G20" s="2" t="s">
        <v>62</v>
      </c>
      <c r="H20" s="18"/>
      <c r="I20" s="2"/>
      <c r="J20" s="2"/>
      <c r="K20" s="2"/>
      <c r="L20" s="18"/>
      <c r="M20" s="2"/>
      <c r="N20" s="12">
        <f t="shared" si="6"/>
        <v>0</v>
      </c>
      <c r="O20" s="12"/>
      <c r="P20" s="24">
        <f t="shared" si="1"/>
        <v>0</v>
      </c>
      <c r="Q20" s="25">
        <f t="shared" si="2"/>
        <v>0</v>
      </c>
      <c r="R20" s="25">
        <f t="shared" si="3"/>
        <v>0</v>
      </c>
      <c r="S20" s="25">
        <f t="shared" si="4"/>
        <v>0</v>
      </c>
      <c r="T20" s="24">
        <f t="shared" si="5"/>
        <v>0</v>
      </c>
      <c r="U20" s="20">
        <f t="shared" si="0"/>
        <v>0</v>
      </c>
      <c r="V20" s="3"/>
      <c r="W20" s="6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41" ht="15.75" customHeight="1" x14ac:dyDescent="0.25">
      <c r="A21" s="14" t="s">
        <v>73</v>
      </c>
      <c r="B21" s="2">
        <v>10</v>
      </c>
      <c r="C21" s="2" t="s">
        <v>39</v>
      </c>
      <c r="D21" s="2"/>
      <c r="E21" s="2"/>
      <c r="F21" s="2"/>
      <c r="G21" s="2"/>
      <c r="H21" s="18"/>
      <c r="I21" s="2"/>
      <c r="J21" s="2"/>
      <c r="K21" s="2"/>
      <c r="L21" s="18"/>
      <c r="M21" s="2"/>
      <c r="N21" s="12">
        <f t="shared" si="6"/>
        <v>0</v>
      </c>
      <c r="O21" s="12"/>
      <c r="P21" s="24">
        <f t="shared" si="1"/>
        <v>0</v>
      </c>
      <c r="Q21" s="25">
        <f t="shared" si="2"/>
        <v>0</v>
      </c>
      <c r="R21" s="25">
        <f t="shared" si="3"/>
        <v>0</v>
      </c>
      <c r="S21" s="25">
        <f t="shared" si="4"/>
        <v>0</v>
      </c>
      <c r="T21" s="24">
        <f t="shared" si="5"/>
        <v>0</v>
      </c>
      <c r="U21" s="20">
        <f t="shared" si="0"/>
        <v>0</v>
      </c>
      <c r="V21" s="3"/>
      <c r="W21" s="6"/>
      <c r="X21" s="2"/>
      <c r="Y21" s="2"/>
      <c r="Z21" s="32" t="s">
        <v>127</v>
      </c>
      <c r="AA21" s="33"/>
      <c r="AB21" s="33"/>
      <c r="AC21" s="33"/>
      <c r="AD21" s="2"/>
      <c r="AE21" s="32" t="s">
        <v>27</v>
      </c>
      <c r="AF21" s="33"/>
      <c r="AG21" s="33"/>
      <c r="AH21" s="33"/>
      <c r="AJ21" s="112" t="s">
        <v>187</v>
      </c>
      <c r="AK21" s="112" t="s">
        <v>188</v>
      </c>
      <c r="AL21" s="112" t="s">
        <v>194</v>
      </c>
      <c r="AM21" s="112" t="s">
        <v>191</v>
      </c>
      <c r="AN21" s="112" t="s">
        <v>190</v>
      </c>
      <c r="AO21" s="117" t="str">
        <f>Z51</f>
        <v>Energy Efficiency</v>
      </c>
    </row>
    <row r="22" spans="1:41" ht="15.75" customHeight="1" x14ac:dyDescent="0.25">
      <c r="A22" s="14" t="s">
        <v>76</v>
      </c>
      <c r="B22" s="2">
        <v>8</v>
      </c>
      <c r="C22" s="2" t="s">
        <v>39</v>
      </c>
      <c r="D22" s="2"/>
      <c r="E22" s="2"/>
      <c r="F22" s="2"/>
      <c r="G22" s="2"/>
      <c r="H22" s="18"/>
      <c r="I22" s="2"/>
      <c r="J22" s="2"/>
      <c r="K22" s="2"/>
      <c r="L22" s="18"/>
      <c r="M22" s="2"/>
      <c r="N22" s="12">
        <f t="shared" si="6"/>
        <v>0</v>
      </c>
      <c r="O22" s="12"/>
      <c r="P22" s="24">
        <f t="shared" si="1"/>
        <v>0</v>
      </c>
      <c r="Q22" s="25">
        <f t="shared" si="2"/>
        <v>0</v>
      </c>
      <c r="R22" s="25">
        <f t="shared" si="3"/>
        <v>0</v>
      </c>
      <c r="S22" s="25">
        <f t="shared" si="4"/>
        <v>0</v>
      </c>
      <c r="T22" s="24">
        <f t="shared" si="5"/>
        <v>0</v>
      </c>
      <c r="U22" s="20">
        <f t="shared" si="0"/>
        <v>0</v>
      </c>
      <c r="V22" s="3"/>
      <c r="W22" s="6"/>
      <c r="X22" s="2"/>
      <c r="Y22" s="2"/>
      <c r="Z22" s="33" t="s">
        <v>79</v>
      </c>
      <c r="AA22" s="33" t="s">
        <v>135</v>
      </c>
      <c r="AB22" s="33" t="s">
        <v>23</v>
      </c>
      <c r="AC22" s="33" t="s">
        <v>81</v>
      </c>
      <c r="AD22" s="2"/>
      <c r="AE22" s="33" t="s">
        <v>79</v>
      </c>
      <c r="AF22" s="33" t="s">
        <v>82</v>
      </c>
      <c r="AG22" s="33" t="s">
        <v>23</v>
      </c>
      <c r="AH22" s="33" t="s">
        <v>81</v>
      </c>
      <c r="AJ22" s="113">
        <v>-50</v>
      </c>
      <c r="AK22" s="114">
        <f>AH24</f>
        <v>-25.300418146249825</v>
      </c>
      <c r="AL22" s="114">
        <f>AC24</f>
        <v>-13.090182437646348</v>
      </c>
      <c r="AM22" s="115">
        <f t="shared" ref="AM22:AM32" si="7">AC39</f>
        <v>-11.706505811049997</v>
      </c>
      <c r="AN22" s="115">
        <f t="shared" ref="AN22:AN32" si="8">AH39</f>
        <v>-24.796688248696313</v>
      </c>
      <c r="AO22" s="56">
        <f>AC54</f>
        <v>13.090182437646302</v>
      </c>
    </row>
    <row r="23" spans="1:41" ht="15.75" customHeight="1" x14ac:dyDescent="0.25">
      <c r="A23" s="2" t="s">
        <v>83</v>
      </c>
      <c r="B23" s="5">
        <v>310</v>
      </c>
      <c r="C23" s="2" t="s">
        <v>28</v>
      </c>
      <c r="D23" s="2"/>
      <c r="E23" s="2"/>
      <c r="F23" s="2"/>
      <c r="G23" s="2"/>
      <c r="H23" s="18"/>
      <c r="I23" s="2"/>
      <c r="J23" s="2"/>
      <c r="K23" s="2"/>
      <c r="L23" s="18"/>
      <c r="M23" s="2"/>
      <c r="N23" s="12">
        <f t="shared" si="6"/>
        <v>0</v>
      </c>
      <c r="O23" s="12"/>
      <c r="P23" s="24">
        <f t="shared" si="1"/>
        <v>0</v>
      </c>
      <c r="Q23" s="25">
        <f t="shared" si="2"/>
        <v>0</v>
      </c>
      <c r="R23" s="25">
        <f t="shared" si="3"/>
        <v>0</v>
      </c>
      <c r="S23" s="25">
        <f t="shared" si="4"/>
        <v>0</v>
      </c>
      <c r="T23" s="24">
        <f t="shared" si="5"/>
        <v>0</v>
      </c>
      <c r="U23" s="20">
        <f t="shared" si="0"/>
        <v>0</v>
      </c>
      <c r="V23" s="3"/>
      <c r="W23" s="6"/>
      <c r="X23" s="2"/>
      <c r="Y23" s="2"/>
      <c r="Z23" s="33" t="s">
        <v>86</v>
      </c>
      <c r="AA23" s="35">
        <v>0.45550847457627119</v>
      </c>
      <c r="AB23" s="36">
        <f>U49</f>
        <v>397338.58761659829</v>
      </c>
      <c r="AC23" s="33"/>
      <c r="AD23" s="2"/>
      <c r="AE23" s="33" t="s">
        <v>86</v>
      </c>
      <c r="AF23" s="37">
        <v>188261.88627665391</v>
      </c>
      <c r="AG23" s="36">
        <f>U49</f>
        <v>397338.58761659829</v>
      </c>
      <c r="AH23" s="33"/>
      <c r="AJ23" s="113">
        <v>-40</v>
      </c>
      <c r="AK23" s="114">
        <f>AH25</f>
        <v>-20.240334516999852</v>
      </c>
      <c r="AL23" s="114">
        <f t="shared" ref="AL23:AL32" si="9">AC25</f>
        <v>-10.472145950117079</v>
      </c>
      <c r="AM23" s="115">
        <f t="shared" si="7"/>
        <v>-9.3652046488399634</v>
      </c>
      <c r="AN23" s="115">
        <f t="shared" si="8"/>
        <v>-19.837350598957045</v>
      </c>
      <c r="AO23" s="56">
        <f t="shared" ref="AO23:AO32" si="10">AC55</f>
        <v>10.472145950117021</v>
      </c>
    </row>
    <row r="24" spans="1:41" ht="15.75" customHeight="1" x14ac:dyDescent="0.25">
      <c r="A24" s="2" t="s">
        <v>178</v>
      </c>
      <c r="B24" s="2">
        <v>53</v>
      </c>
      <c r="C24" s="2" t="s">
        <v>28</v>
      </c>
      <c r="D24" s="2"/>
      <c r="E24" s="2"/>
      <c r="F24" s="2"/>
      <c r="G24" s="2"/>
      <c r="H24" s="18"/>
      <c r="I24" s="2"/>
      <c r="J24" s="2"/>
      <c r="K24" s="2"/>
      <c r="L24" s="18"/>
      <c r="M24" s="2"/>
      <c r="N24" s="12">
        <f t="shared" si="6"/>
        <v>0</v>
      </c>
      <c r="O24" s="12"/>
      <c r="P24" s="24">
        <f t="shared" si="1"/>
        <v>0</v>
      </c>
      <c r="Q24" s="25">
        <f t="shared" si="2"/>
        <v>0</v>
      </c>
      <c r="R24" s="25">
        <f t="shared" si="3"/>
        <v>0</v>
      </c>
      <c r="S24" s="25">
        <f t="shared" si="4"/>
        <v>0</v>
      </c>
      <c r="T24" s="24">
        <f t="shared" si="5"/>
        <v>0</v>
      </c>
      <c r="U24" s="20">
        <f t="shared" si="0"/>
        <v>0</v>
      </c>
      <c r="V24" s="3"/>
      <c r="W24" s="6"/>
      <c r="X24" s="2"/>
      <c r="Y24" s="2"/>
      <c r="Z24" s="33">
        <f t="shared" ref="Z24:Z28" si="11">Z25-10</f>
        <v>-50</v>
      </c>
      <c r="AA24" s="35">
        <f t="shared" ref="AA24:AA34" si="12">$AA$23*(1+(Z24/100))</f>
        <v>0.2277542372881356</v>
      </c>
      <c r="AB24" s="36">
        <f t="dataTable" ref="AB24:AB34" dt2D="0" dtr="0" r1="F36"/>
        <v>345326.2416024183</v>
      </c>
      <c r="AC24" s="40">
        <f t="shared" ref="AC24:AC34" si="13">100*((AB24-$AB$29)/$AB$29)</f>
        <v>-13.090182437646348</v>
      </c>
      <c r="AD24" s="2"/>
      <c r="AE24" s="33">
        <f t="shared" ref="AE24:AE28" si="14">AE25-10</f>
        <v>-50</v>
      </c>
      <c r="AF24" s="37">
        <f t="shared" ref="AF24:AF34" si="15">$AF$23*(1+(AE24/100))</f>
        <v>94130.943138326955</v>
      </c>
      <c r="AG24" s="36">
        <f t="dataTable" ref="AG24:AG34" dt2D="0" dtr="0" r1="B51" ca="1"/>
        <v>296810.2634931957</v>
      </c>
      <c r="AH24" s="40">
        <f t="shared" ref="AH24:AH34" si="16">100*((AG24-$AG$29)/$AG$29)</f>
        <v>-25.300418146249825</v>
      </c>
      <c r="AJ24" s="113">
        <v>-30</v>
      </c>
      <c r="AK24" s="114">
        <f t="shared" ref="AK24:AK32" si="17">AH26</f>
        <v>-15.180250887749883</v>
      </c>
      <c r="AL24" s="114">
        <f t="shared" si="9"/>
        <v>-7.8541094625877976</v>
      </c>
      <c r="AM24" s="115">
        <f t="shared" si="7"/>
        <v>-7.0239034866300161</v>
      </c>
      <c r="AN24" s="115">
        <f t="shared" si="8"/>
        <v>-14.878012949217814</v>
      </c>
      <c r="AO24" s="56">
        <f t="shared" si="10"/>
        <v>7.854109462587755</v>
      </c>
    </row>
    <row r="25" spans="1:41" ht="15.75" customHeight="1" x14ac:dyDescent="0.25">
      <c r="A25" s="2" t="s">
        <v>179</v>
      </c>
      <c r="B25" s="2">
        <v>74.2</v>
      </c>
      <c r="C25" s="2" t="s">
        <v>28</v>
      </c>
      <c r="D25" s="2"/>
      <c r="E25" s="2"/>
      <c r="F25" s="2"/>
      <c r="G25" s="2"/>
      <c r="H25" s="18"/>
      <c r="I25" s="2"/>
      <c r="J25" s="2"/>
      <c r="K25" s="2"/>
      <c r="L25" s="18"/>
      <c r="M25" s="2"/>
      <c r="N25" s="12">
        <f t="shared" si="6"/>
        <v>0</v>
      </c>
      <c r="O25" s="12"/>
      <c r="P25" s="24">
        <f t="shared" si="1"/>
        <v>0</v>
      </c>
      <c r="Q25" s="25">
        <f t="shared" si="2"/>
        <v>0</v>
      </c>
      <c r="R25" s="25">
        <f t="shared" si="3"/>
        <v>0</v>
      </c>
      <c r="S25" s="25">
        <f t="shared" si="4"/>
        <v>0</v>
      </c>
      <c r="T25" s="24">
        <f t="shared" si="5"/>
        <v>0</v>
      </c>
      <c r="U25" s="20">
        <f t="shared" si="0"/>
        <v>0</v>
      </c>
      <c r="V25" s="3"/>
      <c r="W25" s="6"/>
      <c r="X25" s="2"/>
      <c r="Y25" s="2"/>
      <c r="Z25" s="33">
        <f t="shared" si="11"/>
        <v>-40</v>
      </c>
      <c r="AA25" s="35">
        <f t="shared" si="12"/>
        <v>0.27330508474576271</v>
      </c>
      <c r="AB25" s="36">
        <v>355728.71080525429</v>
      </c>
      <c r="AC25" s="40">
        <f t="shared" si="13"/>
        <v>-10.472145950117079</v>
      </c>
      <c r="AD25" s="2"/>
      <c r="AE25" s="33">
        <f t="shared" si="14"/>
        <v>-40</v>
      </c>
      <c r="AF25" s="37">
        <f t="shared" si="15"/>
        <v>112957.13176599234</v>
      </c>
      <c r="AG25" s="36">
        <v>316915.92831787624</v>
      </c>
      <c r="AH25" s="40">
        <f t="shared" si="16"/>
        <v>-20.240334516999852</v>
      </c>
      <c r="AJ25" s="113">
        <v>-20</v>
      </c>
      <c r="AK25" s="114">
        <f t="shared" si="17"/>
        <v>-10.120167258499912</v>
      </c>
      <c r="AL25" s="114">
        <f t="shared" si="9"/>
        <v>-5.2360729750585469</v>
      </c>
      <c r="AM25" s="115">
        <f t="shared" si="7"/>
        <v>-4.6826023244199959</v>
      </c>
      <c r="AN25" s="115">
        <f t="shared" si="8"/>
        <v>-9.9186752994785277</v>
      </c>
      <c r="AO25" s="56">
        <f t="shared" si="10"/>
        <v>5.2360729750585033</v>
      </c>
    </row>
    <row r="26" spans="1:41" ht="15.75" customHeight="1" x14ac:dyDescent="0.25">
      <c r="A26" s="42"/>
      <c r="B26" s="43"/>
      <c r="C26" s="43"/>
      <c r="D26" s="43"/>
      <c r="E26" s="43"/>
      <c r="F26" s="43"/>
      <c r="G26" s="43"/>
      <c r="H26" s="44"/>
      <c r="I26" s="43"/>
      <c r="J26" s="43"/>
      <c r="K26" s="43"/>
      <c r="L26" s="44"/>
      <c r="M26" s="2"/>
      <c r="N26" s="12">
        <f t="shared" si="6"/>
        <v>0</v>
      </c>
      <c r="O26" s="12"/>
      <c r="P26" s="24">
        <f t="shared" si="1"/>
        <v>0</v>
      </c>
      <c r="Q26" s="25">
        <f t="shared" si="2"/>
        <v>0</v>
      </c>
      <c r="R26" s="25">
        <f t="shared" si="3"/>
        <v>0</v>
      </c>
      <c r="S26" s="25">
        <f t="shared" si="4"/>
        <v>0</v>
      </c>
      <c r="T26" s="24">
        <f t="shared" si="5"/>
        <v>0</v>
      </c>
      <c r="U26" s="20">
        <f t="shared" si="0"/>
        <v>0</v>
      </c>
      <c r="V26" s="3"/>
      <c r="W26" s="6"/>
      <c r="X26" s="2"/>
      <c r="Y26" s="2"/>
      <c r="Z26" s="33">
        <f t="shared" si="11"/>
        <v>-30</v>
      </c>
      <c r="AA26" s="35">
        <f t="shared" si="12"/>
        <v>0.31885593220338981</v>
      </c>
      <c r="AB26" s="36">
        <v>366131.18000809033</v>
      </c>
      <c r="AC26" s="40">
        <f t="shared" si="13"/>
        <v>-7.8541094625877976</v>
      </c>
      <c r="AD26" s="2"/>
      <c r="AE26" s="33">
        <f t="shared" si="14"/>
        <v>-30</v>
      </c>
      <c r="AF26" s="37">
        <f t="shared" si="15"/>
        <v>131783.32039365772</v>
      </c>
      <c r="AG26" s="36">
        <v>337021.59314255678</v>
      </c>
      <c r="AH26" s="40">
        <f t="shared" si="16"/>
        <v>-15.180250887749883</v>
      </c>
      <c r="AJ26" s="113">
        <v>-10</v>
      </c>
      <c r="AK26" s="114">
        <f t="shared" si="17"/>
        <v>-5.0600836292499709</v>
      </c>
      <c r="AL26" s="114">
        <f t="shared" si="9"/>
        <v>-2.618036487529281</v>
      </c>
      <c r="AM26" s="115">
        <f t="shared" si="7"/>
        <v>-2.3413011622100344</v>
      </c>
      <c r="AN26" s="115">
        <f t="shared" si="8"/>
        <v>-4.9593376497393011</v>
      </c>
      <c r="AO26" s="56">
        <f t="shared" si="10"/>
        <v>2.6180364875292224</v>
      </c>
    </row>
    <row r="27" spans="1:4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6"/>
      <c r="K27" s="2"/>
      <c r="L27" s="2"/>
      <c r="M27" s="2"/>
      <c r="N27" s="12">
        <f t="shared" si="6"/>
        <v>0</v>
      </c>
      <c r="O27" s="12"/>
      <c r="P27" s="24">
        <f t="shared" si="1"/>
        <v>0</v>
      </c>
      <c r="Q27" s="25">
        <f t="shared" si="2"/>
        <v>0</v>
      </c>
      <c r="R27" s="25">
        <f t="shared" si="3"/>
        <v>0</v>
      </c>
      <c r="S27" s="25">
        <f t="shared" si="4"/>
        <v>0</v>
      </c>
      <c r="T27" s="24">
        <f t="shared" si="5"/>
        <v>0</v>
      </c>
      <c r="U27" s="20">
        <f t="shared" si="0"/>
        <v>0</v>
      </c>
      <c r="V27" s="3"/>
      <c r="W27" s="6"/>
      <c r="X27" s="2"/>
      <c r="Y27" s="2"/>
      <c r="Z27" s="33">
        <f t="shared" si="11"/>
        <v>-20</v>
      </c>
      <c r="AA27" s="35">
        <f t="shared" si="12"/>
        <v>0.36440677966101698</v>
      </c>
      <c r="AB27" s="36">
        <v>376533.64921092626</v>
      </c>
      <c r="AC27" s="40">
        <f t="shared" si="13"/>
        <v>-5.2360729750585469</v>
      </c>
      <c r="AD27" s="2"/>
      <c r="AE27" s="33">
        <f t="shared" si="14"/>
        <v>-20</v>
      </c>
      <c r="AF27" s="37">
        <f t="shared" si="15"/>
        <v>150609.50902132315</v>
      </c>
      <c r="AG27" s="36">
        <v>357127.25796723732</v>
      </c>
      <c r="AH27" s="40">
        <f t="shared" si="16"/>
        <v>-10.120167258499912</v>
      </c>
      <c r="AJ27" s="113">
        <v>0</v>
      </c>
      <c r="AK27" s="114">
        <f t="shared" si="17"/>
        <v>0</v>
      </c>
      <c r="AL27" s="114">
        <f t="shared" si="9"/>
        <v>0</v>
      </c>
      <c r="AM27" s="115">
        <f t="shared" si="7"/>
        <v>0</v>
      </c>
      <c r="AN27" s="115">
        <f t="shared" si="8"/>
        <v>0</v>
      </c>
      <c r="AO27" s="56">
        <f t="shared" si="10"/>
        <v>0</v>
      </c>
    </row>
    <row r="28" spans="1:41" ht="15.75" customHeight="1" x14ac:dyDescent="0.25">
      <c r="A28" s="1" t="s">
        <v>89</v>
      </c>
      <c r="B28" s="2"/>
      <c r="C28" s="2"/>
      <c r="D28" s="2"/>
      <c r="E28" s="2"/>
      <c r="F28" s="2"/>
      <c r="G28" s="2"/>
      <c r="H28" s="2"/>
      <c r="I28" s="2"/>
      <c r="J28" s="6"/>
      <c r="K28" s="2"/>
      <c r="L28" s="2"/>
      <c r="M28" s="2"/>
      <c r="N28" s="12">
        <f t="shared" si="6"/>
        <v>0</v>
      </c>
      <c r="O28" s="12"/>
      <c r="P28" s="24">
        <f t="shared" si="1"/>
        <v>0</v>
      </c>
      <c r="Q28" s="25">
        <f t="shared" si="2"/>
        <v>0</v>
      </c>
      <c r="R28" s="25">
        <f t="shared" si="3"/>
        <v>0</v>
      </c>
      <c r="S28" s="25">
        <f t="shared" si="4"/>
        <v>0</v>
      </c>
      <c r="T28" s="24">
        <f t="shared" si="5"/>
        <v>0</v>
      </c>
      <c r="U28" s="20">
        <f t="shared" si="0"/>
        <v>0</v>
      </c>
      <c r="V28" s="3"/>
      <c r="W28" s="6"/>
      <c r="X28" s="2"/>
      <c r="Y28" s="2"/>
      <c r="Z28" s="33">
        <f t="shared" si="11"/>
        <v>-10</v>
      </c>
      <c r="AA28" s="35">
        <f t="shared" si="12"/>
        <v>0.40995762711864409</v>
      </c>
      <c r="AB28" s="36">
        <v>386936.11841376225</v>
      </c>
      <c r="AC28" s="40">
        <f t="shared" si="13"/>
        <v>-2.618036487529281</v>
      </c>
      <c r="AD28" s="2"/>
      <c r="AE28" s="33">
        <f t="shared" si="14"/>
        <v>-10</v>
      </c>
      <c r="AF28" s="37">
        <f t="shared" si="15"/>
        <v>169435.69764898851</v>
      </c>
      <c r="AG28" s="36">
        <v>377232.92279191775</v>
      </c>
      <c r="AH28" s="40">
        <f t="shared" si="16"/>
        <v>-5.0600836292499709</v>
      </c>
      <c r="AJ28" s="113">
        <v>10</v>
      </c>
      <c r="AK28" s="114">
        <f t="shared" si="17"/>
        <v>5.0600836292499416</v>
      </c>
      <c r="AL28" s="114">
        <f t="shared" si="9"/>
        <v>2.6180364875292224</v>
      </c>
      <c r="AM28" s="115">
        <f t="shared" si="7"/>
        <v>2.3413011622099762</v>
      </c>
      <c r="AN28" s="115">
        <f t="shared" si="8"/>
        <v>4.9593376497392416</v>
      </c>
      <c r="AO28" s="56">
        <f t="shared" si="10"/>
        <v>-2.618036487529281</v>
      </c>
    </row>
    <row r="29" spans="1:4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6"/>
      <c r="K29" s="2"/>
      <c r="L29" s="2"/>
      <c r="M29" s="2"/>
      <c r="N29" s="12">
        <f t="shared" si="6"/>
        <v>0</v>
      </c>
      <c r="O29" s="12"/>
      <c r="P29" s="24">
        <f t="shared" si="1"/>
        <v>0</v>
      </c>
      <c r="Q29" s="25">
        <f t="shared" si="2"/>
        <v>0</v>
      </c>
      <c r="R29" s="25">
        <f t="shared" si="3"/>
        <v>0</v>
      </c>
      <c r="S29" s="25">
        <f t="shared" si="4"/>
        <v>0</v>
      </c>
      <c r="T29" s="24">
        <f t="shared" si="5"/>
        <v>0</v>
      </c>
      <c r="U29" s="20">
        <f t="shared" si="0"/>
        <v>0</v>
      </c>
      <c r="V29" s="3"/>
      <c r="W29" s="6"/>
      <c r="X29" s="2"/>
      <c r="Y29" s="2"/>
      <c r="Z29" s="45">
        <v>0</v>
      </c>
      <c r="AA29" s="61">
        <f t="shared" si="12"/>
        <v>0.45550847457627119</v>
      </c>
      <c r="AB29" s="46">
        <v>397338.58761659829</v>
      </c>
      <c r="AC29" s="62">
        <f t="shared" si="13"/>
        <v>0</v>
      </c>
      <c r="AD29" s="2"/>
      <c r="AE29" s="45">
        <v>0</v>
      </c>
      <c r="AF29" s="49">
        <f t="shared" si="15"/>
        <v>188261.88627665391</v>
      </c>
      <c r="AG29" s="46">
        <v>397338.58761659829</v>
      </c>
      <c r="AH29" s="62">
        <f t="shared" si="16"/>
        <v>0</v>
      </c>
      <c r="AJ29" s="113">
        <v>20</v>
      </c>
      <c r="AK29" s="114">
        <f t="shared" si="17"/>
        <v>10.120167258499912</v>
      </c>
      <c r="AL29" s="114">
        <f t="shared" si="9"/>
        <v>5.2360729750585033</v>
      </c>
      <c r="AM29" s="115">
        <f t="shared" si="7"/>
        <v>4.6826023244199666</v>
      </c>
      <c r="AN29" s="115">
        <f t="shared" si="8"/>
        <v>9.9186752994784833</v>
      </c>
      <c r="AO29" s="56">
        <f t="shared" si="10"/>
        <v>-5.2360729750585469</v>
      </c>
    </row>
    <row r="30" spans="1:41" ht="15.75" customHeight="1" x14ac:dyDescent="0.25">
      <c r="A30" s="8" t="s">
        <v>90</v>
      </c>
      <c r="B30" s="9"/>
      <c r="C30" s="9"/>
      <c r="D30" s="9"/>
      <c r="E30" s="11" t="s">
        <v>91</v>
      </c>
      <c r="F30" s="9"/>
      <c r="G30" s="9"/>
      <c r="H30" s="9"/>
      <c r="I30" s="11" t="s">
        <v>100</v>
      </c>
      <c r="J30" s="63">
        <f>SUM(J31:J34)</f>
        <v>16995.140220338981</v>
      </c>
      <c r="K30" s="11" t="s">
        <v>49</v>
      </c>
      <c r="L30" s="10"/>
      <c r="M30" s="2"/>
      <c r="N30" s="12">
        <f t="shared" si="6"/>
        <v>0</v>
      </c>
      <c r="O30" s="12"/>
      <c r="P30" s="24">
        <f t="shared" si="1"/>
        <v>0</v>
      </c>
      <c r="Q30" s="25">
        <f t="shared" si="2"/>
        <v>0</v>
      </c>
      <c r="R30" s="25">
        <f t="shared" si="3"/>
        <v>0</v>
      </c>
      <c r="S30" s="25">
        <f t="shared" si="4"/>
        <v>0</v>
      </c>
      <c r="T30" s="24">
        <f t="shared" si="5"/>
        <v>0</v>
      </c>
      <c r="U30" s="20">
        <f t="shared" si="0"/>
        <v>0</v>
      </c>
      <c r="V30" s="3"/>
      <c r="W30" s="6"/>
      <c r="X30" s="2"/>
      <c r="Y30" s="2"/>
      <c r="Z30" s="33">
        <f t="shared" ref="Z30:Z34" si="18">Z29+10</f>
        <v>10</v>
      </c>
      <c r="AA30" s="35">
        <f t="shared" si="12"/>
        <v>0.50105932203389836</v>
      </c>
      <c r="AB30" s="36">
        <v>407741.0568194341</v>
      </c>
      <c r="AC30" s="40">
        <f t="shared" si="13"/>
        <v>2.6180364875292224</v>
      </c>
      <c r="AD30" s="2"/>
      <c r="AE30" s="33">
        <f t="shared" ref="AE30:AE34" si="19">AE29+10</f>
        <v>10</v>
      </c>
      <c r="AF30" s="37">
        <f t="shared" si="15"/>
        <v>207088.07490431931</v>
      </c>
      <c r="AG30" s="36">
        <v>417444.25244127872</v>
      </c>
      <c r="AH30" s="40">
        <f t="shared" si="16"/>
        <v>5.0600836292499416</v>
      </c>
      <c r="AJ30" s="113">
        <v>30</v>
      </c>
      <c r="AK30" s="114">
        <f t="shared" si="17"/>
        <v>15.180250887749883</v>
      </c>
      <c r="AL30" s="114">
        <f t="shared" si="9"/>
        <v>7.854109462587755</v>
      </c>
      <c r="AM30" s="115">
        <f t="shared" si="7"/>
        <v>7.0239034866299423</v>
      </c>
      <c r="AN30" s="115">
        <f t="shared" si="8"/>
        <v>14.878012949217755</v>
      </c>
      <c r="AO30" s="56">
        <f t="shared" si="10"/>
        <v>-7.8541094625877976</v>
      </c>
    </row>
    <row r="31" spans="1:41" ht="15.75" customHeight="1" x14ac:dyDescent="0.25">
      <c r="A31" s="30" t="s">
        <v>37</v>
      </c>
      <c r="B31" s="6">
        <f>IF(B11=0,0,-B11/$B$8)</f>
        <v>0</v>
      </c>
      <c r="C31" s="2" t="s">
        <v>3</v>
      </c>
      <c r="D31" s="2"/>
      <c r="E31" s="17" t="s">
        <v>93</v>
      </c>
      <c r="F31" s="50">
        <f>(J16/100)*B53</f>
        <v>56486.650628758878</v>
      </c>
      <c r="G31" s="2" t="s">
        <v>3</v>
      </c>
      <c r="H31" s="2"/>
      <c r="I31" s="2" t="s">
        <v>177</v>
      </c>
      <c r="J31" s="15">
        <f>F19/$B$8</f>
        <v>24.703389830508474</v>
      </c>
      <c r="K31" s="2" t="s">
        <v>49</v>
      </c>
      <c r="L31" s="18"/>
      <c r="M31" s="2"/>
      <c r="N31" s="12">
        <f t="shared" si="6"/>
        <v>0</v>
      </c>
      <c r="O31" s="12"/>
      <c r="P31" s="24">
        <f t="shared" si="1"/>
        <v>0</v>
      </c>
      <c r="Q31" s="25">
        <f t="shared" si="2"/>
        <v>0</v>
      </c>
      <c r="R31" s="25">
        <f t="shared" si="3"/>
        <v>0</v>
      </c>
      <c r="S31" s="25">
        <f t="shared" si="4"/>
        <v>0</v>
      </c>
      <c r="T31" s="24">
        <f t="shared" si="5"/>
        <v>0</v>
      </c>
      <c r="U31" s="20">
        <f t="shared" si="0"/>
        <v>0</v>
      </c>
      <c r="V31" s="3"/>
      <c r="W31" s="6"/>
      <c r="X31" s="2"/>
      <c r="Y31" s="2"/>
      <c r="Z31" s="33">
        <f t="shared" si="18"/>
        <v>20</v>
      </c>
      <c r="AA31" s="35">
        <f t="shared" si="12"/>
        <v>0.54661016949152541</v>
      </c>
      <c r="AB31" s="36">
        <v>418143.52602227015</v>
      </c>
      <c r="AC31" s="40">
        <f t="shared" si="13"/>
        <v>5.2360729750585033</v>
      </c>
      <c r="AD31" s="2"/>
      <c r="AE31" s="33">
        <f t="shared" si="19"/>
        <v>20</v>
      </c>
      <c r="AF31" s="37">
        <f t="shared" si="15"/>
        <v>225914.26353198467</v>
      </c>
      <c r="AG31" s="36">
        <v>437549.91726595926</v>
      </c>
      <c r="AH31" s="40">
        <f t="shared" si="16"/>
        <v>10.120167258499912</v>
      </c>
      <c r="AJ31" s="113">
        <v>40</v>
      </c>
      <c r="AK31" s="114">
        <f t="shared" si="17"/>
        <v>20.240334516999823</v>
      </c>
      <c r="AL31" s="114">
        <f t="shared" si="9"/>
        <v>10.472145950117021</v>
      </c>
      <c r="AM31" s="115">
        <f t="shared" si="7"/>
        <v>9.3652046488399474</v>
      </c>
      <c r="AN31" s="115">
        <f t="shared" si="8"/>
        <v>19.837350598956984</v>
      </c>
      <c r="AO31" s="56">
        <f t="shared" si="10"/>
        <v>-10.472145950117079</v>
      </c>
    </row>
    <row r="32" spans="1:41" ht="15.75" customHeight="1" x14ac:dyDescent="0.25">
      <c r="A32" s="30" t="s">
        <v>44</v>
      </c>
      <c r="B32" s="6">
        <f>IF(B12=0,0,-B12/B9)</f>
        <v>0</v>
      </c>
      <c r="C32" s="2" t="s">
        <v>3</v>
      </c>
      <c r="D32" s="2"/>
      <c r="E32" s="17" t="s">
        <v>95</v>
      </c>
      <c r="F32" s="6">
        <f>B53-F31</f>
        <v>131802.18480043739</v>
      </c>
      <c r="G32" s="2" t="s">
        <v>3</v>
      </c>
      <c r="H32" s="2"/>
      <c r="I32" s="17" t="s">
        <v>69</v>
      </c>
      <c r="J32" s="15">
        <f>F17/$B$8</f>
        <v>4922.7648305084749</v>
      </c>
      <c r="K32" s="2" t="s">
        <v>49</v>
      </c>
      <c r="L32" s="18"/>
      <c r="M32" s="2"/>
      <c r="N32" s="12">
        <f t="shared" si="6"/>
        <v>0</v>
      </c>
      <c r="O32" s="12"/>
      <c r="P32" s="24">
        <f t="shared" si="1"/>
        <v>0</v>
      </c>
      <c r="Q32" s="25">
        <f t="shared" si="2"/>
        <v>0</v>
      </c>
      <c r="R32" s="25">
        <f t="shared" si="3"/>
        <v>0</v>
      </c>
      <c r="S32" s="25">
        <f t="shared" si="4"/>
        <v>0</v>
      </c>
      <c r="T32" s="24">
        <f t="shared" si="5"/>
        <v>0</v>
      </c>
      <c r="U32" s="20">
        <f t="shared" si="0"/>
        <v>0</v>
      </c>
      <c r="V32" s="3"/>
      <c r="W32" s="6"/>
      <c r="X32" s="2"/>
      <c r="Y32" s="2"/>
      <c r="Z32" s="33">
        <f t="shared" si="18"/>
        <v>30</v>
      </c>
      <c r="AA32" s="35">
        <f t="shared" si="12"/>
        <v>0.59216101694915257</v>
      </c>
      <c r="AB32" s="36">
        <v>428545.99522510607</v>
      </c>
      <c r="AC32" s="40">
        <f t="shared" si="13"/>
        <v>7.854109462587755</v>
      </c>
      <c r="AD32" s="2"/>
      <c r="AE32" s="33">
        <f t="shared" si="19"/>
        <v>30</v>
      </c>
      <c r="AF32" s="37">
        <f t="shared" si="15"/>
        <v>244740.4521596501</v>
      </c>
      <c r="AG32" s="36">
        <v>457655.5820906398</v>
      </c>
      <c r="AH32" s="40">
        <f t="shared" si="16"/>
        <v>15.180250887749883</v>
      </c>
      <c r="AJ32" s="113">
        <v>50</v>
      </c>
      <c r="AK32" s="114">
        <f t="shared" si="17"/>
        <v>25.300418146249793</v>
      </c>
      <c r="AL32" s="114">
        <f t="shared" si="9"/>
        <v>13.090182437646302</v>
      </c>
      <c r="AM32" s="115">
        <f t="shared" si="7"/>
        <v>11.706505811049924</v>
      </c>
      <c r="AN32" s="115">
        <f t="shared" si="8"/>
        <v>24.796688248696242</v>
      </c>
      <c r="AO32" s="56">
        <f t="shared" si="10"/>
        <v>-13.090182437646348</v>
      </c>
    </row>
    <row r="33" spans="1:34" ht="15.75" customHeight="1" x14ac:dyDescent="0.25">
      <c r="A33" s="2" t="s">
        <v>50</v>
      </c>
      <c r="B33" s="6">
        <f>IF(B13=0,0,(B13/100)*B48)</f>
        <v>31803.870967741932</v>
      </c>
      <c r="C33" s="2" t="s">
        <v>3</v>
      </c>
      <c r="D33" s="2"/>
      <c r="E33" s="17" t="s">
        <v>96</v>
      </c>
      <c r="F33" s="50">
        <f>F32*(F20/100)*J15</f>
        <v>35191.18334171678</v>
      </c>
      <c r="G33" s="2" t="s">
        <v>3</v>
      </c>
      <c r="H33" s="2"/>
      <c r="I33" s="17" t="s">
        <v>63</v>
      </c>
      <c r="J33" s="15">
        <f>F15/$B$8</f>
        <v>0</v>
      </c>
      <c r="K33" s="2" t="s">
        <v>49</v>
      </c>
      <c r="L33" s="18"/>
      <c r="M33" s="2"/>
      <c r="N33" s="12">
        <f t="shared" si="6"/>
        <v>0</v>
      </c>
      <c r="O33" s="12"/>
      <c r="P33" s="24">
        <f t="shared" si="1"/>
        <v>0</v>
      </c>
      <c r="Q33" s="25">
        <f t="shared" si="2"/>
        <v>0</v>
      </c>
      <c r="R33" s="25">
        <f t="shared" si="3"/>
        <v>0</v>
      </c>
      <c r="S33" s="25">
        <f t="shared" si="4"/>
        <v>0</v>
      </c>
      <c r="T33" s="24">
        <f t="shared" si="5"/>
        <v>0</v>
      </c>
      <c r="U33" s="20">
        <f t="shared" si="0"/>
        <v>0</v>
      </c>
      <c r="V33" s="3"/>
      <c r="W33" s="6"/>
      <c r="X33" s="2"/>
      <c r="Y33" s="2"/>
      <c r="Z33" s="33">
        <f t="shared" si="18"/>
        <v>40</v>
      </c>
      <c r="AA33" s="35">
        <f t="shared" si="12"/>
        <v>0.63771186440677963</v>
      </c>
      <c r="AB33" s="36">
        <v>438948.46442794206</v>
      </c>
      <c r="AC33" s="40">
        <f t="shared" si="13"/>
        <v>10.472145950117021</v>
      </c>
      <c r="AD33" s="2"/>
      <c r="AE33" s="33">
        <f t="shared" si="19"/>
        <v>40</v>
      </c>
      <c r="AF33" s="37">
        <f t="shared" si="15"/>
        <v>263566.64078731544</v>
      </c>
      <c r="AG33" s="36">
        <v>477761.24691532023</v>
      </c>
      <c r="AH33" s="40">
        <f t="shared" si="16"/>
        <v>20.240334516999823</v>
      </c>
    </row>
    <row r="34" spans="1:34" ht="15.75" customHeight="1" x14ac:dyDescent="0.25">
      <c r="A34" s="30" t="s">
        <v>183</v>
      </c>
      <c r="B34" s="6">
        <f>IF(B16=0,0,B16/$B$8)</f>
        <v>23.305084745762713</v>
      </c>
      <c r="C34" s="2" t="s">
        <v>3</v>
      </c>
      <c r="D34" s="2"/>
      <c r="E34" s="2"/>
      <c r="F34" s="7"/>
      <c r="G34" s="2"/>
      <c r="H34" s="2"/>
      <c r="I34" s="17" t="s">
        <v>48</v>
      </c>
      <c r="J34" s="23">
        <f>F18*F12/$B$8</f>
        <v>12047.671999999999</v>
      </c>
      <c r="K34" s="2" t="s">
        <v>49</v>
      </c>
      <c r="L34" s="18"/>
      <c r="M34" s="2"/>
      <c r="N34" s="12">
        <f t="shared" si="6"/>
        <v>0</v>
      </c>
      <c r="O34" s="12"/>
      <c r="P34" s="24">
        <f t="shared" si="1"/>
        <v>0</v>
      </c>
      <c r="Q34" s="25">
        <f t="shared" si="2"/>
        <v>0</v>
      </c>
      <c r="R34" s="25">
        <f t="shared" si="3"/>
        <v>0</v>
      </c>
      <c r="S34" s="25">
        <f t="shared" si="4"/>
        <v>0</v>
      </c>
      <c r="T34" s="24">
        <f t="shared" si="5"/>
        <v>0</v>
      </c>
      <c r="U34" s="20">
        <f t="shared" si="0"/>
        <v>0</v>
      </c>
      <c r="V34" s="3"/>
      <c r="W34" s="6"/>
      <c r="X34" s="2"/>
      <c r="Y34" s="2"/>
      <c r="Z34" s="33">
        <f t="shared" si="18"/>
        <v>50</v>
      </c>
      <c r="AA34" s="35">
        <f t="shared" si="12"/>
        <v>0.68326271186440679</v>
      </c>
      <c r="AB34" s="36">
        <v>449350.9336307781</v>
      </c>
      <c r="AC34" s="40">
        <f t="shared" si="13"/>
        <v>13.090182437646302</v>
      </c>
      <c r="AD34" s="2"/>
      <c r="AE34" s="33">
        <f t="shared" si="19"/>
        <v>50</v>
      </c>
      <c r="AF34" s="37">
        <f t="shared" si="15"/>
        <v>282392.82941498084</v>
      </c>
      <c r="AG34" s="36">
        <v>497866.91174000077</v>
      </c>
      <c r="AH34" s="40">
        <f t="shared" si="16"/>
        <v>25.300418146249793</v>
      </c>
    </row>
    <row r="35" spans="1:34" ht="15.75" customHeight="1" x14ac:dyDescent="0.25">
      <c r="A35" s="30" t="s">
        <v>184</v>
      </c>
      <c r="B35" s="6">
        <f t="shared" ref="B35:B40" si="20">IF(B17=0,0,(B17/100)*$B$48)</f>
        <v>0</v>
      </c>
      <c r="C35" s="2" t="s">
        <v>3</v>
      </c>
      <c r="D35" s="2"/>
      <c r="E35" s="1" t="s">
        <v>99</v>
      </c>
      <c r="F35" s="2"/>
      <c r="G35" s="2"/>
      <c r="H35" s="2"/>
      <c r="I35" s="2"/>
      <c r="J35" s="2"/>
      <c r="K35" s="2"/>
      <c r="L35" s="18"/>
      <c r="M35" s="2"/>
      <c r="N35" s="12">
        <f t="shared" si="6"/>
        <v>0</v>
      </c>
      <c r="O35" s="12"/>
      <c r="P35" s="24">
        <f t="shared" si="1"/>
        <v>0</v>
      </c>
      <c r="Q35" s="25">
        <f t="shared" si="2"/>
        <v>0</v>
      </c>
      <c r="R35" s="25">
        <f t="shared" si="3"/>
        <v>0</v>
      </c>
      <c r="S35" s="25">
        <f t="shared" si="4"/>
        <v>0</v>
      </c>
      <c r="T35" s="24">
        <f t="shared" si="5"/>
        <v>0</v>
      </c>
      <c r="U35" s="20">
        <f t="shared" si="0"/>
        <v>0</v>
      </c>
      <c r="V35" s="3"/>
      <c r="W35" s="6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ht="15.75" customHeight="1" x14ac:dyDescent="0.25">
      <c r="A36" s="30" t="s">
        <v>68</v>
      </c>
      <c r="B36" s="6">
        <f t="shared" si="20"/>
        <v>0</v>
      </c>
      <c r="C36" s="2" t="s">
        <v>3</v>
      </c>
      <c r="D36" s="2"/>
      <c r="E36" s="17" t="s">
        <v>173</v>
      </c>
      <c r="F36" s="64">
        <f>F13/$B$8</f>
        <v>0.45550847457627119</v>
      </c>
      <c r="G36" s="2" t="s">
        <v>128</v>
      </c>
      <c r="H36" s="2"/>
      <c r="I36" s="2"/>
      <c r="J36" s="2"/>
      <c r="K36" s="2"/>
      <c r="L36" s="18"/>
      <c r="M36" s="2"/>
      <c r="N36" s="12">
        <f t="shared" si="6"/>
        <v>0</v>
      </c>
      <c r="O36" s="12"/>
      <c r="P36" s="24">
        <f t="shared" si="1"/>
        <v>0</v>
      </c>
      <c r="Q36" s="25">
        <f t="shared" si="2"/>
        <v>0</v>
      </c>
      <c r="R36" s="25">
        <f t="shared" si="3"/>
        <v>0</v>
      </c>
      <c r="S36" s="25">
        <f t="shared" si="4"/>
        <v>0</v>
      </c>
      <c r="T36" s="24">
        <f t="shared" si="5"/>
        <v>0</v>
      </c>
      <c r="U36" s="20">
        <f t="shared" si="0"/>
        <v>0</v>
      </c>
      <c r="V36" s="3"/>
      <c r="W36" s="6"/>
      <c r="X36" s="2"/>
      <c r="Y36" s="2"/>
      <c r="Z36" s="32" t="s">
        <v>48</v>
      </c>
      <c r="AA36" s="33"/>
      <c r="AB36" s="33"/>
      <c r="AC36" s="33"/>
      <c r="AD36" s="2"/>
      <c r="AE36" s="32" t="s">
        <v>101</v>
      </c>
      <c r="AF36" s="33"/>
      <c r="AG36" s="33"/>
      <c r="AH36" s="33"/>
    </row>
    <row r="37" spans="1:34" ht="15.75" customHeight="1" x14ac:dyDescent="0.25">
      <c r="A37" s="30" t="s">
        <v>70</v>
      </c>
      <c r="B37" s="6">
        <f t="shared" si="20"/>
        <v>0</v>
      </c>
      <c r="C37" s="2" t="s">
        <v>3</v>
      </c>
      <c r="D37" s="2"/>
      <c r="E37" s="17" t="s">
        <v>174</v>
      </c>
      <c r="F37" s="65">
        <f>F36*J9</f>
        <v>0.22319915254237288</v>
      </c>
      <c r="G37" s="2" t="s">
        <v>4</v>
      </c>
      <c r="H37" s="2"/>
      <c r="I37" s="2"/>
      <c r="J37" s="2"/>
      <c r="K37" s="2"/>
      <c r="L37" s="18"/>
      <c r="M37" s="2"/>
      <c r="N37" s="12">
        <f t="shared" si="6"/>
        <v>0</v>
      </c>
      <c r="O37" s="12"/>
      <c r="P37" s="24">
        <f t="shared" si="1"/>
        <v>0</v>
      </c>
      <c r="Q37" s="25">
        <f t="shared" si="2"/>
        <v>0</v>
      </c>
      <c r="R37" s="25">
        <f t="shared" si="3"/>
        <v>0</v>
      </c>
      <c r="S37" s="25">
        <f t="shared" si="4"/>
        <v>0</v>
      </c>
      <c r="T37" s="24">
        <f t="shared" si="5"/>
        <v>0</v>
      </c>
      <c r="U37" s="20">
        <f t="shared" si="0"/>
        <v>0</v>
      </c>
      <c r="V37" s="3"/>
      <c r="W37" s="6"/>
      <c r="X37" s="2"/>
      <c r="Y37" s="2"/>
      <c r="Z37" s="33" t="s">
        <v>79</v>
      </c>
      <c r="AA37" s="33" t="s">
        <v>117</v>
      </c>
      <c r="AB37" s="33" t="s">
        <v>23</v>
      </c>
      <c r="AC37" s="33" t="s">
        <v>81</v>
      </c>
      <c r="AD37" s="2"/>
      <c r="AE37" s="33" t="s">
        <v>79</v>
      </c>
      <c r="AF37" s="33" t="s">
        <v>104</v>
      </c>
      <c r="AG37" s="33" t="s">
        <v>23</v>
      </c>
      <c r="AH37" s="33" t="s">
        <v>81</v>
      </c>
    </row>
    <row r="38" spans="1:34" ht="15.75" customHeight="1" x14ac:dyDescent="0.25">
      <c r="A38" s="30" t="s">
        <v>72</v>
      </c>
      <c r="B38" s="6">
        <f t="shared" si="20"/>
        <v>0</v>
      </c>
      <c r="C38" s="2" t="s">
        <v>3</v>
      </c>
      <c r="D38" s="2"/>
      <c r="E38" s="17" t="s">
        <v>136</v>
      </c>
      <c r="F38" s="7">
        <f>F37*F12</f>
        <v>12928.029713983051</v>
      </c>
      <c r="G38" s="2" t="s">
        <v>49</v>
      </c>
      <c r="H38" s="2"/>
      <c r="I38" s="2"/>
      <c r="J38" s="2"/>
      <c r="K38" s="2"/>
      <c r="L38" s="18"/>
      <c r="M38" s="2"/>
      <c r="N38" s="12">
        <f t="shared" si="6"/>
        <v>0</v>
      </c>
      <c r="O38" s="12"/>
      <c r="P38" s="24">
        <f t="shared" si="1"/>
        <v>0</v>
      </c>
      <c r="Q38" s="25">
        <f t="shared" si="2"/>
        <v>0</v>
      </c>
      <c r="R38" s="25">
        <f t="shared" si="3"/>
        <v>0</v>
      </c>
      <c r="S38" s="25">
        <f t="shared" si="4"/>
        <v>0</v>
      </c>
      <c r="T38" s="24">
        <f t="shared" si="5"/>
        <v>0</v>
      </c>
      <c r="U38" s="20">
        <f t="shared" si="0"/>
        <v>0</v>
      </c>
      <c r="V38" s="3"/>
      <c r="W38" s="6"/>
      <c r="X38" s="2"/>
      <c r="Y38" s="2"/>
      <c r="Z38" s="33" t="s">
        <v>86</v>
      </c>
      <c r="AA38" s="35">
        <v>12047.671999999999</v>
      </c>
      <c r="AB38" s="36">
        <f>U49</f>
        <v>397338.58761659829</v>
      </c>
      <c r="AC38" s="33"/>
      <c r="AD38" s="2"/>
      <c r="AE38" s="33" t="s">
        <v>86</v>
      </c>
      <c r="AF38" s="37">
        <v>57921.5</v>
      </c>
      <c r="AG38" s="36">
        <f>U49</f>
        <v>397338.58761659829</v>
      </c>
      <c r="AH38" s="33"/>
    </row>
    <row r="39" spans="1:34" ht="15.75" customHeight="1" x14ac:dyDescent="0.25">
      <c r="A39" s="14" t="s">
        <v>73</v>
      </c>
      <c r="B39" s="6">
        <f t="shared" si="20"/>
        <v>13251.612903225807</v>
      </c>
      <c r="C39" s="2" t="s">
        <v>3</v>
      </c>
      <c r="D39" s="2"/>
      <c r="E39" s="2"/>
      <c r="F39" s="2"/>
      <c r="G39" s="2"/>
      <c r="H39" s="2"/>
      <c r="I39" s="2"/>
      <c r="J39" s="2"/>
      <c r="K39" s="2"/>
      <c r="L39" s="18"/>
      <c r="M39" s="2"/>
      <c r="N39" s="12">
        <f t="shared" si="6"/>
        <v>0</v>
      </c>
      <c r="O39" s="12"/>
      <c r="P39" s="24">
        <f t="shared" si="1"/>
        <v>0</v>
      </c>
      <c r="Q39" s="25">
        <f t="shared" si="2"/>
        <v>0</v>
      </c>
      <c r="R39" s="25">
        <f t="shared" si="3"/>
        <v>0</v>
      </c>
      <c r="S39" s="25">
        <f t="shared" si="4"/>
        <v>0</v>
      </c>
      <c r="T39" s="24">
        <f t="shared" si="5"/>
        <v>0</v>
      </c>
      <c r="U39" s="20">
        <f t="shared" si="0"/>
        <v>0</v>
      </c>
      <c r="V39" s="3"/>
      <c r="W39" s="6"/>
      <c r="X39" s="2"/>
      <c r="Y39" s="2"/>
      <c r="Z39" s="33">
        <f t="shared" ref="Z39:Z43" si="21">Z40-10</f>
        <v>-50</v>
      </c>
      <c r="AA39" s="35">
        <f t="shared" ref="AA39:AA49" si="22">$AA$38*(1+(Z39/100))</f>
        <v>6023.8359999999993</v>
      </c>
      <c r="AB39" s="36">
        <f t="dataTable" ref="AB39:AB49" dt2D="0" dtr="0" r1="J34" ca="1"/>
        <v>350824.12276771723</v>
      </c>
      <c r="AC39" s="40">
        <f t="shared" ref="AC39:AC49" si="23">100*((AB39-$AB$44)/$AB$44)</f>
        <v>-11.706505811049997</v>
      </c>
      <c r="AD39" s="2"/>
      <c r="AE39" s="33">
        <f t="shared" ref="AE39:AE43" si="24">AE40-10</f>
        <v>-50</v>
      </c>
      <c r="AF39" s="37">
        <f t="shared" ref="AF39:AF49" si="25">$AF$38*(1+(AE39/100))</f>
        <v>28960.75</v>
      </c>
      <c r="AG39" s="36">
        <f t="dataTable" ref="AG39:AG49" dt2D="0" dtr="0" r1="F12" ca="1"/>
        <v>298811.77675353736</v>
      </c>
      <c r="AH39" s="40">
        <f t="shared" ref="AH39:AH49" si="26">100*((AG39-$AG$44)/$AG$44)</f>
        <v>-24.796688248696313</v>
      </c>
    </row>
    <row r="40" spans="1:34" ht="15.75" customHeight="1" x14ac:dyDescent="0.25">
      <c r="A40" s="14" t="s">
        <v>76</v>
      </c>
      <c r="B40" s="6">
        <f t="shared" si="20"/>
        <v>10601.290322580646</v>
      </c>
      <c r="C40" s="2" t="s">
        <v>3</v>
      </c>
      <c r="D40" s="2"/>
      <c r="E40" s="17" t="s">
        <v>97</v>
      </c>
      <c r="F40" s="6">
        <f>F12*B5</f>
        <v>579215</v>
      </c>
      <c r="G40" s="2" t="s">
        <v>98</v>
      </c>
      <c r="H40" s="2"/>
      <c r="I40" s="2"/>
      <c r="J40" s="2"/>
      <c r="K40" s="2"/>
      <c r="L40" s="18"/>
      <c r="M40" s="2"/>
      <c r="N40" s="12">
        <f t="shared" si="6"/>
        <v>0</v>
      </c>
      <c r="O40" s="12"/>
      <c r="P40" s="24">
        <f t="shared" si="1"/>
        <v>0</v>
      </c>
      <c r="Q40" s="25">
        <f t="shared" si="2"/>
        <v>0</v>
      </c>
      <c r="R40" s="25">
        <f t="shared" si="3"/>
        <v>0</v>
      </c>
      <c r="S40" s="25">
        <f t="shared" si="4"/>
        <v>0</v>
      </c>
      <c r="T40" s="24">
        <f t="shared" si="5"/>
        <v>0</v>
      </c>
      <c r="U40" s="20">
        <f t="shared" si="0"/>
        <v>0</v>
      </c>
      <c r="V40" s="3"/>
      <c r="W40" s="6"/>
      <c r="X40" s="2"/>
      <c r="Y40" s="2"/>
      <c r="Z40" s="33">
        <f t="shared" si="21"/>
        <v>-40</v>
      </c>
      <c r="AA40" s="35">
        <f t="shared" si="22"/>
        <v>7228.6031999999987</v>
      </c>
      <c r="AB40" s="36">
        <v>360127.01573749358</v>
      </c>
      <c r="AC40" s="40">
        <f t="shared" si="23"/>
        <v>-9.3652046488399634</v>
      </c>
      <c r="AD40" s="2"/>
      <c r="AE40" s="33">
        <f t="shared" si="24"/>
        <v>-40</v>
      </c>
      <c r="AF40" s="37">
        <f t="shared" si="25"/>
        <v>34752.9</v>
      </c>
      <c r="AG40" s="36">
        <v>318517.13892614958</v>
      </c>
      <c r="AH40" s="40">
        <f t="shared" si="26"/>
        <v>-19.837350598957045</v>
      </c>
    </row>
    <row r="41" spans="1:34" ht="15.75" customHeight="1" x14ac:dyDescent="0.25">
      <c r="A41" s="2" t="s">
        <v>83</v>
      </c>
      <c r="B41" s="6">
        <f t="shared" ref="B41:B43" si="27">IF(B23=0,0,B23/$B$8)</f>
        <v>65.677966101694921</v>
      </c>
      <c r="C41" s="2" t="s">
        <v>3</v>
      </c>
      <c r="D41" s="2"/>
      <c r="E41" s="2"/>
      <c r="F41" s="2"/>
      <c r="G41" s="2"/>
      <c r="H41" s="2"/>
      <c r="I41" s="2"/>
      <c r="J41" s="2"/>
      <c r="K41" s="2"/>
      <c r="L41" s="18"/>
      <c r="M41" s="2"/>
      <c r="N41" s="12">
        <f t="shared" si="6"/>
        <v>0</v>
      </c>
      <c r="O41" s="12"/>
      <c r="P41" s="24">
        <f t="shared" si="1"/>
        <v>0</v>
      </c>
      <c r="Q41" s="25">
        <f t="shared" si="2"/>
        <v>0</v>
      </c>
      <c r="R41" s="25">
        <f t="shared" si="3"/>
        <v>0</v>
      </c>
      <c r="S41" s="25">
        <f t="shared" si="4"/>
        <v>0</v>
      </c>
      <c r="T41" s="24">
        <f t="shared" si="5"/>
        <v>0</v>
      </c>
      <c r="U41" s="20">
        <f t="shared" si="0"/>
        <v>0</v>
      </c>
      <c r="V41" s="3"/>
      <c r="W41" s="6"/>
      <c r="X41" s="2"/>
      <c r="Y41" s="2"/>
      <c r="Z41" s="33">
        <f t="shared" si="21"/>
        <v>-30</v>
      </c>
      <c r="AA41" s="35">
        <f t="shared" si="22"/>
        <v>8433.370399999998</v>
      </c>
      <c r="AB41" s="36">
        <v>369429.90870726958</v>
      </c>
      <c r="AC41" s="40">
        <f t="shared" si="23"/>
        <v>-7.0239034866300161</v>
      </c>
      <c r="AD41" s="2"/>
      <c r="AE41" s="33">
        <f t="shared" si="24"/>
        <v>-30</v>
      </c>
      <c r="AF41" s="37">
        <f t="shared" si="25"/>
        <v>40545.049999999996</v>
      </c>
      <c r="AG41" s="36">
        <v>338222.50109876163</v>
      </c>
      <c r="AH41" s="40">
        <f t="shared" si="26"/>
        <v>-14.878012949217814</v>
      </c>
    </row>
    <row r="42" spans="1:34" ht="15.75" customHeight="1" x14ac:dyDescent="0.25">
      <c r="A42" s="2" t="s">
        <v>178</v>
      </c>
      <c r="B42" s="6">
        <f t="shared" si="27"/>
        <v>11.228813559322035</v>
      </c>
      <c r="C42" s="2" t="s">
        <v>3</v>
      </c>
      <c r="D42" s="2"/>
      <c r="E42" s="17"/>
      <c r="F42" s="15"/>
      <c r="G42" s="2"/>
      <c r="H42" s="2"/>
      <c r="I42" s="1"/>
      <c r="J42" s="2"/>
      <c r="K42" s="2"/>
      <c r="L42" s="18"/>
      <c r="M42" s="2"/>
      <c r="N42" s="12">
        <f t="shared" si="6"/>
        <v>0</v>
      </c>
      <c r="O42" s="12"/>
      <c r="P42" s="24">
        <f t="shared" si="1"/>
        <v>0</v>
      </c>
      <c r="Q42" s="25">
        <f t="shared" si="2"/>
        <v>0</v>
      </c>
      <c r="R42" s="25">
        <f t="shared" si="3"/>
        <v>0</v>
      </c>
      <c r="S42" s="25">
        <f t="shared" si="4"/>
        <v>0</v>
      </c>
      <c r="T42" s="24">
        <f t="shared" si="5"/>
        <v>0</v>
      </c>
      <c r="U42" s="20">
        <f t="shared" si="0"/>
        <v>0</v>
      </c>
      <c r="V42" s="3"/>
      <c r="W42" s="6"/>
      <c r="X42" s="2"/>
      <c r="Y42" s="2"/>
      <c r="Z42" s="33">
        <f t="shared" si="21"/>
        <v>-20</v>
      </c>
      <c r="AA42" s="35">
        <f t="shared" si="22"/>
        <v>9638.1376</v>
      </c>
      <c r="AB42" s="36">
        <v>378732.80167704588</v>
      </c>
      <c r="AC42" s="40">
        <f t="shared" si="23"/>
        <v>-4.6826023244199959</v>
      </c>
      <c r="AD42" s="2"/>
      <c r="AE42" s="33">
        <f t="shared" si="24"/>
        <v>-20</v>
      </c>
      <c r="AF42" s="37">
        <f t="shared" si="25"/>
        <v>46337.200000000004</v>
      </c>
      <c r="AG42" s="36">
        <v>357927.86327137391</v>
      </c>
      <c r="AH42" s="40">
        <f t="shared" si="26"/>
        <v>-9.9186752994785277</v>
      </c>
    </row>
    <row r="43" spans="1:34" ht="15.75" customHeight="1" x14ac:dyDescent="0.25">
      <c r="A43" s="2" t="s">
        <v>179</v>
      </c>
      <c r="B43" s="6">
        <f t="shared" si="27"/>
        <v>15.72033898305085</v>
      </c>
      <c r="C43" s="2" t="s">
        <v>3</v>
      </c>
      <c r="D43" s="2"/>
      <c r="E43" s="2"/>
      <c r="F43" s="2"/>
      <c r="G43" s="2"/>
      <c r="H43" s="2"/>
      <c r="I43" s="17"/>
      <c r="J43" s="23"/>
      <c r="K43" s="2"/>
      <c r="L43" s="18"/>
      <c r="M43" s="2"/>
      <c r="N43" s="12">
        <f t="shared" si="6"/>
        <v>0</v>
      </c>
      <c r="O43" s="12"/>
      <c r="P43" s="24">
        <f t="shared" si="1"/>
        <v>0</v>
      </c>
      <c r="Q43" s="25">
        <f t="shared" si="2"/>
        <v>0</v>
      </c>
      <c r="R43" s="25">
        <f t="shared" si="3"/>
        <v>0</v>
      </c>
      <c r="S43" s="25">
        <f t="shared" si="4"/>
        <v>0</v>
      </c>
      <c r="T43" s="24">
        <f t="shared" si="5"/>
        <v>0</v>
      </c>
      <c r="U43" s="20">
        <f t="shared" si="0"/>
        <v>0</v>
      </c>
      <c r="V43" s="3"/>
      <c r="W43" s="6"/>
      <c r="X43" s="2"/>
      <c r="Y43" s="2"/>
      <c r="Z43" s="33">
        <f t="shared" si="21"/>
        <v>-10</v>
      </c>
      <c r="AA43" s="35">
        <f t="shared" si="22"/>
        <v>10842.904799999998</v>
      </c>
      <c r="AB43" s="36">
        <v>388035.69464682194</v>
      </c>
      <c r="AC43" s="40">
        <f t="shared" si="23"/>
        <v>-2.3413011622100344</v>
      </c>
      <c r="AD43" s="2"/>
      <c r="AE43" s="33">
        <f t="shared" si="24"/>
        <v>-10</v>
      </c>
      <c r="AF43" s="37">
        <f t="shared" si="25"/>
        <v>52129.35</v>
      </c>
      <c r="AG43" s="36">
        <v>377633.22544398595</v>
      </c>
      <c r="AH43" s="40">
        <f t="shared" si="26"/>
        <v>-4.9593376497393011</v>
      </c>
    </row>
    <row r="44" spans="1:34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8"/>
      <c r="M44" s="2"/>
      <c r="N44" s="12">
        <f t="shared" si="6"/>
        <v>0</v>
      </c>
      <c r="O44" s="12"/>
      <c r="P44" s="24">
        <f t="shared" si="1"/>
        <v>0</v>
      </c>
      <c r="Q44" s="25">
        <f t="shared" si="2"/>
        <v>0</v>
      </c>
      <c r="R44" s="25">
        <f t="shared" si="3"/>
        <v>0</v>
      </c>
      <c r="S44" s="25">
        <f t="shared" si="4"/>
        <v>0</v>
      </c>
      <c r="T44" s="24">
        <f t="shared" si="5"/>
        <v>0</v>
      </c>
      <c r="U44" s="20">
        <f t="shared" si="0"/>
        <v>0</v>
      </c>
      <c r="V44" s="3"/>
      <c r="W44" s="6"/>
      <c r="X44" s="2"/>
      <c r="Y44" s="2"/>
      <c r="Z44" s="45">
        <v>0</v>
      </c>
      <c r="AA44" s="61">
        <f t="shared" si="22"/>
        <v>12047.671999999999</v>
      </c>
      <c r="AB44" s="46">
        <v>397338.58761659829</v>
      </c>
      <c r="AC44" s="87">
        <f t="shared" si="23"/>
        <v>0</v>
      </c>
      <c r="AD44" s="2"/>
      <c r="AE44" s="45">
        <v>0</v>
      </c>
      <c r="AF44" s="49">
        <f t="shared" si="25"/>
        <v>57921.5</v>
      </c>
      <c r="AG44" s="46">
        <v>397338.58761659829</v>
      </c>
      <c r="AH44" s="62">
        <f t="shared" si="26"/>
        <v>0</v>
      </c>
    </row>
    <row r="45" spans="1:34" ht="15.75" customHeight="1" x14ac:dyDescent="0.25">
      <c r="A45" s="27" t="s">
        <v>108</v>
      </c>
      <c r="B45" s="3"/>
      <c r="C45" s="1"/>
      <c r="D45" s="2"/>
      <c r="E45" s="2"/>
      <c r="F45" s="2"/>
      <c r="G45" s="2"/>
      <c r="H45" s="2"/>
      <c r="I45" s="2"/>
      <c r="J45" s="2"/>
      <c r="K45" s="2"/>
      <c r="L45" s="18"/>
      <c r="M45" s="2"/>
      <c r="N45" s="12">
        <f t="shared" si="6"/>
        <v>0</v>
      </c>
      <c r="O45" s="12"/>
      <c r="P45" s="24">
        <f t="shared" si="1"/>
        <v>0</v>
      </c>
      <c r="Q45" s="25">
        <f t="shared" si="2"/>
        <v>0</v>
      </c>
      <c r="R45" s="25">
        <f t="shared" si="3"/>
        <v>0</v>
      </c>
      <c r="S45" s="25">
        <f t="shared" si="4"/>
        <v>0</v>
      </c>
      <c r="T45" s="24">
        <f t="shared" si="5"/>
        <v>0</v>
      </c>
      <c r="U45" s="20">
        <f t="shared" si="0"/>
        <v>0</v>
      </c>
      <c r="V45" s="3"/>
      <c r="W45" s="6"/>
      <c r="X45" s="2"/>
      <c r="Y45" s="2"/>
      <c r="Z45" s="33">
        <f t="shared" ref="Z45:Z49" si="28">Z44+10</f>
        <v>10</v>
      </c>
      <c r="AA45" s="35">
        <f t="shared" si="22"/>
        <v>13252.439199999999</v>
      </c>
      <c r="AB45" s="36">
        <v>406641.48058637441</v>
      </c>
      <c r="AC45" s="40">
        <f t="shared" si="23"/>
        <v>2.3413011622099762</v>
      </c>
      <c r="AD45" s="2"/>
      <c r="AE45" s="33">
        <f t="shared" ref="AE45:AE49" si="29">AE44+10</f>
        <v>10</v>
      </c>
      <c r="AF45" s="37">
        <f t="shared" si="25"/>
        <v>63713.650000000009</v>
      </c>
      <c r="AG45" s="36">
        <v>417043.9497892104</v>
      </c>
      <c r="AH45" s="40">
        <f t="shared" si="26"/>
        <v>4.9593376497392416</v>
      </c>
    </row>
    <row r="46" spans="1:34" ht="15.75" customHeight="1" x14ac:dyDescent="0.25">
      <c r="A46" s="17" t="s">
        <v>197</v>
      </c>
      <c r="B46" s="6">
        <f>J8/B8</f>
        <v>101935.48387096774</v>
      </c>
      <c r="C46" s="2" t="s">
        <v>3</v>
      </c>
      <c r="D46" s="2"/>
      <c r="E46" s="2"/>
      <c r="F46" s="2"/>
      <c r="G46" s="2"/>
      <c r="H46" s="2"/>
      <c r="I46" s="2"/>
      <c r="J46" s="2"/>
      <c r="K46" s="2"/>
      <c r="L46" s="18"/>
      <c r="M46" s="2"/>
      <c r="N46" s="12">
        <f t="shared" si="6"/>
        <v>0</v>
      </c>
      <c r="O46" s="12"/>
      <c r="P46" s="24">
        <f t="shared" si="1"/>
        <v>0</v>
      </c>
      <c r="Q46" s="25">
        <f t="shared" si="2"/>
        <v>0</v>
      </c>
      <c r="R46" s="25">
        <f t="shared" si="3"/>
        <v>0</v>
      </c>
      <c r="S46" s="25">
        <f t="shared" si="4"/>
        <v>0</v>
      </c>
      <c r="T46" s="24">
        <f t="shared" si="5"/>
        <v>0</v>
      </c>
      <c r="U46" s="20">
        <f t="shared" si="0"/>
        <v>0</v>
      </c>
      <c r="V46" s="3"/>
      <c r="W46" s="6"/>
      <c r="X46" s="2"/>
      <c r="Y46" s="2"/>
      <c r="Z46" s="33">
        <f t="shared" si="28"/>
        <v>20</v>
      </c>
      <c r="AA46" s="35">
        <f t="shared" si="22"/>
        <v>14457.206399999997</v>
      </c>
      <c r="AB46" s="36">
        <v>415944.37355615059</v>
      </c>
      <c r="AC46" s="40">
        <f t="shared" si="23"/>
        <v>4.6826023244199666</v>
      </c>
      <c r="AD46" s="2"/>
      <c r="AE46" s="33">
        <f t="shared" si="29"/>
        <v>20</v>
      </c>
      <c r="AF46" s="37">
        <f t="shared" si="25"/>
        <v>69505.8</v>
      </c>
      <c r="AG46" s="36">
        <v>436749.3119618225</v>
      </c>
      <c r="AH46" s="40">
        <f t="shared" si="26"/>
        <v>9.9186752994784833</v>
      </c>
    </row>
    <row r="47" spans="1:34" ht="15.75" customHeight="1" x14ac:dyDescent="0.25">
      <c r="A47" s="30" t="s">
        <v>137</v>
      </c>
      <c r="B47" s="50">
        <f t="shared" ref="B47:B48" si="30">(1+(B14/100))*B46</f>
        <v>132516.12903225806</v>
      </c>
      <c r="C47" s="2" t="s">
        <v>3</v>
      </c>
      <c r="D47" s="2"/>
      <c r="E47" s="2"/>
      <c r="F47" s="2"/>
      <c r="G47" s="2"/>
      <c r="H47" s="2"/>
      <c r="I47" s="2"/>
      <c r="J47" s="2"/>
      <c r="K47" s="2"/>
      <c r="L47" s="18"/>
      <c r="M47" s="2"/>
      <c r="N47" s="12">
        <f t="shared" si="6"/>
        <v>0</v>
      </c>
      <c r="O47" s="12"/>
      <c r="P47" s="24">
        <f t="shared" si="1"/>
        <v>0</v>
      </c>
      <c r="Q47" s="25">
        <f t="shared" si="2"/>
        <v>0</v>
      </c>
      <c r="R47" s="25">
        <f t="shared" si="3"/>
        <v>0</v>
      </c>
      <c r="S47" s="25">
        <f t="shared" si="4"/>
        <v>0</v>
      </c>
      <c r="T47" s="24">
        <f t="shared" si="5"/>
        <v>0</v>
      </c>
      <c r="U47" s="20">
        <f t="shared" si="0"/>
        <v>0</v>
      </c>
      <c r="V47" s="3"/>
      <c r="W47" s="6"/>
      <c r="X47" s="2"/>
      <c r="Y47" s="2"/>
      <c r="Z47" s="33">
        <f t="shared" si="28"/>
        <v>30</v>
      </c>
      <c r="AA47" s="35">
        <f t="shared" si="22"/>
        <v>15661.973599999999</v>
      </c>
      <c r="AB47" s="36">
        <v>425247.26652592671</v>
      </c>
      <c r="AC47" s="40">
        <f t="shared" si="23"/>
        <v>7.0239034866299423</v>
      </c>
      <c r="AD47" s="2"/>
      <c r="AE47" s="33">
        <f t="shared" si="29"/>
        <v>30</v>
      </c>
      <c r="AF47" s="37">
        <f t="shared" si="25"/>
        <v>75297.95</v>
      </c>
      <c r="AG47" s="36">
        <v>456454.67413443472</v>
      </c>
      <c r="AH47" s="40">
        <f t="shared" si="26"/>
        <v>14.878012949217755</v>
      </c>
    </row>
    <row r="48" spans="1:34" ht="15.75" customHeight="1" x14ac:dyDescent="0.25">
      <c r="A48" s="2" t="s">
        <v>114</v>
      </c>
      <c r="B48" s="50">
        <f t="shared" si="30"/>
        <v>132516.12903225806</v>
      </c>
      <c r="C48" s="2" t="s">
        <v>3</v>
      </c>
      <c r="D48" s="2"/>
      <c r="E48" s="2"/>
      <c r="F48" s="2"/>
      <c r="G48" s="2"/>
      <c r="H48" s="2"/>
      <c r="I48" s="2"/>
      <c r="J48" s="2"/>
      <c r="K48" s="2"/>
      <c r="L48" s="18"/>
      <c r="M48" s="2"/>
      <c r="N48" s="12">
        <f t="shared" si="6"/>
        <v>0</v>
      </c>
      <c r="O48" s="12"/>
      <c r="P48" s="24">
        <f t="shared" si="1"/>
        <v>0</v>
      </c>
      <c r="Q48" s="25">
        <f t="shared" si="2"/>
        <v>0</v>
      </c>
      <c r="R48" s="25">
        <f t="shared" si="3"/>
        <v>0</v>
      </c>
      <c r="S48" s="25">
        <f t="shared" si="4"/>
        <v>0</v>
      </c>
      <c r="T48" s="24">
        <f t="shared" si="5"/>
        <v>0</v>
      </c>
      <c r="U48" s="20">
        <f t="shared" si="0"/>
        <v>0</v>
      </c>
      <c r="V48" s="3"/>
      <c r="W48" s="6"/>
      <c r="X48" s="2"/>
      <c r="Y48" s="2"/>
      <c r="Z48" s="33">
        <f t="shared" si="28"/>
        <v>40</v>
      </c>
      <c r="AA48" s="35">
        <f t="shared" si="22"/>
        <v>16866.740799999996</v>
      </c>
      <c r="AB48" s="36">
        <v>434550.15949570294</v>
      </c>
      <c r="AC48" s="40">
        <f t="shared" si="23"/>
        <v>9.3652046488399474</v>
      </c>
      <c r="AD48" s="2"/>
      <c r="AE48" s="33">
        <f t="shared" si="29"/>
        <v>40</v>
      </c>
      <c r="AF48" s="37">
        <f t="shared" si="25"/>
        <v>81090.099999999991</v>
      </c>
      <c r="AG48" s="36">
        <v>476160.03630704677</v>
      </c>
      <c r="AH48" s="40">
        <f t="shared" si="26"/>
        <v>19.837350598956984</v>
      </c>
    </row>
    <row r="49" spans="1:34" ht="15.75" customHeight="1" x14ac:dyDescent="0.25">
      <c r="A49" s="30" t="s">
        <v>115</v>
      </c>
      <c r="B49" s="6">
        <f>SUM(B33:B41)+SUM(B48)</f>
        <v>188261.88627665391</v>
      </c>
      <c r="C49" s="2" t="s">
        <v>3</v>
      </c>
      <c r="D49" s="2"/>
      <c r="E49" s="2"/>
      <c r="F49" s="2"/>
      <c r="G49" s="2"/>
      <c r="H49" s="2"/>
      <c r="I49" s="2"/>
      <c r="J49" s="2"/>
      <c r="K49" s="2"/>
      <c r="L49" s="18"/>
      <c r="M49" s="2"/>
      <c r="N49" s="13" t="s">
        <v>112</v>
      </c>
      <c r="O49" s="20">
        <f t="shared" ref="O49:U49" si="31">SUM(O8:O48)</f>
        <v>56486.650628758878</v>
      </c>
      <c r="P49" s="20">
        <f t="shared" si="31"/>
        <v>144598.77830430405</v>
      </c>
      <c r="Q49" s="20">
        <f t="shared" si="31"/>
        <v>104024.69202835968</v>
      </c>
      <c r="R49" s="20">
        <f t="shared" si="31"/>
        <v>131231.96786578518</v>
      </c>
      <c r="S49" s="20">
        <f t="shared" si="31"/>
        <v>32.719215801630568</v>
      </c>
      <c r="T49" s="20">
        <f t="shared" si="31"/>
        <v>-39036.220426411252</v>
      </c>
      <c r="U49" s="20">
        <f t="shared" si="31"/>
        <v>397338.58761659829</v>
      </c>
      <c r="V49" s="3"/>
      <c r="W49" s="3"/>
      <c r="X49" s="2"/>
      <c r="Y49" s="2"/>
      <c r="Z49" s="33">
        <f t="shared" si="28"/>
        <v>50</v>
      </c>
      <c r="AA49" s="35">
        <f t="shared" si="22"/>
        <v>18071.507999999998</v>
      </c>
      <c r="AB49" s="36">
        <v>443853.05246547906</v>
      </c>
      <c r="AC49" s="40">
        <f t="shared" si="23"/>
        <v>11.706505811049924</v>
      </c>
      <c r="AD49" s="2"/>
      <c r="AE49" s="33">
        <f t="shared" si="29"/>
        <v>50</v>
      </c>
      <c r="AF49" s="37">
        <f t="shared" si="25"/>
        <v>86882.25</v>
      </c>
      <c r="AG49" s="36">
        <v>495865.39847965894</v>
      </c>
      <c r="AH49" s="40">
        <f t="shared" si="26"/>
        <v>24.796688248696242</v>
      </c>
    </row>
    <row r="50" spans="1:34" ht="15.75" customHeight="1" x14ac:dyDescent="0.25">
      <c r="A50" s="30" t="s">
        <v>116</v>
      </c>
      <c r="B50" s="6">
        <f>SUM(B31:B32)</f>
        <v>0</v>
      </c>
      <c r="C50" s="2" t="s">
        <v>3</v>
      </c>
      <c r="D50" s="2"/>
      <c r="E50" s="2"/>
      <c r="F50" s="2"/>
      <c r="G50" s="2"/>
      <c r="H50" s="2"/>
      <c r="I50" s="2"/>
      <c r="J50" s="2"/>
      <c r="K50" s="2"/>
      <c r="L50" s="18"/>
      <c r="M50" s="2"/>
      <c r="N50" s="2"/>
      <c r="O50" s="2"/>
      <c r="P50" s="2"/>
      <c r="Q50" s="2"/>
      <c r="R50" s="50">
        <f>SUM(R49:S49)</f>
        <v>131264.6870815868</v>
      </c>
      <c r="S50" s="2"/>
      <c r="T50" s="2"/>
      <c r="U50" s="2"/>
      <c r="V50" s="2"/>
      <c r="W50" s="2"/>
      <c r="X50" s="50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ht="15.75" customHeight="1" x14ac:dyDescent="0.25">
      <c r="A51" s="30" t="s">
        <v>172</v>
      </c>
      <c r="B51" s="6">
        <f>SUM(B49:B50)</f>
        <v>188261.88627665391</v>
      </c>
      <c r="C51" s="2" t="s">
        <v>3</v>
      </c>
      <c r="D51" s="2"/>
      <c r="E51" s="2"/>
      <c r="F51" s="2"/>
      <c r="G51" s="2"/>
      <c r="H51" s="2"/>
      <c r="I51" s="2"/>
      <c r="J51" s="2"/>
      <c r="K51" s="2"/>
      <c r="L51" s="18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2" t="s">
        <v>196</v>
      </c>
      <c r="AA51" s="33"/>
      <c r="AB51" s="33"/>
      <c r="AC51" s="33"/>
      <c r="AD51" s="2"/>
      <c r="AE51" s="2"/>
      <c r="AF51" s="2"/>
      <c r="AG51" s="2"/>
      <c r="AH51" s="2"/>
    </row>
    <row r="52" spans="1:34" ht="15.75" customHeight="1" x14ac:dyDescent="0.25">
      <c r="A52" s="2" t="s">
        <v>180</v>
      </c>
      <c r="B52" s="6">
        <f>SUM(B42:B43)</f>
        <v>26.949152542372886</v>
      </c>
      <c r="C52" s="2" t="s">
        <v>3</v>
      </c>
      <c r="D52" s="2"/>
      <c r="E52" s="2"/>
      <c r="F52" s="2"/>
      <c r="G52" s="2"/>
      <c r="H52" s="2"/>
      <c r="I52" s="2"/>
      <c r="J52" s="2"/>
      <c r="K52" s="2"/>
      <c r="L52" s="18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3" t="s">
        <v>79</v>
      </c>
      <c r="AA52" s="33" t="s">
        <v>196</v>
      </c>
      <c r="AB52" s="33" t="s">
        <v>23</v>
      </c>
      <c r="AC52" s="33" t="s">
        <v>81</v>
      </c>
      <c r="AD52" s="2"/>
      <c r="AE52" s="2"/>
      <c r="AF52" s="2"/>
      <c r="AG52" s="2"/>
      <c r="AH52" s="2"/>
    </row>
    <row r="53" spans="1:34" ht="15.75" customHeight="1" x14ac:dyDescent="0.25">
      <c r="A53" s="17" t="s">
        <v>120</v>
      </c>
      <c r="B53" s="6">
        <f>SUM(B51:B52)</f>
        <v>188288.83542919628</v>
      </c>
      <c r="C53" s="2" t="s">
        <v>3</v>
      </c>
      <c r="D53" s="2"/>
      <c r="E53" s="2"/>
      <c r="F53" s="2"/>
      <c r="G53" s="2"/>
      <c r="H53" s="2"/>
      <c r="I53" s="2"/>
      <c r="J53" s="2"/>
      <c r="K53" s="2"/>
      <c r="L53" s="18"/>
      <c r="M53" s="2"/>
      <c r="N53" s="2"/>
      <c r="O53" s="1"/>
      <c r="P53" s="1"/>
      <c r="Q53" s="2"/>
      <c r="R53" s="2"/>
      <c r="S53" s="2"/>
      <c r="T53" s="2"/>
      <c r="U53" s="2"/>
      <c r="V53" s="2"/>
      <c r="W53" s="2"/>
      <c r="X53" s="7"/>
      <c r="Y53" s="2"/>
      <c r="Z53" s="33" t="s">
        <v>86</v>
      </c>
      <c r="AA53" s="35">
        <v>0.49</v>
      </c>
      <c r="AB53" s="36">
        <f>U49</f>
        <v>397338.58761659829</v>
      </c>
      <c r="AC53" s="33"/>
      <c r="AD53" s="2"/>
      <c r="AE53" s="2"/>
      <c r="AF53" s="2"/>
      <c r="AG53" s="2"/>
      <c r="AH53" s="2"/>
    </row>
    <row r="54" spans="1:34" ht="15.75" customHeight="1" x14ac:dyDescent="0.25">
      <c r="A54" s="42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4"/>
      <c r="M54" s="2"/>
      <c r="N54" s="51"/>
      <c r="O54" s="52" t="s">
        <v>118</v>
      </c>
      <c r="P54" s="53" t="str">
        <f>B1</f>
        <v>Malaysia</v>
      </c>
      <c r="Q54" s="51"/>
      <c r="R54" s="51"/>
      <c r="S54" s="51"/>
      <c r="T54" s="51"/>
      <c r="U54" s="2"/>
      <c r="V54" s="2"/>
      <c r="W54" s="2"/>
      <c r="X54" s="7"/>
      <c r="Y54" s="2"/>
      <c r="Z54" s="33">
        <f t="shared" ref="Z54:Z58" si="32">Z55-10</f>
        <v>-50</v>
      </c>
      <c r="AA54" s="35">
        <f>$AA$53*(1+(-Z54/100))</f>
        <v>0.73499999999999999</v>
      </c>
      <c r="AB54" s="36">
        <f t="dataTable" ref="AB54:AB64" dt2D="0" dtr="0" r1="J9" ca="1"/>
        <v>449350.9336307781</v>
      </c>
      <c r="AC54" s="40">
        <f>100*((AB54-$AB$59)/$AB$59)</f>
        <v>13.090182437646302</v>
      </c>
      <c r="AD54" s="2"/>
      <c r="AE54" s="2"/>
      <c r="AF54" s="2"/>
      <c r="AG54" s="2"/>
      <c r="AH54" s="2"/>
    </row>
    <row r="55" spans="1:34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119</v>
      </c>
      <c r="P55" s="50">
        <f>SUM(O49:P49)</f>
        <v>201085.42893306294</v>
      </c>
      <c r="Q55" s="2" t="s">
        <v>3</v>
      </c>
      <c r="R55" s="55">
        <f t="shared" ref="R55:R58" si="33">P55/$F$40</f>
        <v>0.34716889053816447</v>
      </c>
      <c r="S55" s="2" t="s">
        <v>4</v>
      </c>
      <c r="T55" s="2"/>
      <c r="U55" s="2"/>
      <c r="V55" s="2"/>
      <c r="W55" s="2"/>
      <c r="X55" s="7"/>
      <c r="Y55" s="2"/>
      <c r="Z55" s="33">
        <f t="shared" si="32"/>
        <v>-40</v>
      </c>
      <c r="AA55" s="35">
        <f t="shared" ref="AA55:AA64" si="34">$AA$53*(1+(-Z55/100))</f>
        <v>0.68599999999999994</v>
      </c>
      <c r="AB55" s="36">
        <v>438948.46442794206</v>
      </c>
      <c r="AC55" s="40">
        <f t="shared" ref="AC55:AC64" si="35">100*((AB55-$AB$59)/$AB$59)</f>
        <v>10.472145950117021</v>
      </c>
      <c r="AD55" s="2"/>
      <c r="AE55" s="2"/>
      <c r="AF55" s="2"/>
      <c r="AG55" s="2"/>
      <c r="AH55" s="2"/>
    </row>
    <row r="56" spans="1:34" ht="15.75" customHeight="1" x14ac:dyDescent="0.25">
      <c r="A56" s="2" t="s">
        <v>123</v>
      </c>
      <c r="B56" s="5">
        <f>B49*B8</f>
        <v>888596.10322580638</v>
      </c>
      <c r="C56" s="2" t="s">
        <v>28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99</v>
      </c>
      <c r="P56" s="50">
        <f>SUM(Q49)</f>
        <v>104024.69202835968</v>
      </c>
      <c r="Q56" s="2" t="s">
        <v>3</v>
      </c>
      <c r="R56" s="55">
        <f t="shared" si="33"/>
        <v>0.1795959911748827</v>
      </c>
      <c r="S56" s="2" t="s">
        <v>4</v>
      </c>
      <c r="T56" s="2"/>
      <c r="U56" s="2"/>
      <c r="V56" s="2"/>
      <c r="W56" s="2"/>
      <c r="X56" s="7"/>
      <c r="Y56" s="2"/>
      <c r="Z56" s="33">
        <f t="shared" si="32"/>
        <v>-30</v>
      </c>
      <c r="AA56" s="35">
        <f t="shared" si="34"/>
        <v>0.63700000000000001</v>
      </c>
      <c r="AB56" s="36">
        <v>428545.99522510607</v>
      </c>
      <c r="AC56" s="40">
        <f t="shared" si="35"/>
        <v>7.854109462587755</v>
      </c>
      <c r="AD56" s="2"/>
      <c r="AE56" s="2"/>
      <c r="AF56" s="2"/>
      <c r="AG56" s="2"/>
      <c r="AH56" s="2"/>
    </row>
    <row r="57" spans="1:34" ht="15.75" customHeight="1" x14ac:dyDescent="0.25">
      <c r="A57" s="2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121</v>
      </c>
      <c r="P57" s="50">
        <f>SUM(R49:S49)</f>
        <v>131264.6870815868</v>
      </c>
      <c r="Q57" s="2" t="s">
        <v>3</v>
      </c>
      <c r="R57" s="55">
        <f t="shared" si="33"/>
        <v>0.22662515142319656</v>
      </c>
      <c r="S57" s="2" t="s">
        <v>4</v>
      </c>
      <c r="T57" s="2"/>
      <c r="U57" s="2"/>
      <c r="V57" s="2"/>
      <c r="W57" s="2"/>
      <c r="X57" s="7"/>
      <c r="Y57" s="2"/>
      <c r="Z57" s="33">
        <f t="shared" si="32"/>
        <v>-20</v>
      </c>
      <c r="AA57" s="35">
        <f t="shared" si="34"/>
        <v>0.58799999999999997</v>
      </c>
      <c r="AB57" s="36">
        <v>418143.52602227015</v>
      </c>
      <c r="AC57" s="40">
        <f t="shared" si="35"/>
        <v>5.2360729750585033</v>
      </c>
      <c r="AD57" s="2"/>
      <c r="AE57" s="2"/>
      <c r="AF57" s="2"/>
      <c r="AG57" s="2"/>
      <c r="AH57" s="2"/>
    </row>
    <row r="58" spans="1:34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124</v>
      </c>
      <c r="P58" s="50">
        <f>T49</f>
        <v>-39036.220426411252</v>
      </c>
      <c r="Q58" s="2" t="s">
        <v>3</v>
      </c>
      <c r="R58" s="55">
        <f t="shared" si="33"/>
        <v>-6.739504402753943E-2</v>
      </c>
      <c r="S58" s="2" t="s">
        <v>4</v>
      </c>
      <c r="T58" s="2"/>
      <c r="U58" s="2"/>
      <c r="V58" s="2"/>
      <c r="W58" s="2"/>
      <c r="X58" s="7"/>
      <c r="Y58" s="2"/>
      <c r="Z58" s="33">
        <f t="shared" si="32"/>
        <v>-10</v>
      </c>
      <c r="AA58" s="35">
        <f t="shared" si="34"/>
        <v>0.53900000000000003</v>
      </c>
      <c r="AB58" s="36">
        <v>407741.0568194341</v>
      </c>
      <c r="AC58" s="40">
        <f t="shared" si="35"/>
        <v>2.6180364875292224</v>
      </c>
      <c r="AD58" s="2"/>
      <c r="AE58" s="2"/>
      <c r="AF58" s="2"/>
      <c r="AG58" s="2"/>
      <c r="AH58" s="2"/>
    </row>
    <row r="59" spans="1:34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7"/>
      <c r="Y59" s="2"/>
      <c r="Z59" s="45">
        <v>0</v>
      </c>
      <c r="AA59" s="85">
        <f t="shared" si="34"/>
        <v>0.49</v>
      </c>
      <c r="AB59" s="46">
        <v>397338.58761659829</v>
      </c>
      <c r="AC59" s="87">
        <f t="shared" si="35"/>
        <v>0</v>
      </c>
      <c r="AD59" s="2"/>
      <c r="AE59" s="2"/>
      <c r="AF59" s="2"/>
      <c r="AG59" s="2"/>
      <c r="AH59" s="2"/>
    </row>
    <row r="60" spans="1:34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 t="s">
        <v>2</v>
      </c>
      <c r="P60" s="3">
        <f>SUM(P55:P58)</f>
        <v>397338.58761659818</v>
      </c>
      <c r="Q60" s="1" t="s">
        <v>3</v>
      </c>
      <c r="R60" s="57">
        <f>SUM(R55:R58)</f>
        <v>0.68599498910870427</v>
      </c>
      <c r="S60" s="1" t="s">
        <v>4</v>
      </c>
      <c r="T60" s="2"/>
      <c r="U60" s="2"/>
      <c r="V60" s="2"/>
      <c r="W60" s="2"/>
      <c r="X60" s="7"/>
      <c r="Y60" s="2"/>
      <c r="Z60" s="33">
        <f t="shared" ref="Z60:Z64" si="36">Z59+10</f>
        <v>10</v>
      </c>
      <c r="AA60" s="35">
        <f t="shared" si="34"/>
        <v>0.441</v>
      </c>
      <c r="AB60" s="36">
        <v>386936.11841376225</v>
      </c>
      <c r="AC60" s="40">
        <f t="shared" si="35"/>
        <v>-2.618036487529281</v>
      </c>
      <c r="AD60" s="2"/>
      <c r="AE60" s="2"/>
      <c r="AF60" s="2"/>
      <c r="AG60" s="2"/>
      <c r="AH60" s="2"/>
    </row>
    <row r="61" spans="1:34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7"/>
      <c r="Y61" s="2"/>
      <c r="Z61" s="33">
        <f t="shared" si="36"/>
        <v>20</v>
      </c>
      <c r="AA61" s="35">
        <f t="shared" si="34"/>
        <v>0.39200000000000002</v>
      </c>
      <c r="AB61" s="36">
        <v>376533.64921092626</v>
      </c>
      <c r="AC61" s="40">
        <f t="shared" si="35"/>
        <v>-5.2360729750585469</v>
      </c>
      <c r="AD61" s="2"/>
      <c r="AE61" s="2"/>
      <c r="AF61" s="2"/>
      <c r="AG61" s="2"/>
      <c r="AH61" s="2"/>
    </row>
    <row r="62" spans="1:34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7"/>
      <c r="Y62" s="2"/>
      <c r="Z62" s="33">
        <f t="shared" si="36"/>
        <v>30</v>
      </c>
      <c r="AA62" s="35">
        <f t="shared" si="34"/>
        <v>0.34299999999999997</v>
      </c>
      <c r="AB62" s="36">
        <v>366131.18000809033</v>
      </c>
      <c r="AC62" s="40">
        <f t="shared" si="35"/>
        <v>-7.8541094625877976</v>
      </c>
      <c r="AD62" s="2"/>
      <c r="AE62" s="2"/>
      <c r="AF62" s="2"/>
      <c r="AG62" s="2"/>
      <c r="AH62" s="2"/>
    </row>
    <row r="63" spans="1:34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7"/>
      <c r="Y63" s="2"/>
      <c r="Z63" s="33">
        <f t="shared" si="36"/>
        <v>40</v>
      </c>
      <c r="AA63" s="35">
        <f t="shared" si="34"/>
        <v>0.29399999999999998</v>
      </c>
      <c r="AB63" s="36">
        <v>355728.71080525429</v>
      </c>
      <c r="AC63" s="40">
        <f t="shared" si="35"/>
        <v>-10.472145950117079</v>
      </c>
      <c r="AD63" s="2"/>
      <c r="AE63" s="2"/>
      <c r="AF63" s="2"/>
      <c r="AG63" s="2"/>
      <c r="AH63" s="2"/>
    </row>
    <row r="64" spans="1:34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7"/>
      <c r="Y64" s="2"/>
      <c r="Z64" s="33">
        <f t="shared" si="36"/>
        <v>50</v>
      </c>
      <c r="AA64" s="35">
        <f t="shared" si="34"/>
        <v>0.245</v>
      </c>
      <c r="AB64" s="36">
        <v>345326.2416024183</v>
      </c>
      <c r="AC64" s="40">
        <f t="shared" si="35"/>
        <v>-13.090182437646348</v>
      </c>
      <c r="AD64" s="2"/>
      <c r="AE64" s="2"/>
      <c r="AF64" s="2"/>
      <c r="AG64" s="2"/>
      <c r="AH64" s="2"/>
    </row>
    <row r="65" spans="1:34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7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7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7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:34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:34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4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4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spans="1:34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spans="1:34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4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:34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4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spans="1:34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:34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spans="1:34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spans="1:34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spans="1:34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4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:34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spans="1:34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4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spans="1:34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:34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spans="1:34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spans="1:34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:34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:34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spans="1:34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spans="1:34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spans="1:34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spans="1:34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spans="1:34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spans="1:34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spans="1:34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spans="1:34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spans="1:34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spans="1:34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spans="1:34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spans="1:34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spans="1:34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spans="1:34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:34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spans="1:34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spans="1:34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4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spans="1:34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spans="1:34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:34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spans="1:34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spans="1:34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:34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spans="1:34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spans="1:34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4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spans="1:34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spans="1:34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spans="1:34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spans="1:34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spans="1:34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:34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spans="1:34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spans="1:34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spans="1:34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:34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spans="1:34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spans="1:34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spans="1:34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spans="1:34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spans="1:34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spans="1:34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spans="1:34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spans="1:34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spans="1:34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spans="1:34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spans="1:34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spans="1:34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spans="1:34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spans="1:34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spans="1:34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spans="1:34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spans="1:34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4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spans="1:34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34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spans="1:34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spans="1:34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spans="1:34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4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spans="1:34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spans="1:34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spans="1:34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spans="1:34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spans="1:34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spans="1:34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spans="1:34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spans="1:34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spans="1:34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spans="1:34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spans="1:34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spans="1:34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4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spans="1:34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spans="1:34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spans="1:34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spans="1:34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spans="1:34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spans="1:34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spans="1:34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spans="1:34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spans="1:34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spans="1:34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spans="1:34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spans="1:34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spans="1:34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spans="1:34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spans="1:34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spans="1:34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spans="1:34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spans="1:34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spans="1:34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spans="1:34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spans="1:34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34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34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spans="1:34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spans="1:34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spans="1:34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spans="1:34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spans="1:34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spans="1:34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spans="1:34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spans="1:34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spans="1:34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spans="1:34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spans="1:34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spans="1:34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spans="1:34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spans="1:34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spans="1:34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spans="1:34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spans="1:34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spans="1:34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:34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spans="1:34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spans="1:34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spans="1:34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spans="1:34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spans="1:34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:34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spans="1:34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spans="1:34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spans="1:34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spans="1:34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spans="1:34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spans="1:34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spans="1:34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spans="1:34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spans="1:34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spans="1:34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spans="1:34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spans="1:34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spans="1:34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spans="1:34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spans="1:34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spans="1:34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spans="1:34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spans="1:34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spans="1:34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spans="1:34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spans="1:34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spans="1:34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spans="1:34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spans="1:34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spans="1:34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spans="1:34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spans="1:34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spans="1:34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spans="1:34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spans="1:34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spans="1:34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spans="1:34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spans="1:34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spans="1:34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spans="1:34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spans="1:34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spans="1:34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spans="1:34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spans="1:34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spans="1:34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spans="1:34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spans="1:34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spans="1:34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spans="1:34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spans="1:34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spans="1:34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spans="1:34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spans="1:34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spans="1:34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spans="1:34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spans="1:34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spans="1:34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spans="1:34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spans="1:34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spans="1:34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spans="1:34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spans="1:34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spans="1:34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spans="1:34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spans="1:34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spans="1:34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spans="1:34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spans="1:34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spans="1:34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spans="1:34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spans="1:34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spans="1:34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spans="1:34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spans="1:34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spans="1:34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spans="1:34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spans="1:34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spans="1:34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spans="1:34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spans="1:34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spans="1:34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spans="1:34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spans="1:34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spans="1:34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spans="1:34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spans="1:34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spans="1:34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spans="1:34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spans="1:34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spans="1:34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spans="1:34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spans="1:34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spans="1:34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spans="1:34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spans="1:34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spans="1:34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spans="1:34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spans="1:34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spans="1:34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spans="1:34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spans="1:34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spans="1:34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spans="1:34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spans="1:34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spans="1:34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spans="1:34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spans="1:34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spans="1:34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spans="1:34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spans="1:34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spans="1:34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spans="1:34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spans="1:34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spans="1:34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spans="1:34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spans="1:34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spans="1:34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spans="1:34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spans="1:34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spans="1:34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spans="1:34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spans="1:34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spans="1:34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spans="1:34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spans="1:34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spans="1:34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spans="1:34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spans="1:34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spans="1:34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spans="1:34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spans="1:34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spans="1:34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spans="1:34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spans="1:34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spans="1:34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spans="1:34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spans="1:34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spans="1:34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spans="1:34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spans="1:34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spans="1:34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spans="1:34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spans="1:34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spans="1:34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spans="1:34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spans="1:34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spans="1:34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spans="1:34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spans="1:34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spans="1:34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spans="1:34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spans="1:34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spans="1:34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spans="1:34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spans="1:34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spans="1:34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spans="1:34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spans="1:34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spans="1:34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spans="1:34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spans="1:34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spans="1:34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spans="1:34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spans="1:34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spans="1:34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spans="1:34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spans="1:34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spans="1:34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spans="1:34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spans="1:34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spans="1:34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spans="1:34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spans="1:34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spans="1:34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spans="1:34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spans="1:34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spans="1:34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spans="1:34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spans="1:34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spans="1:34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spans="1:34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spans="1:34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spans="1:34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spans="1:34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spans="1:34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spans="1:34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spans="1:34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spans="1:34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spans="1:34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spans="1:34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spans="1:34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spans="1:34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spans="1:34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spans="1:34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spans="1:34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spans="1:34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spans="1:34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spans="1:34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spans="1:34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spans="1:34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spans="1:34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spans="1:34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spans="1:34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spans="1:34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spans="1:34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spans="1:34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spans="1:34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spans="1:34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spans="1:34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spans="1:34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spans="1:34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spans="1:34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spans="1:34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spans="1:34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spans="1:34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spans="1:34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spans="1:34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spans="1:34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spans="1:34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spans="1:34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spans="1:34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spans="1:34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spans="1:34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spans="1:34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spans="1:34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spans="1:34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spans="1:34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spans="1:34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spans="1:34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spans="1:34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spans="1:34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spans="1:34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spans="1:34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spans="1:34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spans="1:34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spans="1:34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spans="1:34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spans="1:34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spans="1:34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spans="1:34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spans="1:34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spans="1:34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spans="1:34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spans="1:34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spans="1:34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spans="1:34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spans="1:34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spans="1:34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spans="1:34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spans="1:34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spans="1:34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spans="1:34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spans="1:34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spans="1:34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spans="1:34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spans="1:34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spans="1:34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spans="1:34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spans="1:34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spans="1:34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spans="1:34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spans="1:34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spans="1:34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spans="1:34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spans="1:34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spans="1:34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spans="1:34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spans="1:34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spans="1:34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spans="1:34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spans="1:34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spans="1:34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spans="1:34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spans="1:34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spans="1:34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spans="1:34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spans="1:34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spans="1:34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spans="1:34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spans="1:34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spans="1:34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spans="1:34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spans="1:34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spans="1:34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spans="1:34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spans="1:34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spans="1:34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spans="1:34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spans="1:34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spans="1:34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spans="1:34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spans="1:34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spans="1:34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spans="1:34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spans="1:34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spans="1:34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spans="1:34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spans="1:34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spans="1:34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spans="1:34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spans="1:34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spans="1:34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spans="1:34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spans="1:34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spans="1:34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spans="1:34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spans="1:34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spans="1:34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spans="1:34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spans="1:34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spans="1:34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spans="1:34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spans="1:34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spans="1:34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spans="1:34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spans="1:34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spans="1:34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spans="1:34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spans="1:34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spans="1:34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spans="1:34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spans="1:34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spans="1:34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spans="1:34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spans="1:34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spans="1:34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spans="1:34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spans="1:34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spans="1:34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spans="1:34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spans="1:34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spans="1:34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spans="1:34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spans="1:34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spans="1:34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spans="1:34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spans="1:34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spans="1:34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spans="1:34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spans="1:34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spans="1:34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spans="1:34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spans="1:34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spans="1:34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spans="1:34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spans="1:34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spans="1:34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spans="1:34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spans="1:34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spans="1:34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spans="1:34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spans="1:34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spans="1:34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spans="1:34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spans="1:34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spans="1:34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spans="1:34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spans="1:34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spans="1:34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spans="1:34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spans="1:34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spans="1:34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spans="1:34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spans="1:34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spans="1:34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spans="1:34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spans="1:34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spans="1:34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spans="1:34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spans="1:34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spans="1:34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spans="1:34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spans="1:34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spans="1:34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spans="1:34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spans="1:34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spans="1:34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spans="1:34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spans="1:34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spans="1:34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spans="1:34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spans="1:34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spans="1:34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spans="1:34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spans="1:34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spans="1:34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spans="1:34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spans="1:34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spans="1:34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spans="1:34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spans="1:34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spans="1:34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spans="1:34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spans="1:34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spans="1:34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spans="1:34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spans="1:34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spans="1:34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spans="1:34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spans="1:34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spans="1:34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spans="1:34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spans="1:34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spans="1:34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spans="1:34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spans="1:34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spans="1:34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spans="1:34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spans="1:34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spans="1:34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spans="1:34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spans="1:34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spans="1:34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spans="1:34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spans="1:34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spans="1:34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spans="1:34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spans="1:34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spans="1:34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spans="1:34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spans="1:34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spans="1:34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spans="1:34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spans="1:34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spans="1:34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spans="1:34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spans="1:34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spans="1:34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spans="1:34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spans="1:34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spans="1:34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spans="1:34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spans="1:34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spans="1:34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spans="1:34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spans="1:34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spans="1:34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spans="1:34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spans="1:34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spans="1:34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spans="1:34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spans="1:34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spans="1:34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spans="1:34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spans="1:34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spans="1:34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spans="1:34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spans="1:34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spans="1:34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spans="1:34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spans="1:34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spans="1:34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spans="1:34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spans="1:34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spans="1:34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spans="1:34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spans="1:34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spans="1:34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spans="1:34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spans="1:34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spans="1:34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spans="1:34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spans="1:34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spans="1:34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spans="1:34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spans="1:34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spans="1:34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spans="1:34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spans="1:34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spans="1:34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spans="1:34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spans="1:34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spans="1:34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spans="1:34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spans="1:34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spans="1:34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spans="1:34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spans="1:34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spans="1:34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spans="1:34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spans="1:34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spans="1:34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spans="1:34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spans="1:34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spans="1:34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spans="1:34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spans="1:34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spans="1:34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spans="1:34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spans="1:34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spans="1:34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spans="1:34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spans="1:34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spans="1:34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spans="1:34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spans="1:34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spans="1:34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spans="1:34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spans="1:34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spans="1:34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spans="1:34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spans="1:34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spans="1:34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spans="1:34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spans="1:34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spans="1:34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spans="1:34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spans="1:34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spans="1:34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spans="1:34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spans="1:34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spans="1:34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spans="1:34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spans="1:34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spans="1:34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spans="1:34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spans="1:34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</sheetData>
  <pageMargins left="0.7" right="0.7" top="0.75" bottom="0.75" header="0" footer="0"/>
  <pageSetup orientation="landscape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AY1000"/>
  <sheetViews>
    <sheetView topLeftCell="F7" zoomScale="90" zoomScaleNormal="90" workbookViewId="0">
      <selection activeCell="J8" sqref="J8:J26"/>
    </sheetView>
  </sheetViews>
  <sheetFormatPr defaultColWidth="14.42578125" defaultRowHeight="15" customHeight="1" x14ac:dyDescent="0.25"/>
  <cols>
    <col min="1" max="1" width="52.7109375" customWidth="1"/>
    <col min="2" max="2" width="17.42578125" customWidth="1"/>
    <col min="3" max="3" width="16.28515625" customWidth="1"/>
    <col min="4" max="4" width="8.85546875" customWidth="1"/>
    <col min="5" max="5" width="48" customWidth="1"/>
    <col min="6" max="6" width="17" customWidth="1"/>
    <col min="7" max="7" width="8.85546875" customWidth="1"/>
    <col min="8" max="8" width="19.28515625" customWidth="1"/>
    <col min="9" max="9" width="37.85546875" customWidth="1"/>
    <col min="10" max="10" width="17.710937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33.7109375" customWidth="1"/>
    <col min="19" max="19" width="16.42578125" customWidth="1"/>
    <col min="20" max="20" width="11.140625" customWidth="1"/>
    <col min="21" max="22" width="31.28515625" customWidth="1"/>
    <col min="23" max="23" width="23.85546875" customWidth="1"/>
    <col min="24" max="25" width="13.42578125" customWidth="1"/>
    <col min="26" max="26" width="19.42578125" customWidth="1"/>
    <col min="27" max="27" width="12.28515625" customWidth="1"/>
    <col min="28" max="28" width="20.140625" customWidth="1"/>
    <col min="29" max="29" width="25.28515625" customWidth="1"/>
    <col min="30" max="30" width="12.85546875" customWidth="1"/>
    <col min="31" max="31" width="19" customWidth="1"/>
    <col min="32" max="32" width="4.7109375" customWidth="1"/>
    <col min="33" max="33" width="20.140625" customWidth="1"/>
    <col min="34" max="34" width="19.28515625" customWidth="1"/>
    <col min="35" max="35" width="11.28515625" customWidth="1"/>
    <col min="36" max="36" width="17.85546875" customWidth="1"/>
    <col min="37" max="38" width="8.85546875" customWidth="1"/>
    <col min="39" max="39" width="17.42578125" customWidth="1"/>
    <col min="40" max="40" width="9.7109375" customWidth="1"/>
    <col min="41" max="41" width="15.42578125" customWidth="1"/>
    <col min="42" max="42" width="8.85546875" customWidth="1"/>
    <col min="43" max="44" width="12.7109375" customWidth="1"/>
    <col min="45" max="51" width="8.85546875" customWidth="1"/>
  </cols>
  <sheetData>
    <row r="1" spans="1:51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x14ac:dyDescent="0.25">
      <c r="A2" s="1" t="s">
        <v>2</v>
      </c>
      <c r="B2" s="3">
        <f>X49</f>
        <v>110741.90617350317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x14ac:dyDescent="0.25">
      <c r="A3" s="2"/>
      <c r="B3" s="4">
        <f>B2/J33</f>
        <v>0.34508926599992262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" t="s">
        <v>7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x14ac:dyDescent="0.25">
      <c r="A5" s="2" t="s">
        <v>8</v>
      </c>
      <c r="B5" s="6">
        <v>10</v>
      </c>
      <c r="C5" s="2" t="s">
        <v>9</v>
      </c>
      <c r="D5" s="2"/>
      <c r="E5" s="2"/>
      <c r="F5" s="2"/>
      <c r="G5" s="2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x14ac:dyDescent="0.25">
      <c r="A7" s="8" t="s">
        <v>11</v>
      </c>
      <c r="B7" s="9"/>
      <c r="C7" s="9"/>
      <c r="D7" s="9"/>
      <c r="E7" s="9"/>
      <c r="F7" s="9"/>
      <c r="G7" s="9"/>
      <c r="H7" s="10"/>
      <c r="I7" s="11" t="s">
        <v>12</v>
      </c>
      <c r="J7" s="9"/>
      <c r="K7" s="9"/>
      <c r="L7" s="10"/>
      <c r="M7" s="2"/>
      <c r="N7" s="12" t="s">
        <v>13</v>
      </c>
      <c r="O7" s="12" t="s">
        <v>14</v>
      </c>
      <c r="P7" s="12" t="s">
        <v>15</v>
      </c>
      <c r="Q7" s="12" t="s">
        <v>16</v>
      </c>
      <c r="R7" s="12" t="s">
        <v>17</v>
      </c>
      <c r="S7" s="12" t="s">
        <v>18</v>
      </c>
      <c r="T7" s="12" t="s">
        <v>19</v>
      </c>
      <c r="U7" s="12" t="s">
        <v>20</v>
      </c>
      <c r="V7" s="12" t="s">
        <v>21</v>
      </c>
      <c r="W7" s="12" t="s">
        <v>22</v>
      </c>
      <c r="X7" s="13" t="s">
        <v>23</v>
      </c>
      <c r="Y7" s="1"/>
      <c r="Z7" s="2"/>
      <c r="AA7" s="2"/>
      <c r="AB7" s="2" t="s">
        <v>24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x14ac:dyDescent="0.25">
      <c r="A8" s="14" t="s">
        <v>25</v>
      </c>
      <c r="B8" s="15">
        <v>4.72</v>
      </c>
      <c r="C8" s="2" t="s">
        <v>26</v>
      </c>
      <c r="D8" s="2"/>
      <c r="E8" s="2"/>
      <c r="F8" s="2"/>
      <c r="G8" s="2"/>
      <c r="H8" s="16"/>
      <c r="I8" s="17" t="s">
        <v>197</v>
      </c>
      <c r="J8" s="6">
        <v>200980.64516129033</v>
      </c>
      <c r="K8" s="2" t="s">
        <v>28</v>
      </c>
      <c r="L8" s="18"/>
      <c r="M8" s="2"/>
      <c r="N8" s="12">
        <v>0</v>
      </c>
      <c r="O8" s="19">
        <f>F31</f>
        <v>21630.28144887917</v>
      </c>
      <c r="P8" s="12"/>
      <c r="Q8" s="12"/>
      <c r="R8" s="12"/>
      <c r="S8" s="12"/>
      <c r="T8" s="12"/>
      <c r="U8" s="12"/>
      <c r="V8" s="12"/>
      <c r="W8" s="12"/>
      <c r="X8" s="20">
        <f t="shared" ref="X8:X48" si="0">SUM(O8:W8)</f>
        <v>21630.28144887917</v>
      </c>
      <c r="Y8" s="3"/>
      <c r="Z8" s="6"/>
      <c r="AA8" s="2"/>
      <c r="AB8" s="21" t="s">
        <v>29</v>
      </c>
      <c r="AC8" s="22">
        <f>F36</f>
        <v>0.16737288135593223</v>
      </c>
      <c r="AD8" s="21" t="s">
        <v>30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x14ac:dyDescent="0.25">
      <c r="A9" s="14"/>
      <c r="B9" s="2"/>
      <c r="C9" s="2"/>
      <c r="D9" s="2"/>
      <c r="E9" s="2"/>
      <c r="F9" s="23"/>
      <c r="G9" s="2"/>
      <c r="H9" s="16"/>
      <c r="I9" s="17" t="s">
        <v>31</v>
      </c>
      <c r="J9" s="6">
        <v>105</v>
      </c>
      <c r="K9" s="2" t="s">
        <v>30</v>
      </c>
      <c r="L9" s="18"/>
      <c r="M9" s="2"/>
      <c r="N9" s="12">
        <v>1</v>
      </c>
      <c r="O9" s="12"/>
      <c r="P9" s="24">
        <f t="shared" ref="P9:P48" si="1">IF(N9&gt;0,IF(N9&lt;=$J$21,(($F$32+$F$33)/$J$21)/((1+($F$11/100))^N9),0),0)</f>
        <v>12180.251820324404</v>
      </c>
      <c r="Q9" s="25">
        <f t="shared" ref="Q9:Q48" si="2">IF(N9&gt;0,($F$41*((1+($F$14/100))^(N9-1)))/((1+($F$11/100))^N9),0)</f>
        <v>971.91870056497191</v>
      </c>
      <c r="R9" s="25">
        <f t="shared" ref="R9:R48" si="3">IF(N9&gt;0,$F$40/((1+($F$11/100))^N9),0)</f>
        <v>0</v>
      </c>
      <c r="S9" s="25">
        <f t="shared" ref="S9:S48" si="4">IF(N9&gt;0,$J$35/((1+($F$11/100))^N9),0)</f>
        <v>3680.3056012913639</v>
      </c>
      <c r="T9" s="25">
        <f t="shared" ref="T9:T48" si="5">IF(N9&gt;0,($F$17/$B$8)/((1+($F$11/100))^N9),0)</f>
        <v>0</v>
      </c>
      <c r="U9" s="25">
        <f t="shared" ref="U9:U48" si="6">IF(AND(MOD(N9,$J$31)=0,N9&gt;0),$B$47/((1+($F$11/100))^N9),0)</f>
        <v>0</v>
      </c>
      <c r="V9" s="25">
        <f t="shared" ref="V9:V48" si="7">IF(N9&gt;0,$J$32/((1+($F$11/100))^N9),0)</f>
        <v>0</v>
      </c>
      <c r="W9" s="24">
        <f t="shared" ref="W9:W18" si="8">IF(N9=$B$5,((((1-$J$15/100)^N9)*$B$47+((1-$J$16/100)^N9)*$B$48)/((1+($F$11/100))^N9))*-1,0)</f>
        <v>0</v>
      </c>
      <c r="X9" s="20">
        <f t="shared" si="0"/>
        <v>16832.476122180742</v>
      </c>
      <c r="Y9" s="3"/>
      <c r="Z9" s="6"/>
      <c r="AA9" s="2"/>
      <c r="AB9" s="21" t="s">
        <v>32</v>
      </c>
      <c r="AC9" s="26">
        <f>B49</f>
        <v>8505</v>
      </c>
      <c r="AD9" s="21" t="s">
        <v>3</v>
      </c>
      <c r="AE9" s="2"/>
      <c r="AF9" s="6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 x14ac:dyDescent="0.25">
      <c r="A10" s="27" t="s">
        <v>33</v>
      </c>
      <c r="B10" s="2"/>
      <c r="C10" s="2"/>
      <c r="D10" s="2"/>
      <c r="E10" s="1" t="s">
        <v>34</v>
      </c>
      <c r="F10" s="2"/>
      <c r="G10" s="2"/>
      <c r="H10" s="18"/>
      <c r="I10" s="17" t="s">
        <v>35</v>
      </c>
      <c r="J10" s="6">
        <v>81</v>
      </c>
      <c r="K10" s="2" t="s">
        <v>36</v>
      </c>
      <c r="L10" s="18"/>
      <c r="M10" s="2"/>
      <c r="N10" s="12">
        <f t="shared" ref="N10:N48" si="9">IF((N9+1)&gt;$B$5,,IF(N9=0,,N9+1))</f>
        <v>2</v>
      </c>
      <c r="O10" s="12"/>
      <c r="P10" s="24">
        <f t="shared" si="1"/>
        <v>11600.239828880383</v>
      </c>
      <c r="Q10" s="25">
        <f t="shared" si="2"/>
        <v>934.89322625773491</v>
      </c>
      <c r="R10" s="25">
        <f t="shared" si="3"/>
        <v>0</v>
      </c>
      <c r="S10" s="25">
        <f t="shared" si="4"/>
        <v>3505.0529536108229</v>
      </c>
      <c r="T10" s="25">
        <f t="shared" si="5"/>
        <v>0</v>
      </c>
      <c r="U10" s="25">
        <f t="shared" si="6"/>
        <v>0</v>
      </c>
      <c r="V10" s="25">
        <f t="shared" si="7"/>
        <v>0</v>
      </c>
      <c r="W10" s="24">
        <f t="shared" si="8"/>
        <v>0</v>
      </c>
      <c r="X10" s="20">
        <f t="shared" si="0"/>
        <v>16040.18600874894</v>
      </c>
      <c r="Y10" s="3"/>
      <c r="Z10" s="6"/>
      <c r="AA10" s="2"/>
      <c r="AB10" s="21" t="s">
        <v>172</v>
      </c>
      <c r="AC10" s="28">
        <f>B54</f>
        <v>72100.938162930572</v>
      </c>
      <c r="AD10" s="21" t="s">
        <v>3</v>
      </c>
      <c r="AE10" s="2"/>
      <c r="AF10" s="6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 x14ac:dyDescent="0.25">
      <c r="A11" s="30" t="s">
        <v>37</v>
      </c>
      <c r="B11" s="2">
        <v>2500</v>
      </c>
      <c r="C11" s="2" t="s">
        <v>28</v>
      </c>
      <c r="D11" s="2"/>
      <c r="E11" s="17" t="s">
        <v>38</v>
      </c>
      <c r="F11" s="2">
        <v>5</v>
      </c>
      <c r="G11" s="2" t="s">
        <v>39</v>
      </c>
      <c r="H11" s="18"/>
      <c r="I11" s="17" t="s">
        <v>40</v>
      </c>
      <c r="J11" s="6">
        <v>900</v>
      </c>
      <c r="K11" s="2" t="s">
        <v>41</v>
      </c>
      <c r="L11" s="18"/>
      <c r="M11" s="2"/>
      <c r="N11" s="12">
        <f t="shared" si="9"/>
        <v>3</v>
      </c>
      <c r="O11" s="12"/>
      <c r="P11" s="24">
        <f t="shared" si="1"/>
        <v>11047.847456076555</v>
      </c>
      <c r="Q11" s="25">
        <f t="shared" si="2"/>
        <v>899.27824620982108</v>
      </c>
      <c r="R11" s="25">
        <f t="shared" si="3"/>
        <v>0</v>
      </c>
      <c r="S11" s="25">
        <f t="shared" si="4"/>
        <v>3338.1456701055454</v>
      </c>
      <c r="T11" s="25">
        <f t="shared" si="5"/>
        <v>0</v>
      </c>
      <c r="U11" s="25">
        <f t="shared" si="6"/>
        <v>0</v>
      </c>
      <c r="V11" s="25">
        <f t="shared" si="7"/>
        <v>0</v>
      </c>
      <c r="W11" s="24">
        <f t="shared" si="8"/>
        <v>0</v>
      </c>
      <c r="X11" s="20">
        <f t="shared" si="0"/>
        <v>15285.271372391921</v>
      </c>
      <c r="Y11" s="3"/>
      <c r="Z11" s="6"/>
      <c r="AA11" s="2"/>
      <c r="AB11" s="21" t="s">
        <v>42</v>
      </c>
      <c r="AC11" s="29">
        <f>F12</f>
        <v>32090.799999999999</v>
      </c>
      <c r="AD11" s="21" t="s">
        <v>43</v>
      </c>
      <c r="AE11" s="2"/>
      <c r="AF11" s="6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 x14ac:dyDescent="0.25">
      <c r="A12" s="30" t="s">
        <v>44</v>
      </c>
      <c r="B12" s="2">
        <v>0</v>
      </c>
      <c r="C12" s="2" t="s">
        <v>39</v>
      </c>
      <c r="D12" s="2"/>
      <c r="E12" s="17" t="s">
        <v>45</v>
      </c>
      <c r="F12" s="59">
        <v>32090.799999999999</v>
      </c>
      <c r="G12" s="2" t="s">
        <v>43</v>
      </c>
      <c r="H12" s="18"/>
      <c r="I12" s="17" t="s">
        <v>46</v>
      </c>
      <c r="J12" s="6">
        <v>200</v>
      </c>
      <c r="K12" s="2" t="s">
        <v>47</v>
      </c>
      <c r="L12" s="18"/>
      <c r="M12" s="2"/>
      <c r="N12" s="12">
        <f t="shared" si="9"/>
        <v>4</v>
      </c>
      <c r="O12" s="12"/>
      <c r="P12" s="24">
        <f t="shared" si="1"/>
        <v>10521.759481977673</v>
      </c>
      <c r="Q12" s="25">
        <f t="shared" si="2"/>
        <v>865.02002730658978</v>
      </c>
      <c r="R12" s="25">
        <f t="shared" si="3"/>
        <v>0</v>
      </c>
      <c r="S12" s="25">
        <f t="shared" si="4"/>
        <v>3179.1863524814721</v>
      </c>
      <c r="T12" s="25">
        <f t="shared" si="5"/>
        <v>0</v>
      </c>
      <c r="U12" s="25">
        <f t="shared" si="6"/>
        <v>0</v>
      </c>
      <c r="V12" s="25">
        <f t="shared" si="7"/>
        <v>0</v>
      </c>
      <c r="W12" s="24">
        <f t="shared" si="8"/>
        <v>0</v>
      </c>
      <c r="X12" s="20">
        <f t="shared" si="0"/>
        <v>14565.965861765735</v>
      </c>
      <c r="Y12" s="3"/>
      <c r="Z12" s="6"/>
      <c r="AA12" s="2"/>
      <c r="AB12" s="31" t="s">
        <v>48</v>
      </c>
      <c r="AC12" s="28">
        <f>J39</f>
        <v>1925.4479999999996</v>
      </c>
      <c r="AD12" s="21" t="s">
        <v>49</v>
      </c>
      <c r="AE12" s="2"/>
      <c r="AF12" s="6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x14ac:dyDescent="0.25">
      <c r="A13" s="2" t="s">
        <v>50</v>
      </c>
      <c r="B13" s="2">
        <v>24</v>
      </c>
      <c r="C13" s="2" t="s">
        <v>39</v>
      </c>
      <c r="D13" s="2"/>
      <c r="E13" s="17" t="s">
        <v>29</v>
      </c>
      <c r="F13" s="15">
        <v>0.79</v>
      </c>
      <c r="G13" s="2" t="s">
        <v>51</v>
      </c>
      <c r="H13" s="18"/>
      <c r="I13" s="17" t="s">
        <v>52</v>
      </c>
      <c r="J13" s="2">
        <v>30</v>
      </c>
      <c r="K13" s="2" t="s">
        <v>53</v>
      </c>
      <c r="L13" s="18"/>
      <c r="M13" s="2"/>
      <c r="N13" s="12">
        <f t="shared" si="9"/>
        <v>5</v>
      </c>
      <c r="O13" s="12"/>
      <c r="P13" s="24">
        <f t="shared" si="1"/>
        <v>10020.723316169211</v>
      </c>
      <c r="Q13" s="25">
        <f t="shared" si="2"/>
        <v>832.06688340919584</v>
      </c>
      <c r="R13" s="25">
        <f t="shared" si="3"/>
        <v>0</v>
      </c>
      <c r="S13" s="25">
        <f t="shared" si="4"/>
        <v>3027.79652617283</v>
      </c>
      <c r="T13" s="25">
        <f t="shared" si="5"/>
        <v>0</v>
      </c>
      <c r="U13" s="25">
        <f t="shared" si="6"/>
        <v>0</v>
      </c>
      <c r="V13" s="25">
        <f t="shared" si="7"/>
        <v>0</v>
      </c>
      <c r="W13" s="24">
        <f t="shared" si="8"/>
        <v>0</v>
      </c>
      <c r="X13" s="20">
        <f t="shared" si="0"/>
        <v>13880.586725751236</v>
      </c>
      <c r="Y13" s="3"/>
      <c r="Z13" s="6"/>
      <c r="AA13" s="2"/>
      <c r="AB13" s="2" t="s">
        <v>171</v>
      </c>
      <c r="AC13" s="6">
        <f>J26</f>
        <v>100</v>
      </c>
      <c r="AD13" s="2" t="s">
        <v>160</v>
      </c>
      <c r="AE13" s="2"/>
      <c r="AF13" s="6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" x14ac:dyDescent="0.25">
      <c r="A14" s="30" t="s">
        <v>54</v>
      </c>
      <c r="B14" s="2">
        <v>0</v>
      </c>
      <c r="C14" s="2" t="s">
        <v>39</v>
      </c>
      <c r="D14" s="2"/>
      <c r="E14" s="17" t="s">
        <v>55</v>
      </c>
      <c r="F14" s="2">
        <v>1</v>
      </c>
      <c r="G14" s="2" t="s">
        <v>56</v>
      </c>
      <c r="H14" s="18"/>
      <c r="I14" s="17" t="s">
        <v>57</v>
      </c>
      <c r="J14" s="5">
        <v>20</v>
      </c>
      <c r="K14" s="2" t="s">
        <v>39</v>
      </c>
      <c r="L14" s="18"/>
      <c r="M14" s="2"/>
      <c r="N14" s="12">
        <f t="shared" si="9"/>
        <v>6</v>
      </c>
      <c r="O14" s="12"/>
      <c r="P14" s="24">
        <f t="shared" si="1"/>
        <v>0</v>
      </c>
      <c r="Q14" s="25">
        <f t="shared" si="2"/>
        <v>800.36909737455994</v>
      </c>
      <c r="R14" s="25">
        <f t="shared" si="3"/>
        <v>0</v>
      </c>
      <c r="S14" s="25">
        <f t="shared" si="4"/>
        <v>2883.6157392122195</v>
      </c>
      <c r="T14" s="25">
        <f t="shared" si="5"/>
        <v>0</v>
      </c>
      <c r="U14" s="25">
        <f t="shared" si="6"/>
        <v>6346.5619483945184</v>
      </c>
      <c r="V14" s="25">
        <f t="shared" si="7"/>
        <v>0</v>
      </c>
      <c r="W14" s="24">
        <f t="shared" si="8"/>
        <v>0</v>
      </c>
      <c r="X14" s="20">
        <f t="shared" si="0"/>
        <v>10030.546784981298</v>
      </c>
      <c r="Y14" s="3"/>
      <c r="Z14" s="6"/>
      <c r="AA14" s="2"/>
      <c r="AB14" s="2" t="s">
        <v>196</v>
      </c>
      <c r="AC14" s="15">
        <f>J17</f>
        <v>0.19</v>
      </c>
      <c r="AD14" s="2" t="s">
        <v>67</v>
      </c>
      <c r="AE14" s="2"/>
      <c r="AF14" s="6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 x14ac:dyDescent="0.25">
      <c r="A15" s="2" t="s">
        <v>134</v>
      </c>
      <c r="B15" s="2">
        <v>0</v>
      </c>
      <c r="C15" s="2" t="s">
        <v>39</v>
      </c>
      <c r="D15" s="2"/>
      <c r="E15" s="17" t="s">
        <v>59</v>
      </c>
      <c r="F15" s="2">
        <v>0</v>
      </c>
      <c r="G15" s="2" t="s">
        <v>60</v>
      </c>
      <c r="H15" s="18"/>
      <c r="I15" s="17" t="s">
        <v>61</v>
      </c>
      <c r="J15" s="2">
        <v>7.08</v>
      </c>
      <c r="K15" s="2" t="s">
        <v>62</v>
      </c>
      <c r="L15" s="18"/>
      <c r="M15" s="2"/>
      <c r="N15" s="12">
        <f t="shared" si="9"/>
        <v>7</v>
      </c>
      <c r="O15" s="12"/>
      <c r="P15" s="24">
        <f t="shared" si="1"/>
        <v>0</v>
      </c>
      <c r="Q15" s="25">
        <f t="shared" si="2"/>
        <v>769.87884604600526</v>
      </c>
      <c r="R15" s="25">
        <f t="shared" si="3"/>
        <v>0</v>
      </c>
      <c r="S15" s="25">
        <f t="shared" si="4"/>
        <v>2746.3007040116372</v>
      </c>
      <c r="T15" s="25">
        <f t="shared" si="5"/>
        <v>0</v>
      </c>
      <c r="U15" s="25">
        <f t="shared" si="6"/>
        <v>0</v>
      </c>
      <c r="V15" s="25">
        <f t="shared" si="7"/>
        <v>0</v>
      </c>
      <c r="W15" s="24">
        <f t="shared" si="8"/>
        <v>0</v>
      </c>
      <c r="X15" s="20">
        <f t="shared" si="0"/>
        <v>3516.1795500576427</v>
      </c>
      <c r="Y15" s="3"/>
      <c r="Z15" s="6"/>
      <c r="AA15" s="2"/>
      <c r="AB15" s="2"/>
      <c r="AC15" s="2"/>
      <c r="AD15" s="2"/>
      <c r="AE15" s="2"/>
      <c r="AF15" s="6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 x14ac:dyDescent="0.25">
      <c r="A16" s="30" t="s">
        <v>183</v>
      </c>
      <c r="B16" s="2">
        <v>110</v>
      </c>
      <c r="C16" s="2" t="s">
        <v>28</v>
      </c>
      <c r="D16" s="2"/>
      <c r="E16" s="17" t="s">
        <v>63</v>
      </c>
      <c r="F16" s="2">
        <v>0</v>
      </c>
      <c r="G16" s="2" t="s">
        <v>60</v>
      </c>
      <c r="H16" s="18"/>
      <c r="I16" s="17" t="s">
        <v>64</v>
      </c>
      <c r="J16" s="2">
        <v>11</v>
      </c>
      <c r="K16" s="2" t="s">
        <v>62</v>
      </c>
      <c r="L16" s="18"/>
      <c r="M16" s="2"/>
      <c r="N16" s="12">
        <f t="shared" si="9"/>
        <v>8</v>
      </c>
      <c r="O16" s="12"/>
      <c r="P16" s="24">
        <f t="shared" si="1"/>
        <v>0</v>
      </c>
      <c r="Q16" s="25">
        <f t="shared" si="2"/>
        <v>740.55012810139544</v>
      </c>
      <c r="R16" s="25">
        <f t="shared" si="3"/>
        <v>0</v>
      </c>
      <c r="S16" s="25">
        <f t="shared" si="4"/>
        <v>2615.5244800110831</v>
      </c>
      <c r="T16" s="25">
        <f t="shared" si="5"/>
        <v>0</v>
      </c>
      <c r="U16" s="25">
        <f t="shared" si="6"/>
        <v>0</v>
      </c>
      <c r="V16" s="25">
        <f t="shared" si="7"/>
        <v>0</v>
      </c>
      <c r="W16" s="24">
        <f t="shared" si="8"/>
        <v>0</v>
      </c>
      <c r="X16" s="20">
        <f t="shared" si="0"/>
        <v>3356.0746081124785</v>
      </c>
      <c r="Y16" s="3"/>
      <c r="Z16" s="6"/>
      <c r="AA16" s="2"/>
      <c r="AB16" s="2"/>
      <c r="AC16" s="2"/>
      <c r="AD16" s="2"/>
      <c r="AE16" s="2"/>
      <c r="AF16" s="6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x14ac:dyDescent="0.25">
      <c r="A17" s="30" t="s">
        <v>184</v>
      </c>
      <c r="B17" s="2">
        <v>0</v>
      </c>
      <c r="C17" s="2" t="s">
        <v>39</v>
      </c>
      <c r="D17" s="2"/>
      <c r="E17" s="17" t="s">
        <v>65</v>
      </c>
      <c r="F17" s="2">
        <v>0</v>
      </c>
      <c r="G17" s="2" t="s">
        <v>60</v>
      </c>
      <c r="H17" s="18"/>
      <c r="I17" s="17" t="s">
        <v>66</v>
      </c>
      <c r="J17" s="15">
        <v>0.19</v>
      </c>
      <c r="K17" s="2" t="s">
        <v>67</v>
      </c>
      <c r="L17" s="18"/>
      <c r="M17" s="2"/>
      <c r="N17" s="12">
        <f t="shared" si="9"/>
        <v>9</v>
      </c>
      <c r="O17" s="12"/>
      <c r="P17" s="24">
        <f t="shared" si="1"/>
        <v>0</v>
      </c>
      <c r="Q17" s="25">
        <f t="shared" si="2"/>
        <v>712.33869464991392</v>
      </c>
      <c r="R17" s="25">
        <f t="shared" si="3"/>
        <v>0</v>
      </c>
      <c r="S17" s="25">
        <f t="shared" si="4"/>
        <v>2490.9756952486505</v>
      </c>
      <c r="T17" s="25">
        <f t="shared" si="5"/>
        <v>0</v>
      </c>
      <c r="U17" s="25">
        <f t="shared" si="6"/>
        <v>0</v>
      </c>
      <c r="V17" s="25">
        <f t="shared" si="7"/>
        <v>0</v>
      </c>
      <c r="W17" s="24">
        <f t="shared" si="8"/>
        <v>0</v>
      </c>
      <c r="X17" s="20">
        <f t="shared" si="0"/>
        <v>3203.3143898985645</v>
      </c>
      <c r="Y17" s="3"/>
      <c r="Z17" s="6"/>
      <c r="AA17" s="2"/>
      <c r="AB17" s="2"/>
      <c r="AC17" s="2"/>
      <c r="AD17" s="2"/>
      <c r="AE17" s="2"/>
      <c r="AF17" s="6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x14ac:dyDescent="0.25">
      <c r="A18" s="30" t="s">
        <v>68</v>
      </c>
      <c r="B18" s="2">
        <v>0</v>
      </c>
      <c r="C18" s="2" t="s">
        <v>39</v>
      </c>
      <c r="D18" s="2"/>
      <c r="E18" s="17" t="s">
        <v>69</v>
      </c>
      <c r="F18" s="6">
        <v>9013.68</v>
      </c>
      <c r="G18" s="2" t="s">
        <v>60</v>
      </c>
      <c r="H18" s="18"/>
      <c r="I18" s="74" t="s">
        <v>71</v>
      </c>
      <c r="J18" s="75">
        <v>0</v>
      </c>
      <c r="K18" s="76" t="s">
        <v>28</v>
      </c>
      <c r="L18" s="18"/>
      <c r="M18" s="2"/>
      <c r="N18" s="12">
        <f t="shared" si="9"/>
        <v>10</v>
      </c>
      <c r="O18" s="12"/>
      <c r="P18" s="24">
        <f t="shared" si="1"/>
        <v>0</v>
      </c>
      <c r="Q18" s="25">
        <f t="shared" si="2"/>
        <v>685.20198247277438</v>
      </c>
      <c r="R18" s="25">
        <f t="shared" si="3"/>
        <v>0</v>
      </c>
      <c r="S18" s="25">
        <f t="shared" si="4"/>
        <v>2372.357804998715</v>
      </c>
      <c r="T18" s="25">
        <f t="shared" si="5"/>
        <v>0</v>
      </c>
      <c r="U18" s="25">
        <f t="shared" si="6"/>
        <v>0</v>
      </c>
      <c r="V18" s="25">
        <f t="shared" si="7"/>
        <v>0</v>
      </c>
      <c r="W18" s="24">
        <f t="shared" si="8"/>
        <v>-10656.536486736057</v>
      </c>
      <c r="X18" s="20">
        <f t="shared" si="0"/>
        <v>-7598.9766992645673</v>
      </c>
      <c r="Y18" s="3"/>
      <c r="Z18" s="6"/>
      <c r="AA18" s="2"/>
      <c r="AB18" s="2"/>
      <c r="AC18" s="2"/>
      <c r="AD18" s="2"/>
      <c r="AE18" s="2"/>
      <c r="AF18" s="6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x14ac:dyDescent="0.25">
      <c r="A19" s="30" t="s">
        <v>70</v>
      </c>
      <c r="B19" s="2">
        <v>0</v>
      </c>
      <c r="C19" s="2" t="s">
        <v>39</v>
      </c>
      <c r="D19" s="2"/>
      <c r="E19" s="17" t="s">
        <v>48</v>
      </c>
      <c r="F19" s="7">
        <v>0.28319999999999995</v>
      </c>
      <c r="G19" s="2" t="s">
        <v>60</v>
      </c>
      <c r="H19" s="18"/>
      <c r="I19" s="95"/>
      <c r="J19" s="95"/>
      <c r="K19" s="95"/>
      <c r="L19" s="18"/>
      <c r="M19" s="2"/>
      <c r="N19" s="12">
        <f t="shared" si="9"/>
        <v>0</v>
      </c>
      <c r="O19" s="12"/>
      <c r="P19" s="24">
        <f t="shared" si="1"/>
        <v>0</v>
      </c>
      <c r="Q19" s="25">
        <f t="shared" si="2"/>
        <v>0</v>
      </c>
      <c r="R19" s="25">
        <f t="shared" si="3"/>
        <v>0</v>
      </c>
      <c r="S19" s="25">
        <f t="shared" si="4"/>
        <v>0</v>
      </c>
      <c r="T19" s="25">
        <f t="shared" si="5"/>
        <v>0</v>
      </c>
      <c r="U19" s="25">
        <f t="shared" si="6"/>
        <v>0</v>
      </c>
      <c r="V19" s="25">
        <f t="shared" si="7"/>
        <v>0</v>
      </c>
      <c r="W19" s="24">
        <f t="shared" ref="W19:W48" si="10">IF(N19=$B$5,((((1-$J$15/100)^N19)*$B$52+((1-$J$16/100)^N19)*$B$48)/((1+($F$11/100))^N19))*-1,0)</f>
        <v>0</v>
      </c>
      <c r="X19" s="20">
        <f t="shared" si="0"/>
        <v>0</v>
      </c>
      <c r="Y19" s="3"/>
      <c r="Z19" s="6"/>
      <c r="AA19" s="2"/>
      <c r="AB19" s="2"/>
      <c r="AC19" s="2"/>
      <c r="AD19" s="2"/>
      <c r="AE19" s="2"/>
      <c r="AF19" s="6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x14ac:dyDescent="0.25">
      <c r="A20" s="30" t="s">
        <v>72</v>
      </c>
      <c r="B20" s="2">
        <v>0</v>
      </c>
      <c r="C20" s="2" t="s">
        <v>39</v>
      </c>
      <c r="D20" s="2"/>
      <c r="E20" s="2" t="s">
        <v>177</v>
      </c>
      <c r="F20" s="60">
        <f>68.9*2</f>
        <v>137.80000000000001</v>
      </c>
      <c r="G20" s="2" t="s">
        <v>60</v>
      </c>
      <c r="H20" s="18"/>
      <c r="I20" s="1" t="s">
        <v>78</v>
      </c>
      <c r="J20" s="2"/>
      <c r="K20" s="2"/>
      <c r="L20" s="18"/>
      <c r="M20" s="2"/>
      <c r="N20" s="12">
        <f t="shared" si="9"/>
        <v>0</v>
      </c>
      <c r="O20" s="12"/>
      <c r="P20" s="24">
        <f t="shared" si="1"/>
        <v>0</v>
      </c>
      <c r="Q20" s="25">
        <f t="shared" si="2"/>
        <v>0</v>
      </c>
      <c r="R20" s="25">
        <f t="shared" si="3"/>
        <v>0</v>
      </c>
      <c r="S20" s="25">
        <f t="shared" si="4"/>
        <v>0</v>
      </c>
      <c r="T20" s="25">
        <f t="shared" si="5"/>
        <v>0</v>
      </c>
      <c r="U20" s="25">
        <f t="shared" si="6"/>
        <v>0</v>
      </c>
      <c r="V20" s="25">
        <f t="shared" si="7"/>
        <v>0</v>
      </c>
      <c r="W20" s="24">
        <f t="shared" si="10"/>
        <v>0</v>
      </c>
      <c r="X20" s="20">
        <f t="shared" si="0"/>
        <v>0</v>
      </c>
      <c r="Y20" s="3"/>
      <c r="Z20" s="6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14" t="s">
        <v>73</v>
      </c>
      <c r="B21" s="2">
        <v>10</v>
      </c>
      <c r="C21" s="2" t="s">
        <v>39</v>
      </c>
      <c r="D21" s="2"/>
      <c r="E21" s="2" t="s">
        <v>74</v>
      </c>
      <c r="F21" s="2">
        <v>0</v>
      </c>
      <c r="G21" s="2" t="s">
        <v>75</v>
      </c>
      <c r="H21" s="18"/>
      <c r="I21" s="17" t="s">
        <v>84</v>
      </c>
      <c r="J21" s="2">
        <v>5</v>
      </c>
      <c r="K21" s="2" t="s">
        <v>53</v>
      </c>
      <c r="L21" s="18"/>
      <c r="M21" s="2"/>
      <c r="N21" s="12">
        <f t="shared" si="9"/>
        <v>0</v>
      </c>
      <c r="O21" s="12"/>
      <c r="P21" s="24">
        <f t="shared" si="1"/>
        <v>0</v>
      </c>
      <c r="Q21" s="25">
        <f t="shared" si="2"/>
        <v>0</v>
      </c>
      <c r="R21" s="25">
        <f t="shared" si="3"/>
        <v>0</v>
      </c>
      <c r="S21" s="25">
        <f t="shared" si="4"/>
        <v>0</v>
      </c>
      <c r="T21" s="25">
        <f t="shared" si="5"/>
        <v>0</v>
      </c>
      <c r="U21" s="25">
        <f t="shared" si="6"/>
        <v>0</v>
      </c>
      <c r="V21" s="25">
        <f t="shared" si="7"/>
        <v>0</v>
      </c>
      <c r="W21" s="24">
        <f t="shared" si="10"/>
        <v>0</v>
      </c>
      <c r="X21" s="20">
        <f t="shared" si="0"/>
        <v>0</v>
      </c>
      <c r="Y21" s="3"/>
      <c r="Z21" s="6"/>
      <c r="AA21" s="2"/>
      <c r="AB21" s="32" t="s">
        <v>29</v>
      </c>
      <c r="AC21" s="33"/>
      <c r="AD21" s="33"/>
      <c r="AE21" s="33"/>
      <c r="AF21" s="2"/>
      <c r="AG21" s="32" t="s">
        <v>27</v>
      </c>
      <c r="AH21" s="33"/>
      <c r="AI21" s="33"/>
      <c r="AJ21" s="33"/>
      <c r="AK21" s="2"/>
      <c r="AL21" s="112" t="s">
        <v>187</v>
      </c>
      <c r="AM21" s="112" t="s">
        <v>188</v>
      </c>
      <c r="AN21" s="112" t="s">
        <v>189</v>
      </c>
      <c r="AO21" s="112" t="s">
        <v>32</v>
      </c>
      <c r="AP21" s="112" t="s">
        <v>190</v>
      </c>
      <c r="AQ21" s="112" t="s">
        <v>191</v>
      </c>
      <c r="AR21" s="117" t="str">
        <f>AB66</f>
        <v>Energy Efficiency</v>
      </c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14" t="s">
        <v>76</v>
      </c>
      <c r="B22" s="2">
        <v>8</v>
      </c>
      <c r="C22" s="2" t="s">
        <v>39</v>
      </c>
      <c r="D22" s="2"/>
      <c r="E22" s="17" t="s">
        <v>77</v>
      </c>
      <c r="F22" s="2">
        <v>5.34</v>
      </c>
      <c r="G22" s="2" t="s">
        <v>62</v>
      </c>
      <c r="H22" s="18"/>
      <c r="I22" s="17" t="s">
        <v>87</v>
      </c>
      <c r="J22" s="2">
        <v>30</v>
      </c>
      <c r="K22" s="2" t="s">
        <v>88</v>
      </c>
      <c r="L22" s="18"/>
      <c r="M22" s="2"/>
      <c r="N22" s="12">
        <f t="shared" si="9"/>
        <v>0</v>
      </c>
      <c r="O22" s="12"/>
      <c r="P22" s="24">
        <f t="shared" si="1"/>
        <v>0</v>
      </c>
      <c r="Q22" s="25">
        <f t="shared" si="2"/>
        <v>0</v>
      </c>
      <c r="R22" s="25">
        <f t="shared" si="3"/>
        <v>0</v>
      </c>
      <c r="S22" s="25">
        <f t="shared" si="4"/>
        <v>0</v>
      </c>
      <c r="T22" s="25">
        <f t="shared" si="5"/>
        <v>0</v>
      </c>
      <c r="U22" s="25">
        <f t="shared" si="6"/>
        <v>0</v>
      </c>
      <c r="V22" s="25">
        <f t="shared" si="7"/>
        <v>0</v>
      </c>
      <c r="W22" s="24">
        <f t="shared" si="10"/>
        <v>0</v>
      </c>
      <c r="X22" s="20">
        <f t="shared" si="0"/>
        <v>0</v>
      </c>
      <c r="Y22" s="3"/>
      <c r="Z22" s="6"/>
      <c r="AA22" s="2"/>
      <c r="AB22" s="33" t="s">
        <v>79</v>
      </c>
      <c r="AC22" s="33" t="s">
        <v>80</v>
      </c>
      <c r="AD22" s="33" t="s">
        <v>23</v>
      </c>
      <c r="AE22" s="33" t="s">
        <v>81</v>
      </c>
      <c r="AF22" s="2"/>
      <c r="AG22" s="33" t="s">
        <v>79</v>
      </c>
      <c r="AH22" s="33" t="s">
        <v>82</v>
      </c>
      <c r="AI22" s="33" t="s">
        <v>23</v>
      </c>
      <c r="AJ22" s="33" t="s">
        <v>81</v>
      </c>
      <c r="AK22" s="2"/>
      <c r="AL22" s="113">
        <v>-50</v>
      </c>
      <c r="AM22" s="114">
        <f>AJ24</f>
        <v>-34.766018580024785</v>
      </c>
      <c r="AN22" s="114">
        <f>AE24</f>
        <v>-3.7075015755678336</v>
      </c>
      <c r="AO22" s="115">
        <f t="shared" ref="AO22:AO32" si="11">AE39</f>
        <v>-5.823401105322775</v>
      </c>
      <c r="AP22" s="115">
        <f t="shared" ref="AP22:AP32" si="12">AJ39</f>
        <v>-16.151265605391131</v>
      </c>
      <c r="AQ22" s="115">
        <f>AE54</f>
        <v>-6.7128152249046291</v>
      </c>
      <c r="AR22" s="56">
        <f>AE69</f>
        <v>3.7075015755678336</v>
      </c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 t="s">
        <v>83</v>
      </c>
      <c r="B23" s="5">
        <v>310</v>
      </c>
      <c r="C23" s="2" t="s">
        <v>28</v>
      </c>
      <c r="D23" s="2"/>
      <c r="E23" s="2"/>
      <c r="F23" s="2"/>
      <c r="G23" s="2"/>
      <c r="H23" s="18"/>
      <c r="I23" s="89" t="s">
        <v>154</v>
      </c>
      <c r="J23" s="90"/>
      <c r="K23" s="90"/>
      <c r="L23" s="91"/>
      <c r="M23" s="2"/>
      <c r="N23" s="12">
        <f t="shared" si="9"/>
        <v>0</v>
      </c>
      <c r="O23" s="12"/>
      <c r="P23" s="24">
        <f t="shared" si="1"/>
        <v>0</v>
      </c>
      <c r="Q23" s="25">
        <f t="shared" si="2"/>
        <v>0</v>
      </c>
      <c r="R23" s="25">
        <f t="shared" si="3"/>
        <v>0</v>
      </c>
      <c r="S23" s="25">
        <f t="shared" si="4"/>
        <v>0</v>
      </c>
      <c r="T23" s="25">
        <f t="shared" si="5"/>
        <v>0</v>
      </c>
      <c r="U23" s="25">
        <f t="shared" si="6"/>
        <v>0</v>
      </c>
      <c r="V23" s="25">
        <f t="shared" si="7"/>
        <v>0</v>
      </c>
      <c r="W23" s="24">
        <f t="shared" si="10"/>
        <v>0</v>
      </c>
      <c r="X23" s="20">
        <f t="shared" si="0"/>
        <v>0</v>
      </c>
      <c r="Y23" s="3"/>
      <c r="Z23" s="6"/>
      <c r="AA23" s="2"/>
      <c r="AB23" s="33" t="s">
        <v>85</v>
      </c>
      <c r="AC23" s="35">
        <v>0.16737288135593223</v>
      </c>
      <c r="AD23" s="36">
        <f>X49</f>
        <v>110741.90617350317</v>
      </c>
      <c r="AE23" s="33"/>
      <c r="AF23" s="2"/>
      <c r="AG23" s="33" t="s">
        <v>85</v>
      </c>
      <c r="AH23" s="37">
        <v>72100.938162930572</v>
      </c>
      <c r="AI23" s="36">
        <f>X49</f>
        <v>110741.90617350317</v>
      </c>
      <c r="AJ23" s="33"/>
      <c r="AK23" s="2"/>
      <c r="AL23" s="113">
        <v>-40</v>
      </c>
      <c r="AM23" s="114">
        <f>AJ25</f>
        <v>-27.812814864019835</v>
      </c>
      <c r="AN23" s="114">
        <f t="shared" ref="AN23:AN32" si="13">AE25</f>
        <v>-2.9660012604542851</v>
      </c>
      <c r="AO23" s="115">
        <f t="shared" si="11"/>
        <v>-4.6587208842582255</v>
      </c>
      <c r="AP23" s="115">
        <f t="shared" si="12"/>
        <v>-9.3523364805844924</v>
      </c>
      <c r="AQ23" s="115">
        <f t="shared" ref="AQ23:AQ32" si="14">AE55</f>
        <v>-5.370252179923714</v>
      </c>
      <c r="AR23" s="56">
        <f t="shared" ref="AR23:AR32" si="15">AE70</f>
        <v>2.9660012604542461</v>
      </c>
      <c r="AS23" s="7"/>
      <c r="AT23" s="7"/>
      <c r="AU23" s="7"/>
      <c r="AV23" s="7"/>
      <c r="AW23" s="7"/>
      <c r="AX23" s="7"/>
      <c r="AY23" s="7"/>
    </row>
    <row r="24" spans="1:51" ht="15.75" customHeight="1" x14ac:dyDescent="0.25">
      <c r="A24" s="2" t="s">
        <v>178</v>
      </c>
      <c r="B24" s="2">
        <v>53</v>
      </c>
      <c r="C24" s="2" t="s">
        <v>28</v>
      </c>
      <c r="D24" s="2"/>
      <c r="E24" s="2"/>
      <c r="F24" s="2"/>
      <c r="G24" s="2"/>
      <c r="H24" s="18"/>
      <c r="I24" s="90" t="s">
        <v>155</v>
      </c>
      <c r="J24" s="92" t="s">
        <v>162</v>
      </c>
      <c r="K24" s="90"/>
      <c r="L24" s="91"/>
      <c r="M24" s="2"/>
      <c r="N24" s="12">
        <f t="shared" si="9"/>
        <v>0</v>
      </c>
      <c r="O24" s="12"/>
      <c r="P24" s="24">
        <f t="shared" si="1"/>
        <v>0</v>
      </c>
      <c r="Q24" s="25">
        <f t="shared" si="2"/>
        <v>0</v>
      </c>
      <c r="R24" s="25">
        <f t="shared" si="3"/>
        <v>0</v>
      </c>
      <c r="S24" s="25">
        <f t="shared" si="4"/>
        <v>0</v>
      </c>
      <c r="T24" s="25">
        <f t="shared" si="5"/>
        <v>0</v>
      </c>
      <c r="U24" s="25">
        <f t="shared" si="6"/>
        <v>0</v>
      </c>
      <c r="V24" s="25">
        <f t="shared" si="7"/>
        <v>0</v>
      </c>
      <c r="W24" s="24">
        <f t="shared" si="10"/>
        <v>0</v>
      </c>
      <c r="X24" s="20">
        <f t="shared" si="0"/>
        <v>0</v>
      </c>
      <c r="Y24" s="3"/>
      <c r="Z24" s="6"/>
      <c r="AA24" s="2"/>
      <c r="AB24" s="33">
        <f t="shared" ref="AB24:AB28" si="16">AB25-10</f>
        <v>-50</v>
      </c>
      <c r="AC24" s="35">
        <f t="shared" ref="AC24:AC34" si="17">$AC$23*(1+(AB24/100))</f>
        <v>8.3686440677966115E-2</v>
      </c>
      <c r="AD24" s="36">
        <f t="dataTable" ref="AD24:AD34" dt2D="0" dtr="0" r1="F36"/>
        <v>106636.14825730669</v>
      </c>
      <c r="AE24" s="40">
        <f t="shared" ref="AE24:AE34" si="18">100*((AD24-$AD$29)/$AD$29)</f>
        <v>-3.7075015755678336</v>
      </c>
      <c r="AF24" s="2"/>
      <c r="AG24" s="33">
        <f t="shared" ref="AG24:AG28" si="19">AG25-10</f>
        <v>-50</v>
      </c>
      <c r="AH24" s="37">
        <f t="shared" ref="AH24:AH34" si="20">$AH$23*(1+(AG24/100))</f>
        <v>36050.469081465286</v>
      </c>
      <c r="AI24" s="36">
        <f t="dataTable" ref="AI24:AI34" dt2D="0" dtr="0" r1="B54" ca="1"/>
        <v>72241.354497349443</v>
      </c>
      <c r="AJ24" s="40">
        <f t="shared" ref="AJ24:AJ34" si="21">100*((AI24-$AI$29)/$AI$29)</f>
        <v>-34.766018580024785</v>
      </c>
      <c r="AK24" s="2"/>
      <c r="AL24" s="113">
        <v>-30</v>
      </c>
      <c r="AM24" s="114">
        <f t="shared" ref="AM24:AM32" si="22">AJ26</f>
        <v>-20.859611148014885</v>
      </c>
      <c r="AN24" s="114">
        <f t="shared" si="13"/>
        <v>-2.2245009453407238</v>
      </c>
      <c r="AO24" s="115">
        <f t="shared" si="11"/>
        <v>-3.4940406631936498</v>
      </c>
      <c r="AP24" s="115">
        <f t="shared" si="12"/>
        <v>-7.0325298322543572</v>
      </c>
      <c r="AQ24" s="115">
        <f t="shared" si="14"/>
        <v>-4.0276891349427846</v>
      </c>
      <c r="AR24" s="56">
        <f t="shared" si="15"/>
        <v>2.2245009453406848</v>
      </c>
      <c r="AS24" s="7"/>
      <c r="AT24" s="7"/>
      <c r="AU24" s="7"/>
      <c r="AV24" s="7"/>
      <c r="AW24" s="7"/>
      <c r="AX24" s="7"/>
      <c r="AY24" s="7"/>
    </row>
    <row r="25" spans="1:51" ht="15.75" customHeight="1" x14ac:dyDescent="0.25">
      <c r="A25" s="2" t="s">
        <v>179</v>
      </c>
      <c r="B25" s="2">
        <v>90.1</v>
      </c>
      <c r="C25" s="2" t="s">
        <v>28</v>
      </c>
      <c r="D25" s="2"/>
      <c r="E25" s="2"/>
      <c r="F25" s="2"/>
      <c r="G25" s="2"/>
      <c r="H25" s="18"/>
      <c r="I25" s="93" t="s">
        <v>157</v>
      </c>
      <c r="J25" s="93">
        <v>1.3</v>
      </c>
      <c r="K25" s="93" t="s">
        <v>158</v>
      </c>
      <c r="L25" s="91"/>
      <c r="M25" s="2"/>
      <c r="N25" s="12">
        <f t="shared" si="9"/>
        <v>0</v>
      </c>
      <c r="O25" s="12"/>
      <c r="P25" s="24">
        <f t="shared" si="1"/>
        <v>0</v>
      </c>
      <c r="Q25" s="25">
        <f t="shared" si="2"/>
        <v>0</v>
      </c>
      <c r="R25" s="25">
        <f t="shared" si="3"/>
        <v>0</v>
      </c>
      <c r="S25" s="25">
        <f t="shared" si="4"/>
        <v>0</v>
      </c>
      <c r="T25" s="25">
        <f t="shared" si="5"/>
        <v>0</v>
      </c>
      <c r="U25" s="25">
        <f t="shared" si="6"/>
        <v>0</v>
      </c>
      <c r="V25" s="25">
        <f t="shared" si="7"/>
        <v>0</v>
      </c>
      <c r="W25" s="24">
        <f t="shared" si="10"/>
        <v>0</v>
      </c>
      <c r="X25" s="20">
        <f t="shared" si="0"/>
        <v>0</v>
      </c>
      <c r="Y25" s="3"/>
      <c r="Z25" s="6"/>
      <c r="AA25" s="2"/>
      <c r="AB25" s="33">
        <f t="shared" si="16"/>
        <v>-40</v>
      </c>
      <c r="AC25" s="35">
        <f t="shared" si="17"/>
        <v>0.10042372881355933</v>
      </c>
      <c r="AD25" s="36">
        <v>107457.29984054597</v>
      </c>
      <c r="AE25" s="40">
        <f t="shared" si="18"/>
        <v>-2.9660012604542851</v>
      </c>
      <c r="AF25" s="2"/>
      <c r="AG25" s="33">
        <f t="shared" si="19"/>
        <v>-40</v>
      </c>
      <c r="AH25" s="37">
        <f t="shared" si="20"/>
        <v>43260.56289775834</v>
      </c>
      <c r="AI25" s="36">
        <v>79941.464832580183</v>
      </c>
      <c r="AJ25" s="40">
        <f t="shared" si="21"/>
        <v>-27.812814864019835</v>
      </c>
      <c r="AK25" s="2"/>
      <c r="AL25" s="113">
        <v>-20</v>
      </c>
      <c r="AM25" s="114">
        <f t="shared" si="22"/>
        <v>-13.906407432009903</v>
      </c>
      <c r="AN25" s="114">
        <f t="shared" si="13"/>
        <v>-1.483000630227123</v>
      </c>
      <c r="AO25" s="115">
        <f t="shared" si="11"/>
        <v>-2.3293604421291256</v>
      </c>
      <c r="AP25" s="115">
        <f t="shared" si="12"/>
        <v>-4.7009360195125112</v>
      </c>
      <c r="AQ25" s="115">
        <f t="shared" si="14"/>
        <v>-2.6851260899618703</v>
      </c>
      <c r="AR25" s="56">
        <f t="shared" si="15"/>
        <v>1.4830006302271099</v>
      </c>
      <c r="AS25" s="7"/>
      <c r="AT25" s="7"/>
      <c r="AU25" s="7"/>
      <c r="AV25" s="7"/>
      <c r="AW25" s="7"/>
      <c r="AX25" s="7"/>
      <c r="AY25" s="7"/>
    </row>
    <row r="26" spans="1:51" ht="15.75" customHeight="1" x14ac:dyDescent="0.25">
      <c r="A26" s="42"/>
      <c r="B26" s="43"/>
      <c r="C26" s="43"/>
      <c r="D26" s="43"/>
      <c r="E26" s="43"/>
      <c r="F26" s="43"/>
      <c r="G26" s="43"/>
      <c r="H26" s="44"/>
      <c r="I26" s="43" t="s">
        <v>159</v>
      </c>
      <c r="J26" s="94">
        <f>J12/2</f>
        <v>100</v>
      </c>
      <c r="K26" s="43" t="s">
        <v>160</v>
      </c>
      <c r="L26" s="44"/>
      <c r="M26" s="2"/>
      <c r="N26" s="12">
        <f t="shared" si="9"/>
        <v>0</v>
      </c>
      <c r="O26" s="12"/>
      <c r="P26" s="24">
        <f t="shared" si="1"/>
        <v>0</v>
      </c>
      <c r="Q26" s="25">
        <f t="shared" si="2"/>
        <v>0</v>
      </c>
      <c r="R26" s="25">
        <f t="shared" si="3"/>
        <v>0</v>
      </c>
      <c r="S26" s="25">
        <f t="shared" si="4"/>
        <v>0</v>
      </c>
      <c r="T26" s="25">
        <f t="shared" si="5"/>
        <v>0</v>
      </c>
      <c r="U26" s="25">
        <f t="shared" si="6"/>
        <v>0</v>
      </c>
      <c r="V26" s="25">
        <f t="shared" si="7"/>
        <v>0</v>
      </c>
      <c r="W26" s="24">
        <f t="shared" si="10"/>
        <v>0</v>
      </c>
      <c r="X26" s="20">
        <f t="shared" si="0"/>
        <v>0</v>
      </c>
      <c r="Y26" s="3"/>
      <c r="Z26" s="6"/>
      <c r="AA26" s="2"/>
      <c r="AB26" s="33">
        <f t="shared" si="16"/>
        <v>-30</v>
      </c>
      <c r="AC26" s="35">
        <f t="shared" si="17"/>
        <v>0.11716101694915255</v>
      </c>
      <c r="AD26" s="36">
        <v>108278.45142378526</v>
      </c>
      <c r="AE26" s="40">
        <f t="shared" si="18"/>
        <v>-2.2245009453407238</v>
      </c>
      <c r="AF26" s="2"/>
      <c r="AG26" s="33">
        <f t="shared" si="19"/>
        <v>-30</v>
      </c>
      <c r="AH26" s="37">
        <f t="shared" si="20"/>
        <v>50470.656714051394</v>
      </c>
      <c r="AI26" s="36">
        <v>87641.575167810923</v>
      </c>
      <c r="AJ26" s="40">
        <f t="shared" si="21"/>
        <v>-20.859611148014885</v>
      </c>
      <c r="AK26" s="2"/>
      <c r="AL26" s="113">
        <v>-10</v>
      </c>
      <c r="AM26" s="114">
        <f t="shared" si="22"/>
        <v>-6.9532037160049516</v>
      </c>
      <c r="AN26" s="114">
        <f t="shared" si="13"/>
        <v>-0.74150031511357462</v>
      </c>
      <c r="AO26" s="115">
        <f t="shared" si="11"/>
        <v>-1.1646802210645499</v>
      </c>
      <c r="AP26" s="115">
        <f t="shared" si="12"/>
        <v>-2.3569656841382436</v>
      </c>
      <c r="AQ26" s="115">
        <f t="shared" si="14"/>
        <v>-1.3425630449809547</v>
      </c>
      <c r="AR26" s="56">
        <f t="shared" si="15"/>
        <v>0.7415003151135483</v>
      </c>
      <c r="AS26" s="7"/>
      <c r="AT26" s="7"/>
      <c r="AU26" s="7"/>
      <c r="AV26" s="7"/>
      <c r="AW26" s="7"/>
      <c r="AX26" s="7"/>
      <c r="AY26" s="7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6"/>
      <c r="K27" s="2"/>
      <c r="L27" s="2"/>
      <c r="M27" s="2"/>
      <c r="N27" s="12">
        <f t="shared" si="9"/>
        <v>0</v>
      </c>
      <c r="O27" s="12"/>
      <c r="P27" s="24">
        <f t="shared" si="1"/>
        <v>0</v>
      </c>
      <c r="Q27" s="25">
        <f t="shared" si="2"/>
        <v>0</v>
      </c>
      <c r="R27" s="25">
        <f t="shared" si="3"/>
        <v>0</v>
      </c>
      <c r="S27" s="25">
        <f t="shared" si="4"/>
        <v>0</v>
      </c>
      <c r="T27" s="25">
        <f t="shared" si="5"/>
        <v>0</v>
      </c>
      <c r="U27" s="25">
        <f t="shared" si="6"/>
        <v>0</v>
      </c>
      <c r="V27" s="25">
        <f t="shared" si="7"/>
        <v>0</v>
      </c>
      <c r="W27" s="24">
        <f t="shared" si="10"/>
        <v>0</v>
      </c>
      <c r="X27" s="20">
        <f t="shared" si="0"/>
        <v>0</v>
      </c>
      <c r="Y27" s="3"/>
      <c r="Z27" s="6"/>
      <c r="AA27" s="2"/>
      <c r="AB27" s="33">
        <f t="shared" si="16"/>
        <v>-20</v>
      </c>
      <c r="AC27" s="35">
        <f t="shared" si="17"/>
        <v>0.13389830508474579</v>
      </c>
      <c r="AD27" s="36">
        <v>109099.60300702459</v>
      </c>
      <c r="AE27" s="40">
        <f t="shared" si="18"/>
        <v>-1.483000630227123</v>
      </c>
      <c r="AF27" s="2"/>
      <c r="AG27" s="33">
        <f t="shared" si="19"/>
        <v>-20</v>
      </c>
      <c r="AH27" s="37">
        <f t="shared" si="20"/>
        <v>57680.750530344463</v>
      </c>
      <c r="AI27" s="36">
        <v>95341.685503041692</v>
      </c>
      <c r="AJ27" s="40">
        <f t="shared" si="21"/>
        <v>-13.906407432009903</v>
      </c>
      <c r="AK27" s="2"/>
      <c r="AL27" s="113">
        <v>0</v>
      </c>
      <c r="AM27" s="114">
        <f t="shared" si="22"/>
        <v>0</v>
      </c>
      <c r="AN27" s="114">
        <f t="shared" si="13"/>
        <v>0</v>
      </c>
      <c r="AO27" s="115">
        <f t="shared" si="11"/>
        <v>0</v>
      </c>
      <c r="AP27" s="115">
        <f t="shared" si="12"/>
        <v>0</v>
      </c>
      <c r="AQ27" s="115">
        <f t="shared" si="14"/>
        <v>0</v>
      </c>
      <c r="AR27" s="56">
        <f t="shared" si="15"/>
        <v>0</v>
      </c>
      <c r="AS27" s="7"/>
      <c r="AT27" s="7"/>
      <c r="AU27" s="7"/>
      <c r="AV27" s="7"/>
      <c r="AW27" s="7"/>
      <c r="AX27" s="7"/>
      <c r="AY27" s="7"/>
    </row>
    <row r="28" spans="1:51" ht="15.75" customHeight="1" x14ac:dyDescent="0.25">
      <c r="A28" s="1" t="s">
        <v>89</v>
      </c>
      <c r="B28" s="2"/>
      <c r="C28" s="2"/>
      <c r="D28" s="2"/>
      <c r="E28" s="2"/>
      <c r="F28" s="2"/>
      <c r="G28" s="2"/>
      <c r="H28" s="2"/>
      <c r="I28" s="2"/>
      <c r="J28" s="6"/>
      <c r="K28" s="2"/>
      <c r="L28" s="2"/>
      <c r="M28" s="2"/>
      <c r="N28" s="12">
        <f t="shared" si="9"/>
        <v>0</v>
      </c>
      <c r="O28" s="12"/>
      <c r="P28" s="24">
        <f t="shared" si="1"/>
        <v>0</v>
      </c>
      <c r="Q28" s="25">
        <f t="shared" si="2"/>
        <v>0</v>
      </c>
      <c r="R28" s="25">
        <f t="shared" si="3"/>
        <v>0</v>
      </c>
      <c r="S28" s="25">
        <f t="shared" si="4"/>
        <v>0</v>
      </c>
      <c r="T28" s="25">
        <f t="shared" si="5"/>
        <v>0</v>
      </c>
      <c r="U28" s="25">
        <f t="shared" si="6"/>
        <v>0</v>
      </c>
      <c r="V28" s="25">
        <f t="shared" si="7"/>
        <v>0</v>
      </c>
      <c r="W28" s="24">
        <f t="shared" si="10"/>
        <v>0</v>
      </c>
      <c r="X28" s="20">
        <f t="shared" si="0"/>
        <v>0</v>
      </c>
      <c r="Y28" s="3"/>
      <c r="Z28" s="6"/>
      <c r="AA28" s="2"/>
      <c r="AB28" s="33">
        <f t="shared" si="16"/>
        <v>-10</v>
      </c>
      <c r="AC28" s="35">
        <f t="shared" si="17"/>
        <v>0.15063559322033901</v>
      </c>
      <c r="AD28" s="36">
        <v>109920.75459026387</v>
      </c>
      <c r="AE28" s="40">
        <f t="shared" si="18"/>
        <v>-0.74150031511357462</v>
      </c>
      <c r="AF28" s="2"/>
      <c r="AG28" s="33">
        <f t="shared" si="19"/>
        <v>-10</v>
      </c>
      <c r="AH28" s="37">
        <f t="shared" si="20"/>
        <v>64890.844346637517</v>
      </c>
      <c r="AI28" s="36">
        <v>103041.79583827243</v>
      </c>
      <c r="AJ28" s="40">
        <f t="shared" si="21"/>
        <v>-6.9532037160049516</v>
      </c>
      <c r="AK28" s="2"/>
      <c r="AL28" s="113">
        <v>10</v>
      </c>
      <c r="AM28" s="114">
        <f t="shared" si="22"/>
        <v>6.9532037160049516</v>
      </c>
      <c r="AN28" s="114">
        <f t="shared" si="13"/>
        <v>0.7415003151135483</v>
      </c>
      <c r="AO28" s="115">
        <f t="shared" si="11"/>
        <v>1.1646802210645499</v>
      </c>
      <c r="AP28" s="115">
        <f t="shared" si="12"/>
        <v>2.0840633600944898</v>
      </c>
      <c r="AQ28" s="115">
        <f t="shared" si="14"/>
        <v>1.3425630449809285</v>
      </c>
      <c r="AR28" s="56">
        <f t="shared" si="15"/>
        <v>-0.74150031511357462</v>
      </c>
      <c r="AS28" s="7"/>
      <c r="AT28" s="7"/>
      <c r="AU28" s="7"/>
      <c r="AV28" s="7"/>
      <c r="AW28" s="7"/>
      <c r="AX28" s="7"/>
      <c r="AY28" s="7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6"/>
      <c r="K29" s="2"/>
      <c r="L29" s="2"/>
      <c r="M29" s="2"/>
      <c r="N29" s="12">
        <f t="shared" si="9"/>
        <v>0</v>
      </c>
      <c r="O29" s="12"/>
      <c r="P29" s="24">
        <f t="shared" si="1"/>
        <v>0</v>
      </c>
      <c r="Q29" s="25">
        <f t="shared" si="2"/>
        <v>0</v>
      </c>
      <c r="R29" s="25">
        <f t="shared" si="3"/>
        <v>0</v>
      </c>
      <c r="S29" s="25">
        <f t="shared" si="4"/>
        <v>0</v>
      </c>
      <c r="T29" s="25">
        <f t="shared" si="5"/>
        <v>0</v>
      </c>
      <c r="U29" s="25">
        <f t="shared" si="6"/>
        <v>0</v>
      </c>
      <c r="V29" s="25">
        <f t="shared" si="7"/>
        <v>0</v>
      </c>
      <c r="W29" s="24">
        <f t="shared" si="10"/>
        <v>0</v>
      </c>
      <c r="X29" s="20">
        <f t="shared" si="0"/>
        <v>0</v>
      </c>
      <c r="Y29" s="3"/>
      <c r="Z29" s="6"/>
      <c r="AA29" s="2"/>
      <c r="AB29" s="45">
        <v>0</v>
      </c>
      <c r="AC29" s="61">
        <f t="shared" si="17"/>
        <v>0.16737288135593223</v>
      </c>
      <c r="AD29" s="46">
        <v>110741.90617350317</v>
      </c>
      <c r="AE29" s="62">
        <f t="shared" si="18"/>
        <v>0</v>
      </c>
      <c r="AF29" s="2"/>
      <c r="AG29" s="45">
        <v>0</v>
      </c>
      <c r="AH29" s="49">
        <f t="shared" si="20"/>
        <v>72100.938162930572</v>
      </c>
      <c r="AI29" s="46">
        <v>110741.90617350317</v>
      </c>
      <c r="AJ29" s="62">
        <f t="shared" si="21"/>
        <v>0</v>
      </c>
      <c r="AK29" s="2"/>
      <c r="AL29" s="113">
        <v>20</v>
      </c>
      <c r="AM29" s="114">
        <f t="shared" si="22"/>
        <v>13.906407432009903</v>
      </c>
      <c r="AN29" s="114">
        <f t="shared" si="13"/>
        <v>1.4830006302271099</v>
      </c>
      <c r="AO29" s="115">
        <f t="shared" si="11"/>
        <v>2.3293604421290732</v>
      </c>
      <c r="AP29" s="115">
        <f t="shared" si="12"/>
        <v>9.1695399251470491</v>
      </c>
      <c r="AQ29" s="115">
        <f t="shared" si="14"/>
        <v>2.6851260899618437</v>
      </c>
      <c r="AR29" s="56">
        <f t="shared" si="15"/>
        <v>-1.483000630227123</v>
      </c>
      <c r="AS29" s="7"/>
      <c r="AT29" s="7"/>
      <c r="AU29" s="7"/>
      <c r="AV29" s="7"/>
      <c r="AW29" s="7"/>
      <c r="AX29" s="7"/>
      <c r="AY29" s="7"/>
    </row>
    <row r="30" spans="1:51" ht="15.75" customHeight="1" x14ac:dyDescent="0.25">
      <c r="A30" s="8" t="s">
        <v>90</v>
      </c>
      <c r="B30" s="9"/>
      <c r="C30" s="9"/>
      <c r="D30" s="9"/>
      <c r="E30" s="11" t="s">
        <v>91</v>
      </c>
      <c r="F30" s="9"/>
      <c r="G30" s="9"/>
      <c r="H30" s="9"/>
      <c r="I30" s="11" t="s">
        <v>92</v>
      </c>
      <c r="J30" s="47"/>
      <c r="K30" s="9"/>
      <c r="L30" s="10"/>
      <c r="M30" s="2"/>
      <c r="N30" s="12">
        <f t="shared" si="9"/>
        <v>0</v>
      </c>
      <c r="O30" s="12"/>
      <c r="P30" s="24">
        <f t="shared" si="1"/>
        <v>0</v>
      </c>
      <c r="Q30" s="25">
        <f t="shared" si="2"/>
        <v>0</v>
      </c>
      <c r="R30" s="25">
        <f t="shared" si="3"/>
        <v>0</v>
      </c>
      <c r="S30" s="25">
        <f t="shared" si="4"/>
        <v>0</v>
      </c>
      <c r="T30" s="25">
        <f t="shared" si="5"/>
        <v>0</v>
      </c>
      <c r="U30" s="25">
        <f t="shared" si="6"/>
        <v>0</v>
      </c>
      <c r="V30" s="25">
        <f t="shared" si="7"/>
        <v>0</v>
      </c>
      <c r="W30" s="24">
        <f t="shared" si="10"/>
        <v>0</v>
      </c>
      <c r="X30" s="20">
        <f t="shared" si="0"/>
        <v>0</v>
      </c>
      <c r="Y30" s="3"/>
      <c r="Z30" s="6"/>
      <c r="AA30" s="2"/>
      <c r="AB30" s="33">
        <f t="shared" ref="AB30:AB34" si="23">AB29+10</f>
        <v>10</v>
      </c>
      <c r="AC30" s="35">
        <f t="shared" si="17"/>
        <v>0.18411016949152548</v>
      </c>
      <c r="AD30" s="36">
        <v>111563.05775674245</v>
      </c>
      <c r="AE30" s="40">
        <f t="shared" si="18"/>
        <v>0.7415003151135483</v>
      </c>
      <c r="AF30" s="2"/>
      <c r="AG30" s="33">
        <f t="shared" ref="AG30:AG34" si="24">AG29+10</f>
        <v>10</v>
      </c>
      <c r="AH30" s="37">
        <f t="shared" si="20"/>
        <v>79311.031979223641</v>
      </c>
      <c r="AI30" s="36">
        <v>118442.01650873391</v>
      </c>
      <c r="AJ30" s="40">
        <f t="shared" si="21"/>
        <v>6.9532037160049516</v>
      </c>
      <c r="AK30" s="2"/>
      <c r="AL30" s="113">
        <v>30</v>
      </c>
      <c r="AM30" s="114">
        <f t="shared" si="22"/>
        <v>20.859611148014856</v>
      </c>
      <c r="AN30" s="114">
        <f t="shared" si="13"/>
        <v>2.2245009453406848</v>
      </c>
      <c r="AO30" s="115">
        <f t="shared" si="11"/>
        <v>3.4940406631936498</v>
      </c>
      <c r="AP30" s="115">
        <f t="shared" si="12"/>
        <v>11.253603285241551</v>
      </c>
      <c r="AQ30" s="115">
        <f t="shared" si="14"/>
        <v>4.0276891349427597</v>
      </c>
      <c r="AR30" s="56">
        <f t="shared" si="15"/>
        <v>-2.2245009453407238</v>
      </c>
      <c r="AS30" s="7"/>
      <c r="AT30" s="7"/>
      <c r="AU30" s="7"/>
      <c r="AV30" s="7"/>
      <c r="AW30" s="7"/>
      <c r="AX30" s="7"/>
      <c r="AY30" s="7"/>
    </row>
    <row r="31" spans="1:51" ht="15.75" customHeight="1" x14ac:dyDescent="0.25">
      <c r="A31" s="30" t="s">
        <v>37</v>
      </c>
      <c r="B31" s="6">
        <f>IF(B11=0,0,-B11/$B$8)</f>
        <v>-529.66101694915255</v>
      </c>
      <c r="C31" s="2" t="s">
        <v>3</v>
      </c>
      <c r="D31" s="2"/>
      <c r="E31" s="17" t="s">
        <v>93</v>
      </c>
      <c r="F31" s="50">
        <f>(J22/100)*B54</f>
        <v>21630.28144887917</v>
      </c>
      <c r="G31" s="2" t="s">
        <v>3</v>
      </c>
      <c r="H31" s="2"/>
      <c r="I31" s="17" t="s">
        <v>94</v>
      </c>
      <c r="J31" s="7">
        <f>ROUNDUP(J11/(F12/J12),0)</f>
        <v>6</v>
      </c>
      <c r="K31" s="2" t="s">
        <v>53</v>
      </c>
      <c r="L31" s="18"/>
      <c r="M31" s="2"/>
      <c r="N31" s="12">
        <f t="shared" si="9"/>
        <v>0</v>
      </c>
      <c r="O31" s="12"/>
      <c r="P31" s="24">
        <f t="shared" si="1"/>
        <v>0</v>
      </c>
      <c r="Q31" s="25">
        <f t="shared" si="2"/>
        <v>0</v>
      </c>
      <c r="R31" s="25">
        <f t="shared" si="3"/>
        <v>0</v>
      </c>
      <c r="S31" s="25">
        <f t="shared" si="4"/>
        <v>0</v>
      </c>
      <c r="T31" s="25">
        <f t="shared" si="5"/>
        <v>0</v>
      </c>
      <c r="U31" s="25">
        <f t="shared" si="6"/>
        <v>0</v>
      </c>
      <c r="V31" s="25">
        <f t="shared" si="7"/>
        <v>0</v>
      </c>
      <c r="W31" s="24">
        <f t="shared" si="10"/>
        <v>0</v>
      </c>
      <c r="X31" s="20">
        <f t="shared" si="0"/>
        <v>0</v>
      </c>
      <c r="Y31" s="3"/>
      <c r="Z31" s="6"/>
      <c r="AA31" s="2"/>
      <c r="AB31" s="33">
        <f t="shared" si="23"/>
        <v>20</v>
      </c>
      <c r="AC31" s="35">
        <f t="shared" si="17"/>
        <v>0.20084745762711867</v>
      </c>
      <c r="AD31" s="36">
        <v>112384.20933998174</v>
      </c>
      <c r="AE31" s="40">
        <f t="shared" si="18"/>
        <v>1.4830006302271099</v>
      </c>
      <c r="AF31" s="2"/>
      <c r="AG31" s="33">
        <f t="shared" si="24"/>
        <v>20</v>
      </c>
      <c r="AH31" s="37">
        <f t="shared" si="20"/>
        <v>86521.12579551668</v>
      </c>
      <c r="AI31" s="36">
        <v>126142.12684396465</v>
      </c>
      <c r="AJ31" s="40">
        <f t="shared" si="21"/>
        <v>13.906407432009903</v>
      </c>
      <c r="AK31" s="2"/>
      <c r="AL31" s="113">
        <v>40</v>
      </c>
      <c r="AM31" s="114">
        <f t="shared" si="22"/>
        <v>27.812814864019781</v>
      </c>
      <c r="AN31" s="114">
        <f t="shared" si="13"/>
        <v>2.9660012604542461</v>
      </c>
      <c r="AO31" s="115">
        <f t="shared" si="11"/>
        <v>4.6587208842581731</v>
      </c>
      <c r="AP31" s="115">
        <f t="shared" si="12"/>
        <v>13.337666645336055</v>
      </c>
      <c r="AQ31" s="115">
        <f t="shared" si="14"/>
        <v>5.370252179923674</v>
      </c>
      <c r="AR31" s="56">
        <f t="shared" si="15"/>
        <v>-2.9660012604542851</v>
      </c>
      <c r="AS31" s="7"/>
      <c r="AT31" s="7"/>
      <c r="AU31" s="7"/>
      <c r="AV31" s="7"/>
      <c r="AW31" s="7"/>
      <c r="AX31" s="7"/>
      <c r="AY31" s="7"/>
    </row>
    <row r="32" spans="1:51" ht="15.75" customHeight="1" x14ac:dyDescent="0.25">
      <c r="A32" s="30" t="s">
        <v>44</v>
      </c>
      <c r="B32" s="6">
        <f>IF(B12=0,0,-B12/B9)</f>
        <v>0</v>
      </c>
      <c r="C32" s="2" t="s">
        <v>3</v>
      </c>
      <c r="D32" s="2"/>
      <c r="E32" s="17" t="s">
        <v>95</v>
      </c>
      <c r="F32" s="6">
        <f>B54-F31</f>
        <v>50470.656714051402</v>
      </c>
      <c r="G32" s="2" t="s">
        <v>3</v>
      </c>
      <c r="H32" s="2"/>
      <c r="I32" s="17" t="s">
        <v>59</v>
      </c>
      <c r="J32" s="15">
        <f>IF(J24="Yes",SUM(F50:F51),0)</f>
        <v>0</v>
      </c>
      <c r="K32" s="2" t="s">
        <v>49</v>
      </c>
      <c r="L32" s="18"/>
      <c r="M32" s="2"/>
      <c r="N32" s="12">
        <f t="shared" si="9"/>
        <v>0</v>
      </c>
      <c r="O32" s="12"/>
      <c r="P32" s="24">
        <f t="shared" si="1"/>
        <v>0</v>
      </c>
      <c r="Q32" s="25">
        <f t="shared" si="2"/>
        <v>0</v>
      </c>
      <c r="R32" s="25">
        <f t="shared" si="3"/>
        <v>0</v>
      </c>
      <c r="S32" s="25">
        <f t="shared" si="4"/>
        <v>0</v>
      </c>
      <c r="T32" s="25">
        <f t="shared" si="5"/>
        <v>0</v>
      </c>
      <c r="U32" s="25">
        <f t="shared" si="6"/>
        <v>0</v>
      </c>
      <c r="V32" s="25">
        <f t="shared" si="7"/>
        <v>0</v>
      </c>
      <c r="W32" s="24">
        <f t="shared" si="10"/>
        <v>0</v>
      </c>
      <c r="X32" s="20">
        <f t="shared" si="0"/>
        <v>0</v>
      </c>
      <c r="Y32" s="3"/>
      <c r="Z32" s="6"/>
      <c r="AA32" s="2"/>
      <c r="AB32" s="33">
        <f t="shared" si="23"/>
        <v>30</v>
      </c>
      <c r="AC32" s="35">
        <f t="shared" si="17"/>
        <v>0.21758474576271192</v>
      </c>
      <c r="AD32" s="36">
        <v>113205.36092322104</v>
      </c>
      <c r="AE32" s="40">
        <f t="shared" si="18"/>
        <v>2.2245009453406848</v>
      </c>
      <c r="AF32" s="2"/>
      <c r="AG32" s="33">
        <f t="shared" si="24"/>
        <v>30</v>
      </c>
      <c r="AH32" s="37">
        <f t="shared" si="20"/>
        <v>93731.219611809749</v>
      </c>
      <c r="AI32" s="36">
        <v>133842.23717919539</v>
      </c>
      <c r="AJ32" s="40">
        <f t="shared" si="21"/>
        <v>20.859611148014856</v>
      </c>
      <c r="AK32" s="2"/>
      <c r="AL32" s="113">
        <v>50</v>
      </c>
      <c r="AM32" s="114">
        <f t="shared" si="22"/>
        <v>34.766018580024785</v>
      </c>
      <c r="AN32" s="114">
        <f t="shared" si="13"/>
        <v>3.7075015755678336</v>
      </c>
      <c r="AO32" s="115">
        <f t="shared" si="11"/>
        <v>5.8234011053227484</v>
      </c>
      <c r="AP32" s="115">
        <f t="shared" si="12"/>
        <v>16.205878558571769</v>
      </c>
      <c r="AQ32" s="115">
        <f t="shared" si="14"/>
        <v>6.7128152249046291</v>
      </c>
      <c r="AR32" s="56">
        <f t="shared" si="15"/>
        <v>-3.7075015755678336</v>
      </c>
      <c r="AS32" s="7"/>
      <c r="AT32" s="7"/>
      <c r="AU32" s="7"/>
      <c r="AV32" s="7"/>
      <c r="AW32" s="7"/>
      <c r="AX32" s="7"/>
      <c r="AY32" s="7"/>
    </row>
    <row r="33" spans="1:51" ht="15.75" customHeight="1" x14ac:dyDescent="0.25">
      <c r="A33" s="2" t="s">
        <v>50</v>
      </c>
      <c r="B33" s="6">
        <f>IF(B13=0,0,(B13/100)*B51)</f>
        <v>12260.554838709677</v>
      </c>
      <c r="C33" s="2" t="s">
        <v>3</v>
      </c>
      <c r="D33" s="2"/>
      <c r="E33" s="17" t="s">
        <v>96</v>
      </c>
      <c r="F33" s="50">
        <f>F32*(F22/100)*J21</f>
        <v>13475.665342651722</v>
      </c>
      <c r="G33" s="2" t="s">
        <v>3</v>
      </c>
      <c r="H33" s="2"/>
      <c r="I33" s="17" t="s">
        <v>97</v>
      </c>
      <c r="J33" s="6">
        <f>F12*B5</f>
        <v>320908</v>
      </c>
      <c r="K33" s="2" t="s">
        <v>98</v>
      </c>
      <c r="L33" s="18"/>
      <c r="M33" s="2"/>
      <c r="N33" s="12">
        <f t="shared" si="9"/>
        <v>0</v>
      </c>
      <c r="O33" s="12"/>
      <c r="P33" s="24">
        <f t="shared" si="1"/>
        <v>0</v>
      </c>
      <c r="Q33" s="25">
        <f t="shared" si="2"/>
        <v>0</v>
      </c>
      <c r="R33" s="25">
        <f t="shared" si="3"/>
        <v>0</v>
      </c>
      <c r="S33" s="25">
        <f t="shared" si="4"/>
        <v>0</v>
      </c>
      <c r="T33" s="25">
        <f t="shared" si="5"/>
        <v>0</v>
      </c>
      <c r="U33" s="25">
        <f t="shared" si="6"/>
        <v>0</v>
      </c>
      <c r="V33" s="25">
        <f t="shared" si="7"/>
        <v>0</v>
      </c>
      <c r="W33" s="24">
        <f t="shared" si="10"/>
        <v>0</v>
      </c>
      <c r="X33" s="20">
        <f t="shared" si="0"/>
        <v>0</v>
      </c>
      <c r="Y33" s="3"/>
      <c r="Z33" s="6"/>
      <c r="AA33" s="2"/>
      <c r="AB33" s="33">
        <f t="shared" si="23"/>
        <v>40</v>
      </c>
      <c r="AC33" s="35">
        <f t="shared" si="17"/>
        <v>0.23432203389830511</v>
      </c>
      <c r="AD33" s="36">
        <v>114026.51250646033</v>
      </c>
      <c r="AE33" s="40">
        <f t="shared" si="18"/>
        <v>2.9660012604542461</v>
      </c>
      <c r="AF33" s="2"/>
      <c r="AG33" s="33">
        <f t="shared" si="24"/>
        <v>40</v>
      </c>
      <c r="AH33" s="37">
        <f t="shared" si="20"/>
        <v>100941.31342810279</v>
      </c>
      <c r="AI33" s="36">
        <v>141542.3475144261</v>
      </c>
      <c r="AJ33" s="40">
        <f t="shared" si="21"/>
        <v>27.812814864019781</v>
      </c>
      <c r="AK33" s="2"/>
      <c r="AL33" s="34"/>
      <c r="AM33" s="38"/>
      <c r="AN33" s="39"/>
      <c r="AO33" s="41"/>
      <c r="AP33" s="2"/>
      <c r="AQ33" s="7"/>
      <c r="AR33" s="7"/>
      <c r="AS33" s="7"/>
      <c r="AT33" s="7"/>
      <c r="AU33" s="7"/>
      <c r="AV33" s="7"/>
      <c r="AW33" s="7"/>
      <c r="AX33" s="7"/>
      <c r="AY33" s="7"/>
    </row>
    <row r="34" spans="1:51" ht="15.75" customHeight="1" x14ac:dyDescent="0.25">
      <c r="A34" s="30" t="s">
        <v>183</v>
      </c>
      <c r="B34" s="6">
        <f>IF(B16=0,0,B16/$B$8)</f>
        <v>23.305084745762713</v>
      </c>
      <c r="C34" s="2" t="s">
        <v>3</v>
      </c>
      <c r="D34" s="2"/>
      <c r="E34" s="2"/>
      <c r="F34" s="7"/>
      <c r="G34" s="2"/>
      <c r="H34" s="2"/>
      <c r="I34" s="2"/>
      <c r="J34" s="2"/>
      <c r="K34" s="2"/>
      <c r="L34" s="18"/>
      <c r="M34" s="2"/>
      <c r="N34" s="12">
        <f t="shared" si="9"/>
        <v>0</v>
      </c>
      <c r="O34" s="12"/>
      <c r="P34" s="24">
        <f t="shared" si="1"/>
        <v>0</v>
      </c>
      <c r="Q34" s="25">
        <f t="shared" si="2"/>
        <v>0</v>
      </c>
      <c r="R34" s="25">
        <f t="shared" si="3"/>
        <v>0</v>
      </c>
      <c r="S34" s="25">
        <f t="shared" si="4"/>
        <v>0</v>
      </c>
      <c r="T34" s="25">
        <f t="shared" si="5"/>
        <v>0</v>
      </c>
      <c r="U34" s="25">
        <f t="shared" si="6"/>
        <v>0</v>
      </c>
      <c r="V34" s="25">
        <f t="shared" si="7"/>
        <v>0</v>
      </c>
      <c r="W34" s="24">
        <f t="shared" si="10"/>
        <v>0</v>
      </c>
      <c r="X34" s="20">
        <f t="shared" si="0"/>
        <v>0</v>
      </c>
      <c r="Y34" s="3"/>
      <c r="Z34" s="6"/>
      <c r="AA34" s="2"/>
      <c r="AB34" s="33">
        <f t="shared" si="23"/>
        <v>50</v>
      </c>
      <c r="AC34" s="35">
        <f t="shared" si="17"/>
        <v>0.25105932203389836</v>
      </c>
      <c r="AD34" s="36">
        <v>114847.66408969965</v>
      </c>
      <c r="AE34" s="40">
        <f t="shared" si="18"/>
        <v>3.7075015755678336</v>
      </c>
      <c r="AF34" s="2"/>
      <c r="AG34" s="33">
        <f t="shared" si="24"/>
        <v>50</v>
      </c>
      <c r="AH34" s="37">
        <f t="shared" si="20"/>
        <v>108151.40724439586</v>
      </c>
      <c r="AI34" s="36">
        <v>149242.4578496569</v>
      </c>
      <c r="AJ34" s="40">
        <f t="shared" si="21"/>
        <v>34.766018580024785</v>
      </c>
      <c r="AK34" s="2"/>
      <c r="AL34" s="34"/>
      <c r="AM34" s="38"/>
      <c r="AN34" s="39"/>
      <c r="AO34" s="41"/>
      <c r="AP34" s="2"/>
      <c r="AQ34" s="7"/>
      <c r="AR34" s="7"/>
      <c r="AS34" s="7"/>
      <c r="AT34" s="7"/>
      <c r="AU34" s="7"/>
      <c r="AV34" s="7"/>
      <c r="AW34" s="7"/>
      <c r="AX34" s="7"/>
      <c r="AY34" s="7"/>
    </row>
    <row r="35" spans="1:51" ht="15.75" customHeight="1" x14ac:dyDescent="0.25">
      <c r="A35" s="30" t="s">
        <v>184</v>
      </c>
      <c r="B35" s="6">
        <f>IF(B17=0,0,(B17/100)*$B$51)</f>
        <v>0</v>
      </c>
      <c r="C35" s="2" t="s">
        <v>3</v>
      </c>
      <c r="D35" s="2"/>
      <c r="E35" s="1" t="s">
        <v>99</v>
      </c>
      <c r="F35" s="2"/>
      <c r="G35" s="2"/>
      <c r="H35" s="2"/>
      <c r="I35" s="1" t="s">
        <v>100</v>
      </c>
      <c r="J35" s="48">
        <f>SUM(J36:J39)</f>
        <v>3864.3208813559322</v>
      </c>
      <c r="K35" s="1" t="s">
        <v>49</v>
      </c>
      <c r="L35" s="18"/>
      <c r="M35" s="2"/>
      <c r="N35" s="12">
        <f t="shared" si="9"/>
        <v>0</v>
      </c>
      <c r="O35" s="12"/>
      <c r="P35" s="24">
        <f t="shared" si="1"/>
        <v>0</v>
      </c>
      <c r="Q35" s="25">
        <f t="shared" si="2"/>
        <v>0</v>
      </c>
      <c r="R35" s="25">
        <f t="shared" si="3"/>
        <v>0</v>
      </c>
      <c r="S35" s="25">
        <f t="shared" si="4"/>
        <v>0</v>
      </c>
      <c r="T35" s="25">
        <f t="shared" si="5"/>
        <v>0</v>
      </c>
      <c r="U35" s="25">
        <f t="shared" si="6"/>
        <v>0</v>
      </c>
      <c r="V35" s="25">
        <f t="shared" si="7"/>
        <v>0</v>
      </c>
      <c r="W35" s="24">
        <f t="shared" si="10"/>
        <v>0</v>
      </c>
      <c r="X35" s="20">
        <f t="shared" si="0"/>
        <v>0</v>
      </c>
      <c r="Y35" s="3"/>
      <c r="Z35" s="6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30" t="s">
        <v>68</v>
      </c>
      <c r="B36" s="6">
        <f>IF(B18=0,0,(B18/100)*$B$50)</f>
        <v>0</v>
      </c>
      <c r="C36" s="2" t="s">
        <v>3</v>
      </c>
      <c r="D36" s="2"/>
      <c r="E36" s="17" t="s">
        <v>29</v>
      </c>
      <c r="F36" s="64">
        <f>F13/$B$8</f>
        <v>0.16737288135593223</v>
      </c>
      <c r="G36" s="2" t="s">
        <v>30</v>
      </c>
      <c r="H36" s="2"/>
      <c r="I36" s="2" t="s">
        <v>177</v>
      </c>
      <c r="J36" s="15">
        <f>F20/$B$8</f>
        <v>29.194915254237291</v>
      </c>
      <c r="K36" s="2" t="s">
        <v>49</v>
      </c>
      <c r="L36" s="18"/>
      <c r="M36" s="2"/>
      <c r="N36" s="12">
        <f t="shared" si="9"/>
        <v>0</v>
      </c>
      <c r="O36" s="12"/>
      <c r="P36" s="24">
        <f t="shared" si="1"/>
        <v>0</v>
      </c>
      <c r="Q36" s="25">
        <f t="shared" si="2"/>
        <v>0</v>
      </c>
      <c r="R36" s="25">
        <f t="shared" si="3"/>
        <v>0</v>
      </c>
      <c r="S36" s="25">
        <f t="shared" si="4"/>
        <v>0</v>
      </c>
      <c r="T36" s="25">
        <f t="shared" si="5"/>
        <v>0</v>
      </c>
      <c r="U36" s="25">
        <f t="shared" si="6"/>
        <v>0</v>
      </c>
      <c r="V36" s="25">
        <f t="shared" si="7"/>
        <v>0</v>
      </c>
      <c r="W36" s="24">
        <f t="shared" si="10"/>
        <v>0</v>
      </c>
      <c r="X36" s="20">
        <f t="shared" si="0"/>
        <v>0</v>
      </c>
      <c r="Y36" s="3"/>
      <c r="Z36" s="6"/>
      <c r="AA36" s="2"/>
      <c r="AB36" s="32" t="s">
        <v>32</v>
      </c>
      <c r="AC36" s="33"/>
      <c r="AD36" s="33"/>
      <c r="AE36" s="33"/>
      <c r="AF36" s="2"/>
      <c r="AG36" s="32" t="s">
        <v>101</v>
      </c>
      <c r="AH36" s="33"/>
      <c r="AI36" s="33"/>
      <c r="AJ36" s="33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30" t="s">
        <v>70</v>
      </c>
      <c r="B37" s="6">
        <f t="shared" ref="B37:B40" si="25">IF(B19=0,0,(B19/100)*$B$51)</f>
        <v>0</v>
      </c>
      <c r="C37" s="2" t="s">
        <v>3</v>
      </c>
      <c r="D37" s="2"/>
      <c r="E37" s="17" t="s">
        <v>102</v>
      </c>
      <c r="F37" s="65">
        <f>(F21/((1-J14%)*J10))/B8</f>
        <v>0</v>
      </c>
      <c r="G37" s="2" t="s">
        <v>30</v>
      </c>
      <c r="H37" s="2"/>
      <c r="I37" s="17" t="s">
        <v>69</v>
      </c>
      <c r="J37" s="15">
        <f>F18/$B$8</f>
        <v>1909.6779661016951</v>
      </c>
      <c r="K37" s="2" t="s">
        <v>49</v>
      </c>
      <c r="L37" s="18"/>
      <c r="M37" s="2"/>
      <c r="N37" s="12">
        <f t="shared" si="9"/>
        <v>0</v>
      </c>
      <c r="O37" s="12"/>
      <c r="P37" s="24">
        <f t="shared" si="1"/>
        <v>0</v>
      </c>
      <c r="Q37" s="25">
        <f t="shared" si="2"/>
        <v>0</v>
      </c>
      <c r="R37" s="25">
        <f t="shared" si="3"/>
        <v>0</v>
      </c>
      <c r="S37" s="25">
        <f t="shared" si="4"/>
        <v>0</v>
      </c>
      <c r="T37" s="25">
        <f t="shared" si="5"/>
        <v>0</v>
      </c>
      <c r="U37" s="25">
        <f t="shared" si="6"/>
        <v>0</v>
      </c>
      <c r="V37" s="25">
        <f t="shared" si="7"/>
        <v>0</v>
      </c>
      <c r="W37" s="24">
        <f t="shared" si="10"/>
        <v>0</v>
      </c>
      <c r="X37" s="20">
        <f t="shared" si="0"/>
        <v>0</v>
      </c>
      <c r="Y37" s="3"/>
      <c r="Z37" s="6"/>
      <c r="AA37" s="2"/>
      <c r="AB37" s="33" t="s">
        <v>79</v>
      </c>
      <c r="AC37" s="33" t="s">
        <v>103</v>
      </c>
      <c r="AD37" s="33" t="s">
        <v>23</v>
      </c>
      <c r="AE37" s="33" t="s">
        <v>81</v>
      </c>
      <c r="AF37" s="2"/>
      <c r="AG37" s="33" t="s">
        <v>79</v>
      </c>
      <c r="AH37" s="33" t="s">
        <v>104</v>
      </c>
      <c r="AI37" s="33" t="s">
        <v>23</v>
      </c>
      <c r="AJ37" s="33" t="s">
        <v>81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30" t="s">
        <v>72</v>
      </c>
      <c r="B38" s="6">
        <f t="shared" si="25"/>
        <v>0</v>
      </c>
      <c r="C38" s="2" t="s">
        <v>3</v>
      </c>
      <c r="D38" s="2"/>
      <c r="E38" s="17" t="s">
        <v>105</v>
      </c>
      <c r="F38" s="65">
        <f>F36*J17</f>
        <v>3.1800847457627124E-2</v>
      </c>
      <c r="G38" s="2" t="s">
        <v>4</v>
      </c>
      <c r="H38" s="2"/>
      <c r="I38" s="17" t="s">
        <v>63</v>
      </c>
      <c r="J38" s="15">
        <f>F16/$B$8</f>
        <v>0</v>
      </c>
      <c r="K38" s="2" t="s">
        <v>49</v>
      </c>
      <c r="L38" s="18"/>
      <c r="M38" s="2"/>
      <c r="N38" s="12">
        <f t="shared" si="9"/>
        <v>0</v>
      </c>
      <c r="O38" s="12"/>
      <c r="P38" s="24">
        <f t="shared" si="1"/>
        <v>0</v>
      </c>
      <c r="Q38" s="25">
        <f t="shared" si="2"/>
        <v>0</v>
      </c>
      <c r="R38" s="25">
        <f t="shared" si="3"/>
        <v>0</v>
      </c>
      <c r="S38" s="25">
        <f t="shared" si="4"/>
        <v>0</v>
      </c>
      <c r="T38" s="25">
        <f t="shared" si="5"/>
        <v>0</v>
      </c>
      <c r="U38" s="25">
        <f t="shared" si="6"/>
        <v>0</v>
      </c>
      <c r="V38" s="25">
        <f t="shared" si="7"/>
        <v>0</v>
      </c>
      <c r="W38" s="24">
        <f t="shared" si="10"/>
        <v>0</v>
      </c>
      <c r="X38" s="20">
        <f t="shared" si="0"/>
        <v>0</v>
      </c>
      <c r="Y38" s="3"/>
      <c r="Z38" s="6"/>
      <c r="AA38" s="2"/>
      <c r="AB38" s="33" t="s">
        <v>85</v>
      </c>
      <c r="AC38" s="37">
        <v>8505</v>
      </c>
      <c r="AD38" s="36">
        <f>X49</f>
        <v>110741.90617350317</v>
      </c>
      <c r="AE38" s="33"/>
      <c r="AF38" s="2"/>
      <c r="AG38" s="33" t="s">
        <v>85</v>
      </c>
      <c r="AH38" s="37">
        <v>32090.799999999999</v>
      </c>
      <c r="AI38" s="36">
        <f>X49</f>
        <v>110741.90617350317</v>
      </c>
      <c r="AJ38" s="33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14" t="s">
        <v>73</v>
      </c>
      <c r="B39" s="6">
        <f t="shared" si="25"/>
        <v>5108.5645161290331</v>
      </c>
      <c r="C39" s="2" t="s">
        <v>3</v>
      </c>
      <c r="D39" s="2"/>
      <c r="E39" s="2"/>
      <c r="F39" s="2"/>
      <c r="G39" s="2"/>
      <c r="H39" s="2"/>
      <c r="I39" s="17" t="s">
        <v>48</v>
      </c>
      <c r="J39" s="57">
        <f>F19*F12/$B$8</f>
        <v>1925.4479999999996</v>
      </c>
      <c r="K39" s="2" t="s">
        <v>49</v>
      </c>
      <c r="L39" s="18"/>
      <c r="M39" s="2"/>
      <c r="N39" s="12">
        <f t="shared" si="9"/>
        <v>0</v>
      </c>
      <c r="O39" s="12"/>
      <c r="P39" s="24">
        <f t="shared" si="1"/>
        <v>0</v>
      </c>
      <c r="Q39" s="25">
        <f t="shared" si="2"/>
        <v>0</v>
      </c>
      <c r="R39" s="25">
        <f t="shared" si="3"/>
        <v>0</v>
      </c>
      <c r="S39" s="25">
        <f t="shared" si="4"/>
        <v>0</v>
      </c>
      <c r="T39" s="25">
        <f t="shared" si="5"/>
        <v>0</v>
      </c>
      <c r="U39" s="25">
        <f t="shared" si="6"/>
        <v>0</v>
      </c>
      <c r="V39" s="25">
        <f t="shared" si="7"/>
        <v>0</v>
      </c>
      <c r="W39" s="24">
        <f t="shared" si="10"/>
        <v>0</v>
      </c>
      <c r="X39" s="20">
        <f t="shared" si="0"/>
        <v>0</v>
      </c>
      <c r="Y39" s="3"/>
      <c r="Z39" s="6"/>
      <c r="AA39" s="2"/>
      <c r="AB39" s="33">
        <f t="shared" ref="AB39:AB43" si="26">AB40-10</f>
        <v>-50</v>
      </c>
      <c r="AC39" s="37">
        <f t="shared" ref="AC39:AC49" si="27">$AC$38*(1+(AB39/100))</f>
        <v>4252.5</v>
      </c>
      <c r="AD39" s="36">
        <f t="dataTable" ref="AD39:AD49" dt2D="0" dtr="0" r1="B49" ca="1"/>
        <v>104292.96078533988</v>
      </c>
      <c r="AE39" s="40">
        <f t="shared" ref="AE39:AE49" si="28">100*((AD39-$AD$29)/$AD$29)</f>
        <v>-5.823401105322775</v>
      </c>
      <c r="AF39" s="2"/>
      <c r="AG39" s="33">
        <f t="shared" ref="AG39:AG43" si="29">AG40-10</f>
        <v>-50</v>
      </c>
      <c r="AH39" s="37">
        <f t="shared" ref="AH39:AH49" si="30">$AH$38*(1+(AG39/100))</f>
        <v>16045.4</v>
      </c>
      <c r="AI39" s="36">
        <f t="dataTable" ref="AI39:AI49" dt2D="0" dtr="0" r1="F12" ca="1"/>
        <v>92855.686770947636</v>
      </c>
      <c r="AJ39" s="40">
        <f t="shared" ref="AJ39:AJ49" si="31">100*((AI39-$AI$44)/$AI$44)</f>
        <v>-16.151265605391131</v>
      </c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14" t="s">
        <v>76</v>
      </c>
      <c r="B40" s="6">
        <f t="shared" si="25"/>
        <v>4086.8516129032259</v>
      </c>
      <c r="C40" s="2" t="s">
        <v>3</v>
      </c>
      <c r="D40" s="2"/>
      <c r="E40" s="17" t="s">
        <v>106</v>
      </c>
      <c r="F40" s="15">
        <f>F37*F12*J17</f>
        <v>0</v>
      </c>
      <c r="G40" s="2" t="s">
        <v>49</v>
      </c>
      <c r="H40" s="2"/>
      <c r="I40" s="2"/>
      <c r="J40" s="2"/>
      <c r="K40" s="2"/>
      <c r="L40" s="18"/>
      <c r="M40" s="2"/>
      <c r="N40" s="12">
        <f t="shared" si="9"/>
        <v>0</v>
      </c>
      <c r="O40" s="12"/>
      <c r="P40" s="24">
        <f t="shared" si="1"/>
        <v>0</v>
      </c>
      <c r="Q40" s="25">
        <f t="shared" si="2"/>
        <v>0</v>
      </c>
      <c r="R40" s="25">
        <f t="shared" si="3"/>
        <v>0</v>
      </c>
      <c r="S40" s="25">
        <f t="shared" si="4"/>
        <v>0</v>
      </c>
      <c r="T40" s="25">
        <f t="shared" si="5"/>
        <v>0</v>
      </c>
      <c r="U40" s="25">
        <f t="shared" si="6"/>
        <v>0</v>
      </c>
      <c r="V40" s="25">
        <f t="shared" si="7"/>
        <v>0</v>
      </c>
      <c r="W40" s="24">
        <f t="shared" si="10"/>
        <v>0</v>
      </c>
      <c r="X40" s="20">
        <f t="shared" si="0"/>
        <v>0</v>
      </c>
      <c r="Y40" s="3"/>
      <c r="Z40" s="6"/>
      <c r="AA40" s="2"/>
      <c r="AB40" s="33">
        <f t="shared" si="26"/>
        <v>-40</v>
      </c>
      <c r="AC40" s="37">
        <f t="shared" si="27"/>
        <v>5103</v>
      </c>
      <c r="AD40" s="36">
        <v>105582.74986297253</v>
      </c>
      <c r="AE40" s="40">
        <f t="shared" si="28"/>
        <v>-4.6587208842582255</v>
      </c>
      <c r="AF40" s="2"/>
      <c r="AG40" s="33">
        <f t="shared" si="29"/>
        <v>-40</v>
      </c>
      <c r="AH40" s="37">
        <f t="shared" si="30"/>
        <v>19254.48</v>
      </c>
      <c r="AI40" s="36">
        <v>100384.95048314398</v>
      </c>
      <c r="AJ40" s="40">
        <f t="shared" si="31"/>
        <v>-9.3523364805844924</v>
      </c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 t="s">
        <v>83</v>
      </c>
      <c r="B41" s="6">
        <f t="shared" ref="B41:B43" si="32">IF(B23=0,0,B23/$B$8)</f>
        <v>65.677966101694921</v>
      </c>
      <c r="C41" s="2" t="s">
        <v>3</v>
      </c>
      <c r="D41" s="2"/>
      <c r="E41" s="17" t="s">
        <v>107</v>
      </c>
      <c r="F41" s="7">
        <f>F38*F12</f>
        <v>1020.5146355932205</v>
      </c>
      <c r="G41" s="2" t="s">
        <v>49</v>
      </c>
      <c r="H41" s="2"/>
      <c r="I41" s="2"/>
      <c r="J41" s="2"/>
      <c r="K41" s="2"/>
      <c r="L41" s="18"/>
      <c r="M41" s="2"/>
      <c r="N41" s="12">
        <f t="shared" si="9"/>
        <v>0</v>
      </c>
      <c r="O41" s="12"/>
      <c r="P41" s="24">
        <f t="shared" si="1"/>
        <v>0</v>
      </c>
      <c r="Q41" s="25">
        <f t="shared" si="2"/>
        <v>0</v>
      </c>
      <c r="R41" s="25">
        <f t="shared" si="3"/>
        <v>0</v>
      </c>
      <c r="S41" s="25">
        <f t="shared" si="4"/>
        <v>0</v>
      </c>
      <c r="T41" s="25">
        <f t="shared" si="5"/>
        <v>0</v>
      </c>
      <c r="U41" s="25">
        <f t="shared" si="6"/>
        <v>0</v>
      </c>
      <c r="V41" s="25">
        <f t="shared" si="7"/>
        <v>0</v>
      </c>
      <c r="W41" s="24">
        <f t="shared" si="10"/>
        <v>0</v>
      </c>
      <c r="X41" s="20">
        <f t="shared" si="0"/>
        <v>0</v>
      </c>
      <c r="Y41" s="3"/>
      <c r="Z41" s="6"/>
      <c r="AA41" s="2"/>
      <c r="AB41" s="33">
        <f t="shared" si="26"/>
        <v>-30</v>
      </c>
      <c r="AC41" s="37">
        <f t="shared" si="27"/>
        <v>5953.5</v>
      </c>
      <c r="AD41" s="36">
        <v>106872.53894060521</v>
      </c>
      <c r="AE41" s="40">
        <f t="shared" si="28"/>
        <v>-3.4940406631936498</v>
      </c>
      <c r="AF41" s="2"/>
      <c r="AG41" s="33">
        <f t="shared" si="29"/>
        <v>-30</v>
      </c>
      <c r="AH41" s="37">
        <f t="shared" si="30"/>
        <v>22463.559999999998</v>
      </c>
      <c r="AI41" s="36">
        <v>102953.94858504443</v>
      </c>
      <c r="AJ41" s="40">
        <f t="shared" si="31"/>
        <v>-7.0325298322543572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 t="s">
        <v>178</v>
      </c>
      <c r="B42" s="6">
        <f t="shared" si="32"/>
        <v>11.228813559322035</v>
      </c>
      <c r="C42" s="2" t="s">
        <v>3</v>
      </c>
      <c r="D42" s="2"/>
      <c r="E42" s="2"/>
      <c r="F42" s="2"/>
      <c r="G42" s="2"/>
      <c r="H42" s="2"/>
      <c r="I42" s="17"/>
      <c r="J42" s="57"/>
      <c r="K42" s="2"/>
      <c r="L42" s="18"/>
      <c r="M42" s="2"/>
      <c r="N42" s="12">
        <f t="shared" si="9"/>
        <v>0</v>
      </c>
      <c r="O42" s="12"/>
      <c r="P42" s="24">
        <f t="shared" si="1"/>
        <v>0</v>
      </c>
      <c r="Q42" s="25">
        <f t="shared" si="2"/>
        <v>0</v>
      </c>
      <c r="R42" s="25">
        <f t="shared" si="3"/>
        <v>0</v>
      </c>
      <c r="S42" s="25">
        <f t="shared" si="4"/>
        <v>0</v>
      </c>
      <c r="T42" s="25">
        <f t="shared" si="5"/>
        <v>0</v>
      </c>
      <c r="U42" s="25">
        <f t="shared" si="6"/>
        <v>0</v>
      </c>
      <c r="V42" s="25">
        <f t="shared" si="7"/>
        <v>0</v>
      </c>
      <c r="W42" s="24">
        <f t="shared" si="10"/>
        <v>0</v>
      </c>
      <c r="X42" s="20">
        <f t="shared" si="0"/>
        <v>0</v>
      </c>
      <c r="Y42" s="3"/>
      <c r="Z42" s="6"/>
      <c r="AA42" s="2"/>
      <c r="AB42" s="33">
        <f t="shared" si="26"/>
        <v>-20</v>
      </c>
      <c r="AC42" s="37">
        <f t="shared" si="27"/>
        <v>6804</v>
      </c>
      <c r="AD42" s="36">
        <v>108162.32801823784</v>
      </c>
      <c r="AE42" s="40">
        <f t="shared" si="28"/>
        <v>-2.3293604421291256</v>
      </c>
      <c r="AF42" s="2"/>
      <c r="AG42" s="33">
        <f t="shared" si="29"/>
        <v>-20</v>
      </c>
      <c r="AH42" s="37">
        <f t="shared" si="30"/>
        <v>25672.639999999999</v>
      </c>
      <c r="AI42" s="36">
        <v>105536.00001749821</v>
      </c>
      <c r="AJ42" s="40">
        <f t="shared" si="31"/>
        <v>-4.7009360195125112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 t="s">
        <v>179</v>
      </c>
      <c r="B43" s="6">
        <f t="shared" si="32"/>
        <v>19.088983050847457</v>
      </c>
      <c r="C43" s="2" t="s">
        <v>3</v>
      </c>
      <c r="D43" s="2"/>
      <c r="E43" s="2"/>
      <c r="F43" s="2"/>
      <c r="G43" s="2"/>
      <c r="H43" s="2"/>
      <c r="I43" s="2"/>
      <c r="J43" s="2"/>
      <c r="K43" s="2"/>
      <c r="L43" s="18"/>
      <c r="M43" s="2"/>
      <c r="N43" s="12">
        <f t="shared" si="9"/>
        <v>0</v>
      </c>
      <c r="O43" s="12"/>
      <c r="P43" s="24">
        <f t="shared" si="1"/>
        <v>0</v>
      </c>
      <c r="Q43" s="25">
        <f t="shared" si="2"/>
        <v>0</v>
      </c>
      <c r="R43" s="25">
        <f t="shared" si="3"/>
        <v>0</v>
      </c>
      <c r="S43" s="25">
        <f t="shared" si="4"/>
        <v>0</v>
      </c>
      <c r="T43" s="25">
        <f t="shared" si="5"/>
        <v>0</v>
      </c>
      <c r="U43" s="25">
        <f t="shared" si="6"/>
        <v>0</v>
      </c>
      <c r="V43" s="25">
        <f t="shared" si="7"/>
        <v>0</v>
      </c>
      <c r="W43" s="24">
        <f t="shared" si="10"/>
        <v>0</v>
      </c>
      <c r="X43" s="20">
        <f t="shared" si="0"/>
        <v>0</v>
      </c>
      <c r="Y43" s="3"/>
      <c r="Z43" s="6"/>
      <c r="AA43" s="2"/>
      <c r="AB43" s="33">
        <f t="shared" si="26"/>
        <v>-10</v>
      </c>
      <c r="AC43" s="37">
        <f t="shared" si="27"/>
        <v>7654.5</v>
      </c>
      <c r="AD43" s="36">
        <v>109452.11709587052</v>
      </c>
      <c r="AE43" s="40">
        <f t="shared" si="28"/>
        <v>-1.1646802210645499</v>
      </c>
      <c r="AF43" s="2"/>
      <c r="AG43" s="33">
        <f t="shared" si="29"/>
        <v>-10</v>
      </c>
      <c r="AH43" s="37">
        <f t="shared" si="30"/>
        <v>28881.72</v>
      </c>
      <c r="AI43" s="36">
        <v>108131.75744703313</v>
      </c>
      <c r="AJ43" s="40">
        <f t="shared" si="31"/>
        <v>-2.3569656841382436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1" t="s">
        <v>163</v>
      </c>
      <c r="F44" s="2"/>
      <c r="G44" s="2"/>
      <c r="H44" s="2"/>
      <c r="I44" s="2"/>
      <c r="J44" s="2"/>
      <c r="K44" s="2"/>
      <c r="L44" s="18"/>
      <c r="M44" s="2"/>
      <c r="N44" s="12">
        <f t="shared" si="9"/>
        <v>0</v>
      </c>
      <c r="O44" s="12"/>
      <c r="P44" s="24">
        <f t="shared" si="1"/>
        <v>0</v>
      </c>
      <c r="Q44" s="25">
        <f t="shared" si="2"/>
        <v>0</v>
      </c>
      <c r="R44" s="25">
        <f t="shared" si="3"/>
        <v>0</v>
      </c>
      <c r="S44" s="25">
        <f t="shared" si="4"/>
        <v>0</v>
      </c>
      <c r="T44" s="25">
        <f t="shared" si="5"/>
        <v>0</v>
      </c>
      <c r="U44" s="25">
        <f t="shared" si="6"/>
        <v>0</v>
      </c>
      <c r="V44" s="25">
        <f t="shared" si="7"/>
        <v>0</v>
      </c>
      <c r="W44" s="24">
        <f t="shared" si="10"/>
        <v>0</v>
      </c>
      <c r="X44" s="20">
        <f t="shared" si="0"/>
        <v>0</v>
      </c>
      <c r="Y44" s="3"/>
      <c r="Z44" s="6"/>
      <c r="AA44" s="2"/>
      <c r="AB44" s="45">
        <v>0</v>
      </c>
      <c r="AC44" s="49">
        <f t="shared" si="27"/>
        <v>8505</v>
      </c>
      <c r="AD44" s="46">
        <v>110741.90617350317</v>
      </c>
      <c r="AE44" s="62">
        <f t="shared" si="28"/>
        <v>0</v>
      </c>
      <c r="AF44" s="2"/>
      <c r="AG44" s="45">
        <v>0</v>
      </c>
      <c r="AH44" s="49">
        <f t="shared" si="30"/>
        <v>32090.799999999999</v>
      </c>
      <c r="AI44" s="46">
        <v>110741.90617350317</v>
      </c>
      <c r="AJ44" s="62">
        <f t="shared" si="31"/>
        <v>0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7" t="s">
        <v>108</v>
      </c>
      <c r="B45" s="3"/>
      <c r="C45" s="1"/>
      <c r="D45" s="2"/>
      <c r="E45" s="17" t="s">
        <v>164</v>
      </c>
      <c r="F45" s="97">
        <f>((1+(B14/100))*J9*J10)*(1+(B13%+B15%+B21%+B22%))</f>
        <v>12077.099999999999</v>
      </c>
      <c r="G45" s="2" t="s">
        <v>3</v>
      </c>
      <c r="H45" s="2"/>
      <c r="I45" s="1"/>
      <c r="J45" s="2"/>
      <c r="K45" s="2"/>
      <c r="L45" s="18"/>
      <c r="M45" s="2"/>
      <c r="N45" s="12">
        <f t="shared" si="9"/>
        <v>0</v>
      </c>
      <c r="O45" s="12"/>
      <c r="P45" s="24">
        <f t="shared" si="1"/>
        <v>0</v>
      </c>
      <c r="Q45" s="25">
        <f t="shared" si="2"/>
        <v>0</v>
      </c>
      <c r="R45" s="25">
        <f t="shared" si="3"/>
        <v>0</v>
      </c>
      <c r="S45" s="25">
        <f t="shared" si="4"/>
        <v>0</v>
      </c>
      <c r="T45" s="25">
        <f t="shared" si="5"/>
        <v>0</v>
      </c>
      <c r="U45" s="25">
        <f t="shared" si="6"/>
        <v>0</v>
      </c>
      <c r="V45" s="25">
        <f t="shared" si="7"/>
        <v>0</v>
      </c>
      <c r="W45" s="24">
        <f t="shared" si="10"/>
        <v>0</v>
      </c>
      <c r="X45" s="20">
        <f t="shared" si="0"/>
        <v>0</v>
      </c>
      <c r="Y45" s="3"/>
      <c r="Z45" s="6"/>
      <c r="AA45" s="2"/>
      <c r="AB45" s="33">
        <f t="shared" ref="AB45:AB49" si="33">AB44+10</f>
        <v>10</v>
      </c>
      <c r="AC45" s="37">
        <f t="shared" si="27"/>
        <v>9355.5</v>
      </c>
      <c r="AD45" s="36">
        <v>112031.69525113582</v>
      </c>
      <c r="AE45" s="40">
        <f t="shared" si="28"/>
        <v>1.1646802210645499</v>
      </c>
      <c r="AF45" s="2"/>
      <c r="AG45" s="33">
        <f t="shared" ref="AG45:AG49" si="34">AG44+10</f>
        <v>10</v>
      </c>
      <c r="AH45" s="37">
        <f t="shared" si="30"/>
        <v>35299.880000000005</v>
      </c>
      <c r="AI45" s="36">
        <v>113049.83766433537</v>
      </c>
      <c r="AJ45" s="40">
        <f t="shared" si="31"/>
        <v>2.0840633600944898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17" t="s">
        <v>197</v>
      </c>
      <c r="B46" s="6">
        <f>J8/B8</f>
        <v>42580.645161290326</v>
      </c>
      <c r="C46" s="2" t="s">
        <v>3</v>
      </c>
      <c r="D46" s="2"/>
      <c r="E46" s="2" t="s">
        <v>165</v>
      </c>
      <c r="F46" s="97">
        <f>((J22%)*F45)+(((1-J22%)*F45)*(1+(F22%*J21)))</f>
        <v>14334.309989999998</v>
      </c>
      <c r="G46" s="2" t="s">
        <v>3</v>
      </c>
      <c r="H46" s="2"/>
      <c r="I46" s="17"/>
      <c r="J46" s="23"/>
      <c r="K46" s="2"/>
      <c r="L46" s="18"/>
      <c r="M46" s="2"/>
      <c r="N46" s="12">
        <f t="shared" si="9"/>
        <v>0</v>
      </c>
      <c r="O46" s="12"/>
      <c r="P46" s="24">
        <f t="shared" si="1"/>
        <v>0</v>
      </c>
      <c r="Q46" s="25">
        <f t="shared" si="2"/>
        <v>0</v>
      </c>
      <c r="R46" s="25">
        <f t="shared" si="3"/>
        <v>0</v>
      </c>
      <c r="S46" s="25">
        <f t="shared" si="4"/>
        <v>0</v>
      </c>
      <c r="T46" s="25">
        <f t="shared" si="5"/>
        <v>0</v>
      </c>
      <c r="U46" s="25">
        <f t="shared" si="6"/>
        <v>0</v>
      </c>
      <c r="V46" s="25">
        <f t="shared" si="7"/>
        <v>0</v>
      </c>
      <c r="W46" s="24">
        <f t="shared" si="10"/>
        <v>0</v>
      </c>
      <c r="X46" s="20">
        <f t="shared" si="0"/>
        <v>0</v>
      </c>
      <c r="Y46" s="3"/>
      <c r="Z46" s="6"/>
      <c r="AA46" s="2"/>
      <c r="AB46" s="33">
        <f t="shared" si="33"/>
        <v>20</v>
      </c>
      <c r="AC46" s="37">
        <f t="shared" si="27"/>
        <v>10206</v>
      </c>
      <c r="AD46" s="36">
        <v>113321.48432876845</v>
      </c>
      <c r="AE46" s="40">
        <f t="shared" si="28"/>
        <v>2.3293604421290732</v>
      </c>
      <c r="AF46" s="2"/>
      <c r="AG46" s="33">
        <f t="shared" si="34"/>
        <v>20</v>
      </c>
      <c r="AH46" s="37">
        <f t="shared" si="30"/>
        <v>38508.959999999999</v>
      </c>
      <c r="AI46" s="36">
        <v>120896.42947395143</v>
      </c>
      <c r="AJ46" s="40">
        <f t="shared" si="31"/>
        <v>9.1695399251470491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17" t="s">
        <v>109</v>
      </c>
      <c r="B47" s="72">
        <f>IF(J24="No",J9*J10,0)</f>
        <v>8505</v>
      </c>
      <c r="C47" s="2" t="s">
        <v>3</v>
      </c>
      <c r="D47" s="2"/>
      <c r="E47" s="2" t="s">
        <v>94</v>
      </c>
      <c r="F47" s="97">
        <f>J12*J11</f>
        <v>180000</v>
      </c>
      <c r="G47" s="2" t="s">
        <v>98</v>
      </c>
      <c r="H47" s="2"/>
      <c r="I47" s="2"/>
      <c r="J47" s="2"/>
      <c r="K47" s="2"/>
      <c r="L47" s="18"/>
      <c r="M47" s="2"/>
      <c r="N47" s="12">
        <f t="shared" si="9"/>
        <v>0</v>
      </c>
      <c r="O47" s="12"/>
      <c r="P47" s="24">
        <f t="shared" si="1"/>
        <v>0</v>
      </c>
      <c r="Q47" s="25">
        <f t="shared" si="2"/>
        <v>0</v>
      </c>
      <c r="R47" s="25">
        <f t="shared" si="3"/>
        <v>0</v>
      </c>
      <c r="S47" s="25">
        <f t="shared" si="4"/>
        <v>0</v>
      </c>
      <c r="T47" s="25">
        <f t="shared" si="5"/>
        <v>0</v>
      </c>
      <c r="U47" s="25">
        <f t="shared" si="6"/>
        <v>0</v>
      </c>
      <c r="V47" s="25">
        <f t="shared" si="7"/>
        <v>0</v>
      </c>
      <c r="W47" s="24">
        <f t="shared" si="10"/>
        <v>0</v>
      </c>
      <c r="X47" s="20">
        <f t="shared" si="0"/>
        <v>0</v>
      </c>
      <c r="Y47" s="3"/>
      <c r="Z47" s="6"/>
      <c r="AA47" s="2"/>
      <c r="AB47" s="33">
        <f t="shared" si="33"/>
        <v>30</v>
      </c>
      <c r="AC47" s="37">
        <f t="shared" si="27"/>
        <v>11056.5</v>
      </c>
      <c r="AD47" s="36">
        <v>114611.27340640113</v>
      </c>
      <c r="AE47" s="40">
        <f t="shared" si="28"/>
        <v>3.4940406631936498</v>
      </c>
      <c r="AF47" s="2"/>
      <c r="AG47" s="33">
        <f t="shared" si="34"/>
        <v>30</v>
      </c>
      <c r="AH47" s="37">
        <f t="shared" si="30"/>
        <v>41718.04</v>
      </c>
      <c r="AI47" s="36">
        <v>123204.36096478364</v>
      </c>
      <c r="AJ47" s="40">
        <f t="shared" si="31"/>
        <v>11.253603285241551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30" t="s">
        <v>110</v>
      </c>
      <c r="B48" s="50">
        <f>(1+(B14/100))*B46</f>
        <v>42580.645161290326</v>
      </c>
      <c r="C48" s="2" t="s">
        <v>3</v>
      </c>
      <c r="D48" s="2"/>
      <c r="E48" s="2" t="s">
        <v>166</v>
      </c>
      <c r="F48" s="98">
        <f>(F46/F47)*J25</f>
        <v>0.10352557214999998</v>
      </c>
      <c r="G48" s="2" t="s">
        <v>4</v>
      </c>
      <c r="H48" s="2"/>
      <c r="I48" s="2"/>
      <c r="J48" s="2"/>
      <c r="K48" s="2"/>
      <c r="L48" s="18"/>
      <c r="M48" s="2"/>
      <c r="N48" s="12">
        <f t="shared" si="9"/>
        <v>0</v>
      </c>
      <c r="O48" s="12"/>
      <c r="P48" s="24">
        <f t="shared" si="1"/>
        <v>0</v>
      </c>
      <c r="Q48" s="25">
        <f t="shared" si="2"/>
        <v>0</v>
      </c>
      <c r="R48" s="25">
        <f t="shared" si="3"/>
        <v>0</v>
      </c>
      <c r="S48" s="25">
        <f t="shared" si="4"/>
        <v>0</v>
      </c>
      <c r="T48" s="25">
        <f t="shared" si="5"/>
        <v>0</v>
      </c>
      <c r="U48" s="25">
        <f t="shared" si="6"/>
        <v>0</v>
      </c>
      <c r="V48" s="25">
        <f t="shared" si="7"/>
        <v>0</v>
      </c>
      <c r="W48" s="24">
        <f t="shared" si="10"/>
        <v>0</v>
      </c>
      <c r="X48" s="20">
        <f t="shared" si="0"/>
        <v>0</v>
      </c>
      <c r="Y48" s="3"/>
      <c r="Z48" s="6"/>
      <c r="AA48" s="2"/>
      <c r="AB48" s="33">
        <f t="shared" si="33"/>
        <v>40</v>
      </c>
      <c r="AC48" s="37">
        <f t="shared" si="27"/>
        <v>11907</v>
      </c>
      <c r="AD48" s="36">
        <v>115901.06248403376</v>
      </c>
      <c r="AE48" s="40">
        <f t="shared" si="28"/>
        <v>4.6587208842581731</v>
      </c>
      <c r="AF48" s="2"/>
      <c r="AG48" s="33">
        <f t="shared" si="34"/>
        <v>40</v>
      </c>
      <c r="AH48" s="37">
        <f t="shared" si="30"/>
        <v>44927.119999999995</v>
      </c>
      <c r="AI48" s="36">
        <v>125512.29245561585</v>
      </c>
      <c r="AJ48" s="40">
        <f t="shared" si="31"/>
        <v>13.337666645336055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30" t="s">
        <v>111</v>
      </c>
      <c r="B49" s="5">
        <f>(1+(B14/100))*B47</f>
        <v>8505</v>
      </c>
      <c r="C49" s="2" t="s">
        <v>3</v>
      </c>
      <c r="D49" s="2"/>
      <c r="E49" s="2" t="s">
        <v>167</v>
      </c>
      <c r="F49" s="6">
        <f>J26*365</f>
        <v>36500</v>
      </c>
      <c r="G49" s="2" t="s">
        <v>43</v>
      </c>
      <c r="H49" s="2"/>
      <c r="I49" s="2"/>
      <c r="J49" s="2"/>
      <c r="K49" s="2"/>
      <c r="L49" s="18"/>
      <c r="M49" s="2"/>
      <c r="N49" s="13" t="s">
        <v>112</v>
      </c>
      <c r="O49" s="20">
        <f t="shared" ref="O49:X49" si="35">SUM(O8:O48)</f>
        <v>21630.28144887917</v>
      </c>
      <c r="P49" s="20">
        <f t="shared" si="35"/>
        <v>55370.821903428223</v>
      </c>
      <c r="Q49" s="20">
        <f t="shared" si="35"/>
        <v>8211.5158323929627</v>
      </c>
      <c r="R49" s="20">
        <f t="shared" si="35"/>
        <v>0</v>
      </c>
      <c r="S49" s="20">
        <f t="shared" si="35"/>
        <v>29839.261527144339</v>
      </c>
      <c r="T49" s="20">
        <f t="shared" si="35"/>
        <v>0</v>
      </c>
      <c r="U49" s="20">
        <f t="shared" si="35"/>
        <v>6346.5619483945184</v>
      </c>
      <c r="V49" s="20">
        <f t="shared" si="35"/>
        <v>0</v>
      </c>
      <c r="W49" s="20">
        <f t="shared" si="35"/>
        <v>-10656.536486736057</v>
      </c>
      <c r="X49" s="20">
        <f t="shared" si="35"/>
        <v>110741.90617350317</v>
      </c>
      <c r="Y49" s="3"/>
      <c r="Z49" s="3"/>
      <c r="AA49" s="2"/>
      <c r="AB49" s="33">
        <f t="shared" si="33"/>
        <v>50</v>
      </c>
      <c r="AC49" s="37">
        <f t="shared" si="27"/>
        <v>12757.5</v>
      </c>
      <c r="AD49" s="36">
        <v>117190.85156166644</v>
      </c>
      <c r="AE49" s="40">
        <f t="shared" si="28"/>
        <v>5.8234011053227484</v>
      </c>
      <c r="AF49" s="2"/>
      <c r="AG49" s="33">
        <f t="shared" si="34"/>
        <v>50</v>
      </c>
      <c r="AH49" s="37">
        <f t="shared" si="30"/>
        <v>48136.2</v>
      </c>
      <c r="AI49" s="36">
        <v>128688.60500142859</v>
      </c>
      <c r="AJ49" s="40">
        <f t="shared" si="31"/>
        <v>16.205878558571769</v>
      </c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 t="s">
        <v>113</v>
      </c>
      <c r="B50" s="50">
        <f>B48+B49</f>
        <v>51085.645161290326</v>
      </c>
      <c r="C50" s="2" t="s">
        <v>3</v>
      </c>
      <c r="D50" s="2"/>
      <c r="E50" s="2" t="s">
        <v>168</v>
      </c>
      <c r="F50" s="5">
        <f>F48*F49</f>
        <v>3778.6833834749991</v>
      </c>
      <c r="G50" s="99" t="s">
        <v>49</v>
      </c>
      <c r="H50" s="2"/>
      <c r="I50" s="2"/>
      <c r="J50" s="2"/>
      <c r="K50" s="2"/>
      <c r="L50" s="18"/>
      <c r="M50" s="2"/>
      <c r="N50" s="2"/>
      <c r="O50" s="2"/>
      <c r="P50" s="6"/>
      <c r="Q50" s="2"/>
      <c r="R50" s="50">
        <f>SUM(R49:S49)</f>
        <v>29839.261527144339</v>
      </c>
      <c r="S50" s="2"/>
      <c r="T50" s="2"/>
      <c r="U50" s="2"/>
      <c r="V50" s="2"/>
      <c r="W50" s="2"/>
      <c r="X50" s="50"/>
      <c r="Y50" s="50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 t="s">
        <v>114</v>
      </c>
      <c r="B51" s="50">
        <f>(1+(B15/100))*B50</f>
        <v>51085.645161290326</v>
      </c>
      <c r="C51" s="2" t="s">
        <v>3</v>
      </c>
      <c r="D51" s="2"/>
      <c r="E51" s="2" t="s">
        <v>169</v>
      </c>
      <c r="F51" s="100">
        <f>IF(F12&gt;F49,(F12-F49)*F48,0)</f>
        <v>0</v>
      </c>
      <c r="G51" s="99" t="s">
        <v>49</v>
      </c>
      <c r="H51" s="2"/>
      <c r="I51" s="2"/>
      <c r="J51" s="2"/>
      <c r="K51" s="2"/>
      <c r="L51" s="18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32" t="s">
        <v>48</v>
      </c>
      <c r="AC51" s="33"/>
      <c r="AD51" s="33"/>
      <c r="AE51" s="33"/>
      <c r="AF51" s="2"/>
      <c r="AG51" s="32" t="s">
        <v>159</v>
      </c>
      <c r="AH51" s="33"/>
      <c r="AI51" s="33"/>
      <c r="AJ51" s="33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30" t="s">
        <v>115</v>
      </c>
      <c r="B52" s="6">
        <f>SUM(B33:B41)+SUM(B51)</f>
        <v>72630.599179879719</v>
      </c>
      <c r="C52" s="2" t="s">
        <v>3</v>
      </c>
      <c r="D52" s="2"/>
      <c r="E52" s="2"/>
      <c r="F52" s="2"/>
      <c r="G52" s="2"/>
      <c r="H52" s="2"/>
      <c r="I52" s="2"/>
      <c r="J52" s="2"/>
      <c r="K52" s="2"/>
      <c r="L52" s="18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33" t="s">
        <v>79</v>
      </c>
      <c r="AC52" s="33" t="s">
        <v>138</v>
      </c>
      <c r="AD52" s="33" t="s">
        <v>23</v>
      </c>
      <c r="AE52" s="33" t="s">
        <v>81</v>
      </c>
      <c r="AF52" s="2"/>
      <c r="AG52" s="33" t="s">
        <v>79</v>
      </c>
      <c r="AH52" s="33" t="s">
        <v>170</v>
      </c>
      <c r="AI52" s="33" t="s">
        <v>23</v>
      </c>
      <c r="AJ52" s="33" t="s">
        <v>81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30" t="s">
        <v>116</v>
      </c>
      <c r="B53" s="6">
        <f>SUM(B31:B32)</f>
        <v>-529.66101694915255</v>
      </c>
      <c r="C53" s="2" t="s">
        <v>3</v>
      </c>
      <c r="D53" s="2"/>
      <c r="E53" s="2"/>
      <c r="F53" s="2"/>
      <c r="G53" s="2"/>
      <c r="H53" s="2"/>
      <c r="I53" s="2"/>
      <c r="J53" s="2"/>
      <c r="K53" s="2"/>
      <c r="L53" s="18"/>
      <c r="M53" s="2"/>
      <c r="N53" s="2"/>
      <c r="O53" s="1"/>
      <c r="P53" s="1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33" t="s">
        <v>85</v>
      </c>
      <c r="AC53" s="37">
        <v>1925.4479999999996</v>
      </c>
      <c r="AD53" s="36">
        <f>X49</f>
        <v>110741.90617350317</v>
      </c>
      <c r="AE53" s="33"/>
      <c r="AF53" s="2"/>
      <c r="AG53" s="33" t="s">
        <v>85</v>
      </c>
      <c r="AH53" s="37">
        <v>100</v>
      </c>
      <c r="AI53" s="36">
        <f>X49</f>
        <v>110741.90617350317</v>
      </c>
      <c r="AJ53" s="33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30" t="s">
        <v>172</v>
      </c>
      <c r="B54" s="6">
        <f>SUM(B52:B53)</f>
        <v>72100.938162930572</v>
      </c>
      <c r="C54" s="2" t="s">
        <v>3</v>
      </c>
      <c r="D54" s="2"/>
      <c r="E54" s="2"/>
      <c r="F54" s="2"/>
      <c r="G54" s="2"/>
      <c r="H54" s="2"/>
      <c r="I54" s="2"/>
      <c r="J54" s="2"/>
      <c r="K54" s="2"/>
      <c r="L54" s="18"/>
      <c r="M54" s="2"/>
      <c r="N54" s="51"/>
      <c r="O54" s="52" t="s">
        <v>118</v>
      </c>
      <c r="P54" s="53" t="str">
        <f>B1</f>
        <v>Malaysia</v>
      </c>
      <c r="Q54" s="51"/>
      <c r="R54" s="51"/>
      <c r="S54" s="51"/>
      <c r="T54" s="51"/>
      <c r="U54" s="51"/>
      <c r="V54" s="54"/>
      <c r="W54" s="2"/>
      <c r="X54" s="7"/>
      <c r="Y54" s="7"/>
      <c r="Z54" s="54"/>
      <c r="AA54" s="7"/>
      <c r="AB54" s="33">
        <f t="shared" ref="AB54:AB58" si="36">AB55-10</f>
        <v>-50</v>
      </c>
      <c r="AC54" s="37">
        <f t="shared" ref="AC54:AC64" si="37">$AC$53*(1+(AB54/100))</f>
        <v>962.72399999999982</v>
      </c>
      <c r="AD54" s="36">
        <f t="dataTable" ref="AD54:AD64" dt2D="0" dtr="0" r1="J39" ca="1"/>
        <v>103308.00663553865</v>
      </c>
      <c r="AE54" s="40">
        <f t="shared" ref="AE54:AE64" si="38">100*((AD54-$AD$59)/$AD$59)</f>
        <v>-6.7128152249046291</v>
      </c>
      <c r="AF54" s="2"/>
      <c r="AG54" s="33">
        <f t="shared" ref="AG54:AG56" si="39">AG55-20</f>
        <v>-100</v>
      </c>
      <c r="AH54" s="37">
        <f>$AH$53*(1+(AG54/100))</f>
        <v>0</v>
      </c>
      <c r="AI54" s="36">
        <f t="dataTable" ref="AI54:AI64" dt2D="0" dtr="0" r1="J26" ca="1"/>
        <v>110741.90617350317</v>
      </c>
      <c r="AJ54" s="40">
        <f>100*((AI54-$AI$59)/$AI$59)</f>
        <v>0</v>
      </c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17" t="s">
        <v>71</v>
      </c>
      <c r="B55" s="6">
        <f>J18/B8</f>
        <v>0</v>
      </c>
      <c r="C55" s="2" t="s">
        <v>3</v>
      </c>
      <c r="D55" s="2"/>
      <c r="E55" s="2"/>
      <c r="F55" s="2"/>
      <c r="G55" s="2"/>
      <c r="H55" s="2"/>
      <c r="I55" s="2"/>
      <c r="J55" s="2"/>
      <c r="K55" s="2"/>
      <c r="L55" s="18"/>
      <c r="M55" s="2"/>
      <c r="N55" s="2"/>
      <c r="O55" s="2" t="s">
        <v>119</v>
      </c>
      <c r="P55" s="50">
        <f>SUM(O49:P49)</f>
        <v>77001.1033523074</v>
      </c>
      <c r="Q55" s="2" t="s">
        <v>3</v>
      </c>
      <c r="R55" s="55">
        <f t="shared" ref="R55:R59" si="40">P55/$J$33</f>
        <v>0.23994759667040835</v>
      </c>
      <c r="S55" s="2" t="s">
        <v>4</v>
      </c>
      <c r="T55" s="2"/>
      <c r="U55" s="2"/>
      <c r="V55" s="54"/>
      <c r="W55" s="2"/>
      <c r="X55" s="7"/>
      <c r="Y55" s="7"/>
      <c r="Z55" s="54"/>
      <c r="AA55" s="7"/>
      <c r="AB55" s="33">
        <f t="shared" si="36"/>
        <v>-40</v>
      </c>
      <c r="AC55" s="37">
        <f t="shared" si="37"/>
        <v>1155.2687999999998</v>
      </c>
      <c r="AD55" s="36">
        <v>104794.78654313154</v>
      </c>
      <c r="AE55" s="40">
        <f t="shared" si="38"/>
        <v>-5.370252179923714</v>
      </c>
      <c r="AF55" s="2"/>
      <c r="AG55" s="33">
        <f t="shared" si="39"/>
        <v>-80</v>
      </c>
      <c r="AH55" s="37">
        <f t="shared" ref="AH55:AH64" si="41">$AH$53*(1+(AG55/100))</f>
        <v>19.999999999999996</v>
      </c>
      <c r="AI55" s="36">
        <v>110741.90617350317</v>
      </c>
      <c r="AJ55" s="40">
        <f t="shared" ref="AJ55:AJ64" si="42">100*((AI55-$AI$59)/$AI$59)</f>
        <v>0</v>
      </c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 t="s">
        <v>180</v>
      </c>
      <c r="B56" s="6">
        <f>SUM(B42:B43)</f>
        <v>30.317796610169491</v>
      </c>
      <c r="C56" s="2" t="s">
        <v>3</v>
      </c>
      <c r="D56" s="2"/>
      <c r="E56" s="2"/>
      <c r="F56" s="2"/>
      <c r="G56" s="2"/>
      <c r="H56" s="2"/>
      <c r="I56" s="2"/>
      <c r="J56" s="2"/>
      <c r="K56" s="2"/>
      <c r="L56" s="18"/>
      <c r="M56" s="2"/>
      <c r="N56" s="2"/>
      <c r="O56" s="2" t="s">
        <v>99</v>
      </c>
      <c r="P56" s="50">
        <f>SUM(Q49:R49)</f>
        <v>8211.5158323929627</v>
      </c>
      <c r="Q56" s="2" t="s">
        <v>3</v>
      </c>
      <c r="R56" s="55">
        <f t="shared" si="40"/>
        <v>2.5588379948125205E-2</v>
      </c>
      <c r="S56" s="2" t="s">
        <v>4</v>
      </c>
      <c r="T56" s="2"/>
      <c r="U56" s="2"/>
      <c r="V56" s="54"/>
      <c r="W56" s="2"/>
      <c r="X56" s="7"/>
      <c r="Y56" s="7"/>
      <c r="Z56" s="54"/>
      <c r="AA56" s="7"/>
      <c r="AB56" s="33">
        <f t="shared" si="36"/>
        <v>-30</v>
      </c>
      <c r="AC56" s="37">
        <f t="shared" si="37"/>
        <v>1347.8135999999997</v>
      </c>
      <c r="AD56" s="36">
        <v>106281.56645072445</v>
      </c>
      <c r="AE56" s="40">
        <f t="shared" si="38"/>
        <v>-4.0276891349427846</v>
      </c>
      <c r="AF56" s="2"/>
      <c r="AG56" s="33">
        <f t="shared" si="39"/>
        <v>-60</v>
      </c>
      <c r="AH56" s="37">
        <f t="shared" si="41"/>
        <v>40</v>
      </c>
      <c r="AI56" s="36">
        <v>110741.90617350317</v>
      </c>
      <c r="AJ56" s="40">
        <f t="shared" si="42"/>
        <v>0</v>
      </c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17" t="s">
        <v>120</v>
      </c>
      <c r="B57" s="6">
        <f>SUM(B54:B56)</f>
        <v>72131.255959540737</v>
      </c>
      <c r="C57" s="2" t="s">
        <v>3</v>
      </c>
      <c r="D57" s="2"/>
      <c r="E57" s="2"/>
      <c r="F57" s="2"/>
      <c r="G57" s="2"/>
      <c r="H57" s="2"/>
      <c r="I57" s="2"/>
      <c r="J57" s="2"/>
      <c r="K57" s="2"/>
      <c r="L57" s="18"/>
      <c r="M57" s="2"/>
      <c r="N57" s="2"/>
      <c r="O57" s="2" t="s">
        <v>121</v>
      </c>
      <c r="P57" s="50">
        <f>SUM(S49:T49)</f>
        <v>29839.261527144339</v>
      </c>
      <c r="Q57" s="2" t="s">
        <v>3</v>
      </c>
      <c r="R57" s="55">
        <f t="shared" si="40"/>
        <v>9.2983850596259174E-2</v>
      </c>
      <c r="S57" s="2" t="s">
        <v>4</v>
      </c>
      <c r="T57" s="2"/>
      <c r="U57" s="2"/>
      <c r="V57" s="54"/>
      <c r="W57" s="2"/>
      <c r="X57" s="7"/>
      <c r="Y57" s="7"/>
      <c r="Z57" s="54"/>
      <c r="AA57" s="7"/>
      <c r="AB57" s="33">
        <f t="shared" si="36"/>
        <v>-20</v>
      </c>
      <c r="AC57" s="37">
        <f t="shared" si="37"/>
        <v>1540.3583999999998</v>
      </c>
      <c r="AD57" s="36">
        <v>107768.34635831734</v>
      </c>
      <c r="AE57" s="40">
        <f t="shared" si="38"/>
        <v>-2.6851260899618703</v>
      </c>
      <c r="AF57" s="2"/>
      <c r="AG57" s="33">
        <f>AG58-20</f>
        <v>-40</v>
      </c>
      <c r="AH57" s="37">
        <f t="shared" si="41"/>
        <v>60</v>
      </c>
      <c r="AI57" s="36">
        <v>110741.90617350317</v>
      </c>
      <c r="AJ57" s="40">
        <f t="shared" si="42"/>
        <v>0</v>
      </c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4"/>
      <c r="M58" s="2"/>
      <c r="N58" s="2"/>
      <c r="O58" s="2" t="s">
        <v>122</v>
      </c>
      <c r="P58" s="50">
        <f>SUM(U49:V49)</f>
        <v>6346.5619483945184</v>
      </c>
      <c r="Q58" s="2" t="s">
        <v>3</v>
      </c>
      <c r="R58" s="55">
        <f t="shared" si="40"/>
        <v>1.9776889165725123E-2</v>
      </c>
      <c r="S58" s="2" t="s">
        <v>4</v>
      </c>
      <c r="T58" s="2"/>
      <c r="U58" s="2"/>
      <c r="V58" s="54"/>
      <c r="W58" s="2"/>
      <c r="X58" s="7"/>
      <c r="Y58" s="7"/>
      <c r="Z58" s="54"/>
      <c r="AA58" s="7"/>
      <c r="AB58" s="33">
        <f t="shared" si="36"/>
        <v>-10</v>
      </c>
      <c r="AC58" s="37">
        <f t="shared" si="37"/>
        <v>1732.9031999999997</v>
      </c>
      <c r="AD58" s="36">
        <v>109255.12626591024</v>
      </c>
      <c r="AE58" s="40">
        <f t="shared" si="38"/>
        <v>-1.3425630449809547</v>
      </c>
      <c r="AF58" s="2"/>
      <c r="AG58" s="33">
        <f>AG59-20</f>
        <v>-20</v>
      </c>
      <c r="AH58" s="37">
        <f t="shared" si="41"/>
        <v>80</v>
      </c>
      <c r="AI58" s="36">
        <v>110741.90617350317</v>
      </c>
      <c r="AJ58" s="40">
        <f t="shared" si="42"/>
        <v>0</v>
      </c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 t="s">
        <v>124</v>
      </c>
      <c r="P59" s="50">
        <f>W49</f>
        <v>-10656.536486736057</v>
      </c>
      <c r="Q59" s="2" t="s">
        <v>3</v>
      </c>
      <c r="R59" s="55">
        <f t="shared" si="40"/>
        <v>-3.3207450380595235E-2</v>
      </c>
      <c r="S59" s="2" t="s">
        <v>4</v>
      </c>
      <c r="T59" s="2"/>
      <c r="U59" s="2"/>
      <c r="V59" s="54"/>
      <c r="W59" s="2"/>
      <c r="X59" s="7"/>
      <c r="Y59" s="7"/>
      <c r="Z59" s="54"/>
      <c r="AA59" s="7"/>
      <c r="AB59" s="45">
        <v>0</v>
      </c>
      <c r="AC59" s="49">
        <f t="shared" si="37"/>
        <v>1925.4479999999996</v>
      </c>
      <c r="AD59" s="46">
        <v>110741.90617350317</v>
      </c>
      <c r="AE59" s="40">
        <f t="shared" si="38"/>
        <v>0</v>
      </c>
      <c r="AF59" s="2"/>
      <c r="AG59" s="45">
        <v>0</v>
      </c>
      <c r="AH59" s="88">
        <f t="shared" si="41"/>
        <v>100</v>
      </c>
      <c r="AI59" s="46">
        <v>110741.90617350317</v>
      </c>
      <c r="AJ59" s="87">
        <f t="shared" si="42"/>
        <v>0</v>
      </c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 t="s">
        <v>2</v>
      </c>
      <c r="P60" s="3">
        <f>SUM(P55:P59)</f>
        <v>110741.90617350316</v>
      </c>
      <c r="Q60" s="1" t="s">
        <v>3</v>
      </c>
      <c r="R60" s="57">
        <f>SUM(R55:R59)</f>
        <v>0.34508926599992262</v>
      </c>
      <c r="S60" s="1" t="s">
        <v>4</v>
      </c>
      <c r="T60" s="1"/>
      <c r="U60" s="2"/>
      <c r="V60" s="54"/>
      <c r="W60" s="2"/>
      <c r="X60" s="7"/>
      <c r="Y60" s="7"/>
      <c r="Z60" s="54"/>
      <c r="AA60" s="7"/>
      <c r="AB60" s="33">
        <f t="shared" ref="AB60:AB64" si="43">AB59+10</f>
        <v>10</v>
      </c>
      <c r="AC60" s="37">
        <f t="shared" si="37"/>
        <v>2117.9928</v>
      </c>
      <c r="AD60" s="36">
        <v>112228.68608109608</v>
      </c>
      <c r="AE60" s="40">
        <f t="shared" si="38"/>
        <v>1.3425630449809285</v>
      </c>
      <c r="AF60" s="2"/>
      <c r="AG60" s="33">
        <f>AG59+20</f>
        <v>20</v>
      </c>
      <c r="AH60" s="37">
        <f t="shared" si="41"/>
        <v>120</v>
      </c>
      <c r="AI60" s="36">
        <v>110741.90617350317</v>
      </c>
      <c r="AJ60" s="40">
        <f t="shared" si="42"/>
        <v>0</v>
      </c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54"/>
      <c r="W61" s="2"/>
      <c r="X61" s="7"/>
      <c r="Y61" s="7"/>
      <c r="Z61" s="54"/>
      <c r="AA61" s="7"/>
      <c r="AB61" s="33">
        <f t="shared" si="43"/>
        <v>20</v>
      </c>
      <c r="AC61" s="37">
        <f t="shared" si="37"/>
        <v>2310.5375999999997</v>
      </c>
      <c r="AD61" s="36">
        <v>113715.46598868897</v>
      </c>
      <c r="AE61" s="40">
        <f t="shared" si="38"/>
        <v>2.6851260899618437</v>
      </c>
      <c r="AF61" s="2"/>
      <c r="AG61" s="33">
        <f t="shared" ref="AG61:AG64" si="44">AG60+20</f>
        <v>40</v>
      </c>
      <c r="AH61" s="37">
        <f t="shared" si="41"/>
        <v>140</v>
      </c>
      <c r="AI61" s="36">
        <v>110741.90617350317</v>
      </c>
      <c r="AJ61" s="40">
        <f t="shared" si="42"/>
        <v>0</v>
      </c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54"/>
      <c r="W62" s="2"/>
      <c r="X62" s="7"/>
      <c r="Y62" s="7"/>
      <c r="Z62" s="54"/>
      <c r="AA62" s="7"/>
      <c r="AB62" s="33">
        <f t="shared" si="43"/>
        <v>30</v>
      </c>
      <c r="AC62" s="37">
        <f t="shared" si="37"/>
        <v>2503.0823999999998</v>
      </c>
      <c r="AD62" s="36">
        <v>115202.24589628186</v>
      </c>
      <c r="AE62" s="40">
        <f t="shared" si="38"/>
        <v>4.0276891349427597</v>
      </c>
      <c r="AF62" s="2"/>
      <c r="AG62" s="33">
        <f t="shared" si="44"/>
        <v>60</v>
      </c>
      <c r="AH62" s="37">
        <f t="shared" si="41"/>
        <v>160</v>
      </c>
      <c r="AI62" s="36">
        <v>110741.90617350317</v>
      </c>
      <c r="AJ62" s="40">
        <f t="shared" si="42"/>
        <v>0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54"/>
      <c r="W63" s="2"/>
      <c r="X63" s="7"/>
      <c r="Y63" s="7"/>
      <c r="Z63" s="54"/>
      <c r="AA63" s="7"/>
      <c r="AB63" s="33">
        <f t="shared" si="43"/>
        <v>40</v>
      </c>
      <c r="AC63" s="37">
        <f t="shared" si="37"/>
        <v>2695.6271999999994</v>
      </c>
      <c r="AD63" s="36">
        <v>116689.02580387476</v>
      </c>
      <c r="AE63" s="40">
        <f t="shared" si="38"/>
        <v>5.370252179923674</v>
      </c>
      <c r="AF63" s="2"/>
      <c r="AG63" s="33">
        <f t="shared" si="44"/>
        <v>80</v>
      </c>
      <c r="AH63" s="37">
        <f t="shared" si="41"/>
        <v>180</v>
      </c>
      <c r="AI63" s="36">
        <v>110741.90617350317</v>
      </c>
      <c r="AJ63" s="40">
        <f t="shared" si="42"/>
        <v>0</v>
      </c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54"/>
      <c r="W64" s="2"/>
      <c r="X64" s="7"/>
      <c r="Y64" s="7"/>
      <c r="Z64" s="54"/>
      <c r="AA64" s="7"/>
      <c r="AB64" s="33">
        <f t="shared" si="43"/>
        <v>50</v>
      </c>
      <c r="AC64" s="37">
        <f t="shared" si="37"/>
        <v>2888.1719999999996</v>
      </c>
      <c r="AD64" s="36">
        <v>118175.80571146769</v>
      </c>
      <c r="AE64" s="40">
        <f t="shared" si="38"/>
        <v>6.7128152249046291</v>
      </c>
      <c r="AF64" s="2"/>
      <c r="AG64" s="33">
        <f t="shared" si="44"/>
        <v>100</v>
      </c>
      <c r="AH64" s="37">
        <f t="shared" si="41"/>
        <v>200</v>
      </c>
      <c r="AI64" s="36">
        <v>110741.90617350317</v>
      </c>
      <c r="AJ64" s="40">
        <f t="shared" si="42"/>
        <v>0</v>
      </c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54"/>
      <c r="W65" s="2"/>
      <c r="X65" s="7"/>
      <c r="Y65" s="7"/>
      <c r="Z65" s="54"/>
      <c r="AA65" s="7"/>
      <c r="AB65" s="2"/>
      <c r="AC65" s="2"/>
      <c r="AD65" s="2"/>
      <c r="AE65" s="2"/>
      <c r="AF65" s="2"/>
      <c r="AG65" s="2"/>
      <c r="AH65" s="23"/>
      <c r="AI65" s="6"/>
      <c r="AJ65" s="56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54"/>
      <c r="W66" s="2"/>
      <c r="X66" s="7"/>
      <c r="Y66" s="7"/>
      <c r="Z66" s="54"/>
      <c r="AA66" s="7"/>
      <c r="AB66" s="32" t="s">
        <v>196</v>
      </c>
      <c r="AC66" s="33"/>
      <c r="AD66" s="33"/>
      <c r="AE66" s="33"/>
      <c r="AF66" s="2"/>
      <c r="AG66" s="2"/>
      <c r="AH66" s="23"/>
      <c r="AI66" s="6"/>
      <c r="AJ66" s="56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54"/>
      <c r="W67" s="2"/>
      <c r="X67" s="7"/>
      <c r="Y67" s="7"/>
      <c r="Z67" s="54"/>
      <c r="AA67" s="7"/>
      <c r="AB67" s="33" t="s">
        <v>79</v>
      </c>
      <c r="AC67" s="33" t="s">
        <v>196</v>
      </c>
      <c r="AD67" s="33" t="s">
        <v>23</v>
      </c>
      <c r="AE67" s="33" t="s">
        <v>81</v>
      </c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54"/>
      <c r="W68" s="2"/>
      <c r="X68" s="7"/>
      <c r="Y68" s="7"/>
      <c r="Z68" s="54"/>
      <c r="AA68" s="7"/>
      <c r="AB68" s="33" t="s">
        <v>85</v>
      </c>
      <c r="AC68" s="35">
        <v>0.19</v>
      </c>
      <c r="AD68" s="36">
        <f>X49</f>
        <v>110741.90617350317</v>
      </c>
      <c r="AE68" s="33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58"/>
      <c r="Y69" s="58"/>
      <c r="Z69" s="2"/>
      <c r="AA69" s="58"/>
      <c r="AB69" s="33">
        <f t="shared" ref="AB69:AB73" si="45">AB70-10</f>
        <v>-50</v>
      </c>
      <c r="AC69" s="35">
        <f>$AC$68*(1+(-AB69/100))</f>
        <v>0.28500000000000003</v>
      </c>
      <c r="AD69" s="36">
        <f t="dataTable" ref="AD69:AD79" dt2D="0" dtr="0" r1="J17" ca="1"/>
        <v>114847.66408969965</v>
      </c>
      <c r="AE69" s="40">
        <f>100*((AD69-$AD$74)/$AD$74)</f>
        <v>3.7075015755678336</v>
      </c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33">
        <f t="shared" si="45"/>
        <v>-40</v>
      </c>
      <c r="AC70" s="35">
        <f t="shared" ref="AC70:AC79" si="46">$AC$68*(1+(-AB70/100))</f>
        <v>0.26599999999999996</v>
      </c>
      <c r="AD70" s="36">
        <v>114026.51250646033</v>
      </c>
      <c r="AE70" s="40">
        <f t="shared" ref="AE70:AE79" si="47">100*((AD70-$AD$74)/$AD$74)</f>
        <v>2.9660012604542461</v>
      </c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33">
        <f t="shared" si="45"/>
        <v>-30</v>
      </c>
      <c r="AC71" s="35">
        <f t="shared" si="46"/>
        <v>0.24700000000000003</v>
      </c>
      <c r="AD71" s="36">
        <v>113205.36092322104</v>
      </c>
      <c r="AE71" s="40">
        <f t="shared" si="47"/>
        <v>2.2245009453406848</v>
      </c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33">
        <f t="shared" si="45"/>
        <v>-20</v>
      </c>
      <c r="AC72" s="35">
        <f t="shared" si="46"/>
        <v>0.22799999999999998</v>
      </c>
      <c r="AD72" s="36">
        <v>112384.20933998174</v>
      </c>
      <c r="AE72" s="40">
        <f t="shared" si="47"/>
        <v>1.4830006302271099</v>
      </c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33">
        <f t="shared" si="45"/>
        <v>-10</v>
      </c>
      <c r="AC73" s="35">
        <f t="shared" si="46"/>
        <v>0.20900000000000002</v>
      </c>
      <c r="AD73" s="36">
        <v>111563.05775674245</v>
      </c>
      <c r="AE73" s="40">
        <f t="shared" si="47"/>
        <v>0.7415003151135483</v>
      </c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45">
        <v>0</v>
      </c>
      <c r="AC74" s="85">
        <f t="shared" si="46"/>
        <v>0.19</v>
      </c>
      <c r="AD74" s="46">
        <v>110741.90617350317</v>
      </c>
      <c r="AE74" s="87">
        <f t="shared" si="47"/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33">
        <f t="shared" ref="AB75:AB79" si="48">AB74+10</f>
        <v>10</v>
      </c>
      <c r="AC75" s="35">
        <f t="shared" si="46"/>
        <v>0.17100000000000001</v>
      </c>
      <c r="AD75" s="36">
        <v>109920.75459026387</v>
      </c>
      <c r="AE75" s="40">
        <f t="shared" si="47"/>
        <v>-0.74150031511357462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33">
        <f t="shared" si="48"/>
        <v>20</v>
      </c>
      <c r="AC76" s="35">
        <f t="shared" si="46"/>
        <v>0.15200000000000002</v>
      </c>
      <c r="AD76" s="36">
        <v>109099.60300702459</v>
      </c>
      <c r="AE76" s="40">
        <f t="shared" si="47"/>
        <v>-1.483000630227123</v>
      </c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33">
        <f t="shared" si="48"/>
        <v>30</v>
      </c>
      <c r="AC77" s="35">
        <f t="shared" si="46"/>
        <v>0.13299999999999998</v>
      </c>
      <c r="AD77" s="36">
        <v>108278.45142378526</v>
      </c>
      <c r="AE77" s="40">
        <f t="shared" si="47"/>
        <v>-2.2245009453407238</v>
      </c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33">
        <f t="shared" si="48"/>
        <v>40</v>
      </c>
      <c r="AC78" s="35">
        <f t="shared" si="46"/>
        <v>0.11399999999999999</v>
      </c>
      <c r="AD78" s="36">
        <v>107457.29984054597</v>
      </c>
      <c r="AE78" s="40">
        <f t="shared" si="47"/>
        <v>-2.9660012604542851</v>
      </c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33">
        <f t="shared" si="48"/>
        <v>50</v>
      </c>
      <c r="AC79" s="35">
        <f t="shared" si="46"/>
        <v>9.5000000000000001E-2</v>
      </c>
      <c r="AD79" s="36">
        <v>106636.14825730669</v>
      </c>
      <c r="AE79" s="40">
        <f t="shared" si="47"/>
        <v>-3.7075015755678336</v>
      </c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  <row r="997" spans="1:51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</row>
    <row r="998" spans="1:51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</row>
    <row r="999" spans="1:51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</row>
    <row r="1000" spans="1:51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</row>
  </sheetData>
  <pageMargins left="0.7" right="0.7" top="0.75" bottom="0.75" header="0" footer="0"/>
  <pageSetup orientation="landscape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464B7D4-FC3F-4E63-881E-6780D6A62815}">
          <x14:formula1>
            <xm:f>Description!$A$18:$A$19</xm:f>
          </x14:formula1>
          <xm:sqref>J24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AO1000"/>
  <sheetViews>
    <sheetView topLeftCell="D6" zoomScale="102" zoomScaleNormal="100" workbookViewId="0">
      <selection activeCell="J8" sqref="J8:J16"/>
    </sheetView>
  </sheetViews>
  <sheetFormatPr defaultColWidth="14.42578125" defaultRowHeight="15" customHeight="1" x14ac:dyDescent="0.25"/>
  <cols>
    <col min="1" max="1" width="52.7109375" customWidth="1"/>
    <col min="2" max="2" width="17.42578125" customWidth="1"/>
    <col min="3" max="3" width="16.28515625" customWidth="1"/>
    <col min="4" max="4" width="8.85546875" customWidth="1"/>
    <col min="5" max="5" width="48" customWidth="1"/>
    <col min="6" max="6" width="14.28515625" customWidth="1"/>
    <col min="7" max="7" width="8.85546875" customWidth="1"/>
    <col min="8" max="8" width="19.28515625" customWidth="1"/>
    <col min="9" max="9" width="37.85546875" customWidth="1"/>
    <col min="10" max="10" width="17.4257812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16.42578125" customWidth="1"/>
    <col min="19" max="19" width="16" customWidth="1"/>
    <col min="20" max="20" width="22" customWidth="1"/>
    <col min="21" max="21" width="23.85546875" customWidth="1"/>
    <col min="22" max="22" width="12.7109375" customWidth="1"/>
    <col min="23" max="23" width="19.42578125" customWidth="1"/>
    <col min="24" max="24" width="13.42578125" customWidth="1"/>
    <col min="25" max="25" width="8.85546875" customWidth="1"/>
    <col min="26" max="26" width="20.140625" customWidth="1"/>
    <col min="27" max="27" width="25" customWidth="1"/>
    <col min="28" max="28" width="12.85546875" customWidth="1"/>
    <col min="29" max="29" width="19" customWidth="1"/>
    <col min="30" max="30" width="4.7109375" customWidth="1"/>
    <col min="31" max="31" width="20.140625" customWidth="1"/>
    <col min="32" max="32" width="19.28515625" customWidth="1"/>
    <col min="33" max="33" width="11.28515625" customWidth="1"/>
    <col min="34" max="34" width="17.85546875" customWidth="1"/>
  </cols>
  <sheetData>
    <row r="1" spans="1:34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5">
      <c r="A2" s="1" t="s">
        <v>2</v>
      </c>
      <c r="B2" s="3">
        <f>U49</f>
        <v>66942.123765182769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2"/>
      <c r="B3" s="4">
        <f>B2/F40</f>
        <v>0.20860222794440392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" t="s">
        <v>7</v>
      </c>
      <c r="AA4" s="2"/>
      <c r="AB4" s="2"/>
      <c r="AC4" s="2"/>
      <c r="AD4" s="2"/>
      <c r="AE4" s="2"/>
      <c r="AF4" s="2"/>
      <c r="AG4" s="2"/>
      <c r="AH4" s="2"/>
    </row>
    <row r="5" spans="1:34" x14ac:dyDescent="0.25">
      <c r="A5" s="2" t="s">
        <v>8</v>
      </c>
      <c r="B5" s="6">
        <v>10</v>
      </c>
      <c r="C5" s="2" t="s">
        <v>9</v>
      </c>
      <c r="D5" s="2"/>
      <c r="E5" s="2"/>
      <c r="F5" s="2"/>
      <c r="G5" s="2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5">
      <c r="A7" s="8" t="s">
        <v>11</v>
      </c>
      <c r="B7" s="9"/>
      <c r="C7" s="9"/>
      <c r="D7" s="9"/>
      <c r="E7" s="9"/>
      <c r="F7" s="9"/>
      <c r="G7" s="9"/>
      <c r="H7" s="10"/>
      <c r="I7" s="11" t="s">
        <v>12</v>
      </c>
      <c r="J7" s="9"/>
      <c r="K7" s="9"/>
      <c r="L7" s="10"/>
      <c r="M7" s="2"/>
      <c r="N7" s="12" t="s">
        <v>13</v>
      </c>
      <c r="O7" s="12" t="s">
        <v>14</v>
      </c>
      <c r="P7" s="12" t="s">
        <v>15</v>
      </c>
      <c r="Q7" s="12" t="s">
        <v>125</v>
      </c>
      <c r="R7" s="12" t="s">
        <v>126</v>
      </c>
      <c r="S7" s="12" t="s">
        <v>19</v>
      </c>
      <c r="T7" s="12" t="s">
        <v>22</v>
      </c>
      <c r="U7" s="13" t="s">
        <v>23</v>
      </c>
      <c r="V7" s="1"/>
      <c r="W7" s="2"/>
      <c r="X7" s="2"/>
      <c r="Y7" s="2"/>
      <c r="Z7" s="2" t="s">
        <v>24</v>
      </c>
      <c r="AA7" s="2"/>
      <c r="AB7" s="2"/>
      <c r="AC7" s="2"/>
      <c r="AD7" s="2"/>
      <c r="AE7" s="2"/>
      <c r="AF7" s="2"/>
      <c r="AG7" s="2"/>
      <c r="AH7" s="2"/>
    </row>
    <row r="8" spans="1:34" x14ac:dyDescent="0.25">
      <c r="A8" s="14" t="s">
        <v>25</v>
      </c>
      <c r="B8" s="15">
        <v>4.72</v>
      </c>
      <c r="C8" s="2" t="s">
        <v>26</v>
      </c>
      <c r="D8" s="2"/>
      <c r="E8" s="2"/>
      <c r="F8" s="2"/>
      <c r="G8" s="2"/>
      <c r="H8" s="16"/>
      <c r="I8" s="17" t="s">
        <v>197</v>
      </c>
      <c r="J8" s="6">
        <v>45677.419354838712</v>
      </c>
      <c r="K8" s="2" t="s">
        <v>28</v>
      </c>
      <c r="L8" s="18"/>
      <c r="M8" s="2"/>
      <c r="N8" s="12">
        <v>0</v>
      </c>
      <c r="O8" s="19">
        <f>F31</f>
        <v>5395.1450929469665</v>
      </c>
      <c r="P8" s="12"/>
      <c r="Q8" s="12"/>
      <c r="R8" s="12"/>
      <c r="S8" s="12"/>
      <c r="T8" s="12"/>
      <c r="U8" s="20">
        <f t="shared" ref="U8:U48" si="0">SUM(O8:T8)</f>
        <v>5395.1450929469665</v>
      </c>
      <c r="V8" s="3"/>
      <c r="W8" s="6"/>
      <c r="X8" s="2"/>
      <c r="Y8" s="2"/>
      <c r="Z8" s="21" t="s">
        <v>182</v>
      </c>
      <c r="AA8" s="22">
        <f>F36</f>
        <v>0.45550847457627119</v>
      </c>
      <c r="AB8" s="21" t="s">
        <v>128</v>
      </c>
      <c r="AC8" s="2"/>
      <c r="AD8" s="2"/>
      <c r="AE8" s="2"/>
      <c r="AF8" s="2"/>
      <c r="AG8" s="2"/>
      <c r="AH8" s="2"/>
    </row>
    <row r="9" spans="1:34" x14ac:dyDescent="0.25">
      <c r="A9" s="14"/>
      <c r="B9" s="2"/>
      <c r="C9" s="2"/>
      <c r="D9" s="2"/>
      <c r="E9" s="2"/>
      <c r="F9" s="23"/>
      <c r="G9" s="2"/>
      <c r="H9" s="16"/>
      <c r="I9" s="17" t="s">
        <v>129</v>
      </c>
      <c r="J9" s="15">
        <v>0.16</v>
      </c>
      <c r="K9" s="2" t="s">
        <v>130</v>
      </c>
      <c r="L9" s="18"/>
      <c r="M9" s="2"/>
      <c r="N9" s="12">
        <v>1</v>
      </c>
      <c r="O9" s="12"/>
      <c r="P9" s="24">
        <f t="shared" ref="P9:P48" si="1">IF(N9&gt;0,IF(N9&lt;=$J$15,(($F$32+$F$33)/$J$15)/((1+($F$11/100))^N9),0),0)</f>
        <v>3038.0661478950251</v>
      </c>
      <c r="Q9" s="25">
        <f t="shared" ref="Q9:Q48" si="2">IF(N9&gt;0,($F$38*((1+($F$14/100))^(N9-1)))/((1+($F$11/100))^N9),0)</f>
        <v>2227.4485875706214</v>
      </c>
      <c r="R9" s="25">
        <f t="shared" ref="R9:R48" si="3">IF(N9&gt;0,$J$30/((1+($F$11/100))^N9),0)</f>
        <v>3548.9058918482642</v>
      </c>
      <c r="S9" s="25">
        <f t="shared" ref="S9:S48" si="4">IF(N9&gt;0,($F$16/$B$8)/((1+($F$11/100))^N9),0)</f>
        <v>474.72154963680384</v>
      </c>
      <c r="T9" s="24">
        <f t="shared" ref="T9:T48" si="5">IF(N9=$B$5,((((1-$J$11/100)^N9)*$B$48)/((1+($F$11/100))^N9))*-1,0)</f>
        <v>0</v>
      </c>
      <c r="U9" s="20">
        <f t="shared" si="0"/>
        <v>9289.1421769507142</v>
      </c>
      <c r="V9" s="3"/>
      <c r="W9" s="6"/>
      <c r="X9" s="2"/>
      <c r="Y9" s="2"/>
      <c r="Z9" s="21" t="s">
        <v>172</v>
      </c>
      <c r="AA9" s="28">
        <f>B51</f>
        <v>17953.49917987972</v>
      </c>
      <c r="AB9" s="21" t="s">
        <v>3</v>
      </c>
      <c r="AC9" s="2"/>
      <c r="AD9" s="6"/>
      <c r="AE9" s="2"/>
      <c r="AF9" s="2"/>
      <c r="AG9" s="2"/>
      <c r="AH9" s="2"/>
    </row>
    <row r="10" spans="1:34" x14ac:dyDescent="0.25">
      <c r="A10" s="27" t="s">
        <v>33</v>
      </c>
      <c r="B10" s="2"/>
      <c r="C10" s="2"/>
      <c r="D10" s="2"/>
      <c r="E10" s="1" t="s">
        <v>34</v>
      </c>
      <c r="F10" s="2"/>
      <c r="G10" s="2"/>
      <c r="H10" s="18"/>
      <c r="I10" s="17" t="s">
        <v>52</v>
      </c>
      <c r="J10" s="2">
        <v>30</v>
      </c>
      <c r="K10" s="2" t="s">
        <v>53</v>
      </c>
      <c r="L10" s="18"/>
      <c r="M10" s="2"/>
      <c r="N10" s="12">
        <f t="shared" ref="N10:N48" si="6">IF((N9+1)&gt;$B$5,,IF(N9=0,,N9+1))</f>
        <v>2</v>
      </c>
      <c r="O10" s="12"/>
      <c r="P10" s="24">
        <f t="shared" si="1"/>
        <v>2893.3963313285954</v>
      </c>
      <c r="Q10" s="25">
        <f t="shared" si="2"/>
        <v>2142.593403282217</v>
      </c>
      <c r="R10" s="25">
        <f t="shared" si="3"/>
        <v>3379.9103731888231</v>
      </c>
      <c r="S10" s="25">
        <f t="shared" si="4"/>
        <v>452.11576155886081</v>
      </c>
      <c r="T10" s="24">
        <f t="shared" si="5"/>
        <v>0</v>
      </c>
      <c r="U10" s="20">
        <f t="shared" si="0"/>
        <v>8868.0158693584945</v>
      </c>
      <c r="V10" s="3"/>
      <c r="W10" s="6"/>
      <c r="X10" s="2"/>
      <c r="Y10" s="2"/>
      <c r="Z10" s="21" t="s">
        <v>42</v>
      </c>
      <c r="AA10" s="29">
        <f>F12</f>
        <v>32090.799999999999</v>
      </c>
      <c r="AB10" s="21" t="s">
        <v>43</v>
      </c>
      <c r="AC10" s="2"/>
      <c r="AD10" s="6"/>
      <c r="AE10" s="2"/>
      <c r="AF10" s="2"/>
      <c r="AG10" s="2"/>
      <c r="AH10" s="2"/>
    </row>
    <row r="11" spans="1:34" x14ac:dyDescent="0.25">
      <c r="A11" s="30" t="s">
        <v>131</v>
      </c>
      <c r="B11" s="2">
        <v>0</v>
      </c>
      <c r="C11" s="2" t="s">
        <v>28</v>
      </c>
      <c r="D11" s="2"/>
      <c r="E11" s="17" t="s">
        <v>38</v>
      </c>
      <c r="F11" s="2">
        <v>5</v>
      </c>
      <c r="G11" s="2" t="s">
        <v>39</v>
      </c>
      <c r="H11" s="18"/>
      <c r="I11" s="17" t="s">
        <v>61</v>
      </c>
      <c r="J11" s="2">
        <v>7.08</v>
      </c>
      <c r="K11" s="2" t="s">
        <v>62</v>
      </c>
      <c r="L11" s="18"/>
      <c r="M11" s="2"/>
      <c r="N11" s="12">
        <f t="shared" si="6"/>
        <v>3</v>
      </c>
      <c r="O11" s="12"/>
      <c r="P11" s="24">
        <f t="shared" si="1"/>
        <v>2755.6155536462811</v>
      </c>
      <c r="Q11" s="25">
        <f t="shared" si="2"/>
        <v>2060.9707974428943</v>
      </c>
      <c r="R11" s="25">
        <f t="shared" si="3"/>
        <v>3218.9622601798314</v>
      </c>
      <c r="S11" s="25">
        <f t="shared" si="4"/>
        <v>430.58643957986737</v>
      </c>
      <c r="T11" s="24">
        <f t="shared" si="5"/>
        <v>0</v>
      </c>
      <c r="U11" s="20">
        <f t="shared" si="0"/>
        <v>8466.135050848874</v>
      </c>
      <c r="V11" s="3"/>
      <c r="W11" s="6"/>
      <c r="X11" s="2"/>
      <c r="Y11" s="2"/>
      <c r="Z11" s="31" t="s">
        <v>48</v>
      </c>
      <c r="AA11" s="29">
        <f>J34</f>
        <v>3209.08</v>
      </c>
      <c r="AB11" s="21" t="s">
        <v>49</v>
      </c>
      <c r="AC11" s="2"/>
      <c r="AD11" s="6"/>
      <c r="AE11" s="2"/>
      <c r="AF11" s="2"/>
      <c r="AG11" s="2"/>
      <c r="AH11" s="2"/>
    </row>
    <row r="12" spans="1:34" x14ac:dyDescent="0.25">
      <c r="A12" s="30" t="s">
        <v>44</v>
      </c>
      <c r="B12" s="2">
        <v>0</v>
      </c>
      <c r="C12" s="2" t="s">
        <v>39</v>
      </c>
      <c r="D12" s="2"/>
      <c r="E12" s="17" t="s">
        <v>45</v>
      </c>
      <c r="F12" s="59">
        <v>32090.799999999999</v>
      </c>
      <c r="G12" s="2" t="s">
        <v>43</v>
      </c>
      <c r="H12" s="18"/>
      <c r="I12" s="2"/>
      <c r="J12" s="2"/>
      <c r="K12" s="2"/>
      <c r="L12" s="18"/>
      <c r="M12" s="2"/>
      <c r="N12" s="12">
        <f t="shared" si="6"/>
        <v>4</v>
      </c>
      <c r="O12" s="12"/>
      <c r="P12" s="24">
        <f t="shared" si="1"/>
        <v>2624.3957653774105</v>
      </c>
      <c r="Q12" s="25">
        <f t="shared" si="2"/>
        <v>1982.4576242069745</v>
      </c>
      <c r="R12" s="25">
        <f t="shared" si="3"/>
        <v>3065.6783430284113</v>
      </c>
      <c r="S12" s="25">
        <f t="shared" si="4"/>
        <v>410.08232340939753</v>
      </c>
      <c r="T12" s="24">
        <f t="shared" si="5"/>
        <v>0</v>
      </c>
      <c r="U12" s="20">
        <f t="shared" si="0"/>
        <v>8082.6140560221938</v>
      </c>
      <c r="V12" s="3"/>
      <c r="W12" s="6"/>
      <c r="X12" s="2"/>
      <c r="Y12" s="2"/>
      <c r="Z12" s="118" t="s">
        <v>196</v>
      </c>
      <c r="AA12" s="119">
        <f>J9</f>
        <v>0.16</v>
      </c>
      <c r="AB12" s="118" t="s">
        <v>130</v>
      </c>
      <c r="AC12" s="2"/>
      <c r="AD12" s="6"/>
      <c r="AE12" s="2"/>
      <c r="AF12" s="2"/>
      <c r="AG12" s="2"/>
      <c r="AH12" s="2"/>
    </row>
    <row r="13" spans="1:34" x14ac:dyDescent="0.25">
      <c r="A13" s="2" t="s">
        <v>50</v>
      </c>
      <c r="B13" s="2">
        <v>24</v>
      </c>
      <c r="C13" s="2" t="s">
        <v>39</v>
      </c>
      <c r="D13" s="2"/>
      <c r="E13" s="17" t="s">
        <v>127</v>
      </c>
      <c r="F13" s="15">
        <v>2.15</v>
      </c>
      <c r="G13" s="2" t="s">
        <v>132</v>
      </c>
      <c r="H13" s="18"/>
      <c r="I13" s="17"/>
      <c r="J13" s="6"/>
      <c r="K13" s="2"/>
      <c r="L13" s="18"/>
      <c r="M13" s="2"/>
      <c r="N13" s="12">
        <f t="shared" si="6"/>
        <v>5</v>
      </c>
      <c r="O13" s="12"/>
      <c r="P13" s="24">
        <f t="shared" si="1"/>
        <v>2499.4245384546766</v>
      </c>
      <c r="Q13" s="25">
        <f t="shared" si="2"/>
        <v>1906.9354289990897</v>
      </c>
      <c r="R13" s="25">
        <f t="shared" si="3"/>
        <v>2919.6936600270578</v>
      </c>
      <c r="S13" s="25">
        <f t="shared" si="4"/>
        <v>390.55459372323571</v>
      </c>
      <c r="T13" s="24">
        <f t="shared" si="5"/>
        <v>0</v>
      </c>
      <c r="U13" s="20">
        <f t="shared" si="0"/>
        <v>7716.6082212040592</v>
      </c>
      <c r="V13" s="3"/>
      <c r="W13" s="6"/>
      <c r="X13" s="2"/>
      <c r="Y13" s="2"/>
      <c r="Z13" s="2"/>
      <c r="AA13" s="2"/>
      <c r="AB13" s="2"/>
      <c r="AC13" s="2"/>
      <c r="AD13" s="6"/>
      <c r="AE13" s="2"/>
      <c r="AF13" s="2"/>
      <c r="AG13" s="2"/>
      <c r="AH13" s="2"/>
    </row>
    <row r="14" spans="1:34" x14ac:dyDescent="0.25">
      <c r="A14" s="30" t="s">
        <v>54</v>
      </c>
      <c r="B14" s="2">
        <v>30</v>
      </c>
      <c r="C14" s="2" t="s">
        <v>39</v>
      </c>
      <c r="D14" s="2"/>
      <c r="E14" s="17" t="s">
        <v>133</v>
      </c>
      <c r="F14" s="2">
        <v>1</v>
      </c>
      <c r="G14" s="2" t="s">
        <v>56</v>
      </c>
      <c r="H14" s="18"/>
      <c r="I14" s="1" t="s">
        <v>78</v>
      </c>
      <c r="J14" s="2"/>
      <c r="K14" s="2"/>
      <c r="L14" s="18"/>
      <c r="M14" s="2"/>
      <c r="N14" s="12">
        <f t="shared" si="6"/>
        <v>6</v>
      </c>
      <c r="O14" s="12"/>
      <c r="P14" s="24">
        <f t="shared" si="1"/>
        <v>0</v>
      </c>
      <c r="Q14" s="25">
        <f t="shared" si="2"/>
        <v>1834.2902697991244</v>
      </c>
      <c r="R14" s="25">
        <f t="shared" si="3"/>
        <v>2780.6606285971984</v>
      </c>
      <c r="S14" s="25">
        <f t="shared" si="4"/>
        <v>371.95675592689122</v>
      </c>
      <c r="T14" s="24">
        <f t="shared" si="5"/>
        <v>0</v>
      </c>
      <c r="U14" s="20">
        <f t="shared" si="0"/>
        <v>4986.9076543232131</v>
      </c>
      <c r="V14" s="3"/>
      <c r="W14" s="6"/>
      <c r="X14" s="2"/>
      <c r="Y14" s="2"/>
      <c r="Z14" s="2"/>
      <c r="AA14" s="2"/>
      <c r="AB14" s="2"/>
      <c r="AC14" s="2"/>
      <c r="AD14" s="6"/>
      <c r="AE14" s="2"/>
      <c r="AF14" s="2"/>
      <c r="AG14" s="2"/>
      <c r="AH14" s="2"/>
    </row>
    <row r="15" spans="1:34" x14ac:dyDescent="0.25">
      <c r="A15" s="2" t="s">
        <v>134</v>
      </c>
      <c r="B15" s="2">
        <v>0</v>
      </c>
      <c r="C15" s="2" t="s">
        <v>39</v>
      </c>
      <c r="D15" s="2"/>
      <c r="E15" s="17" t="s">
        <v>63</v>
      </c>
      <c r="F15" s="2">
        <v>0</v>
      </c>
      <c r="G15" s="2" t="s">
        <v>60</v>
      </c>
      <c r="H15" s="18"/>
      <c r="I15" s="17" t="s">
        <v>84</v>
      </c>
      <c r="J15" s="2">
        <v>5</v>
      </c>
      <c r="K15" s="2" t="s">
        <v>53</v>
      </c>
      <c r="L15" s="18"/>
      <c r="M15" s="2"/>
      <c r="N15" s="12">
        <f t="shared" si="6"/>
        <v>7</v>
      </c>
      <c r="O15" s="12"/>
      <c r="P15" s="24">
        <f t="shared" si="1"/>
        <v>0</v>
      </c>
      <c r="Q15" s="25">
        <f t="shared" si="2"/>
        <v>1764.4125452353483</v>
      </c>
      <c r="R15" s="25">
        <f t="shared" si="3"/>
        <v>2648.2482177116171</v>
      </c>
      <c r="S15" s="25">
        <f t="shared" si="4"/>
        <v>354.24452945418204</v>
      </c>
      <c r="T15" s="24">
        <f t="shared" si="5"/>
        <v>0</v>
      </c>
      <c r="U15" s="20">
        <f t="shared" si="0"/>
        <v>4766.9052924011476</v>
      </c>
      <c r="V15" s="3"/>
      <c r="W15" s="6"/>
      <c r="X15" s="2"/>
      <c r="Y15" s="2"/>
      <c r="Z15" s="2"/>
      <c r="AA15" s="2"/>
      <c r="AB15" s="2"/>
      <c r="AC15" s="2"/>
      <c r="AD15" s="6"/>
      <c r="AE15" s="2"/>
      <c r="AF15" s="2"/>
      <c r="AG15" s="2"/>
      <c r="AH15" s="2"/>
    </row>
    <row r="16" spans="1:34" x14ac:dyDescent="0.25">
      <c r="A16" s="30" t="s">
        <v>183</v>
      </c>
      <c r="B16" s="2">
        <v>110</v>
      </c>
      <c r="C16" s="2" t="s">
        <v>28</v>
      </c>
      <c r="D16" s="2"/>
      <c r="E16" s="17" t="s">
        <v>65</v>
      </c>
      <c r="F16" s="2">
        <v>2352.7199999999998</v>
      </c>
      <c r="G16" s="2" t="s">
        <v>60</v>
      </c>
      <c r="H16" s="18"/>
      <c r="I16" s="17" t="s">
        <v>87</v>
      </c>
      <c r="J16" s="2">
        <v>30</v>
      </c>
      <c r="K16" s="2" t="s">
        <v>88</v>
      </c>
      <c r="L16" s="18"/>
      <c r="M16" s="2"/>
      <c r="N16" s="12">
        <f t="shared" si="6"/>
        <v>8</v>
      </c>
      <c r="O16" s="12"/>
      <c r="P16" s="24">
        <f t="shared" si="1"/>
        <v>0</v>
      </c>
      <c r="Q16" s="25">
        <f t="shared" si="2"/>
        <v>1697.1968292263823</v>
      </c>
      <c r="R16" s="25">
        <f t="shared" si="3"/>
        <v>2522.14115972535</v>
      </c>
      <c r="S16" s="25">
        <f t="shared" si="4"/>
        <v>337.3757423373163</v>
      </c>
      <c r="T16" s="24">
        <f t="shared" si="5"/>
        <v>0</v>
      </c>
      <c r="U16" s="20">
        <f t="shared" si="0"/>
        <v>4556.7137312890491</v>
      </c>
      <c r="V16" s="3"/>
      <c r="W16" s="6"/>
      <c r="X16" s="2"/>
      <c r="Y16" s="2"/>
      <c r="Z16" s="2"/>
      <c r="AA16" s="2"/>
      <c r="AB16" s="2"/>
      <c r="AC16" s="2"/>
      <c r="AD16" s="6"/>
      <c r="AE16" s="2"/>
      <c r="AF16" s="2"/>
      <c r="AG16" s="2"/>
      <c r="AH16" s="2"/>
    </row>
    <row r="17" spans="1:41" x14ac:dyDescent="0.25">
      <c r="A17" s="30" t="s">
        <v>184</v>
      </c>
      <c r="B17" s="2">
        <v>0</v>
      </c>
      <c r="C17" s="2" t="s">
        <v>39</v>
      </c>
      <c r="D17" s="2"/>
      <c r="E17" s="17" t="s">
        <v>69</v>
      </c>
      <c r="F17" s="6">
        <v>2303.7199999999998</v>
      </c>
      <c r="G17" s="2" t="s">
        <v>60</v>
      </c>
      <c r="H17" s="18"/>
      <c r="I17" s="2"/>
      <c r="J17" s="2"/>
      <c r="K17" s="2"/>
      <c r="L17" s="18"/>
      <c r="M17" s="2"/>
      <c r="N17" s="12">
        <f t="shared" si="6"/>
        <v>9</v>
      </c>
      <c r="O17" s="12"/>
      <c r="P17" s="24">
        <f t="shared" si="1"/>
        <v>0</v>
      </c>
      <c r="Q17" s="25">
        <f t="shared" si="2"/>
        <v>1632.5417119225203</v>
      </c>
      <c r="R17" s="25">
        <f t="shared" si="3"/>
        <v>2402.0391997384286</v>
      </c>
      <c r="S17" s="25">
        <f t="shared" si="4"/>
        <v>321.31023079744404</v>
      </c>
      <c r="T17" s="24">
        <f t="shared" si="5"/>
        <v>0</v>
      </c>
      <c r="U17" s="20">
        <f t="shared" si="0"/>
        <v>4355.891142458393</v>
      </c>
      <c r="V17" s="3"/>
      <c r="W17" s="6"/>
      <c r="X17" s="2"/>
      <c r="Y17" s="2"/>
      <c r="Z17" s="2"/>
      <c r="AA17" s="2"/>
      <c r="AB17" s="2"/>
      <c r="AC17" s="2"/>
      <c r="AD17" s="6"/>
      <c r="AE17" s="2"/>
      <c r="AF17" s="2"/>
      <c r="AG17" s="2"/>
      <c r="AH17" s="2"/>
    </row>
    <row r="18" spans="1:41" x14ac:dyDescent="0.25">
      <c r="A18" s="30" t="s">
        <v>68</v>
      </c>
      <c r="B18" s="2">
        <v>0</v>
      </c>
      <c r="C18" s="2" t="s">
        <v>39</v>
      </c>
      <c r="D18" s="2"/>
      <c r="E18" s="17" t="s">
        <v>48</v>
      </c>
      <c r="F18" s="7">
        <v>0.47199999999999998</v>
      </c>
      <c r="G18" s="2" t="s">
        <v>153</v>
      </c>
      <c r="H18" s="18"/>
      <c r="I18" s="17"/>
      <c r="J18" s="2"/>
      <c r="K18" s="2"/>
      <c r="L18" s="18"/>
      <c r="M18" s="2"/>
      <c r="N18" s="12">
        <f t="shared" si="6"/>
        <v>10</v>
      </c>
      <c r="O18" s="12"/>
      <c r="P18" s="24">
        <f t="shared" si="1"/>
        <v>0</v>
      </c>
      <c r="Q18" s="25">
        <f t="shared" si="2"/>
        <v>1570.3496467064247</v>
      </c>
      <c r="R18" s="25">
        <f t="shared" si="3"/>
        <v>2287.6563807032653</v>
      </c>
      <c r="S18" s="25">
        <f t="shared" si="4"/>
        <v>306.00974361661338</v>
      </c>
      <c r="T18" s="24">
        <f t="shared" si="5"/>
        <v>-3705.9702936466383</v>
      </c>
      <c r="U18" s="20">
        <f t="shared" si="0"/>
        <v>458.04547737966459</v>
      </c>
      <c r="V18" s="3"/>
      <c r="W18" s="6"/>
      <c r="X18" s="2"/>
      <c r="Y18" s="2"/>
      <c r="Z18" s="2"/>
      <c r="AA18" s="2"/>
      <c r="AB18" s="2"/>
      <c r="AC18" s="2"/>
      <c r="AD18" s="6"/>
      <c r="AE18" s="2"/>
      <c r="AF18" s="2"/>
      <c r="AG18" s="2"/>
      <c r="AH18" s="2"/>
    </row>
    <row r="19" spans="1:41" x14ac:dyDescent="0.25">
      <c r="A19" s="30" t="s">
        <v>70</v>
      </c>
      <c r="B19" s="2">
        <v>0</v>
      </c>
      <c r="C19" s="2" t="s">
        <v>39</v>
      </c>
      <c r="D19" s="2"/>
      <c r="E19" s="2" t="s">
        <v>177</v>
      </c>
      <c r="F19" s="60">
        <f>68.9*2</f>
        <v>137.80000000000001</v>
      </c>
      <c r="G19" s="2" t="s">
        <v>60</v>
      </c>
      <c r="H19" s="18"/>
      <c r="I19" s="2"/>
      <c r="J19" s="2"/>
      <c r="K19" s="2"/>
      <c r="L19" s="18"/>
      <c r="M19" s="2"/>
      <c r="N19" s="12">
        <f t="shared" si="6"/>
        <v>0</v>
      </c>
      <c r="O19" s="12"/>
      <c r="P19" s="24">
        <f t="shared" si="1"/>
        <v>0</v>
      </c>
      <c r="Q19" s="25">
        <f t="shared" si="2"/>
        <v>0</v>
      </c>
      <c r="R19" s="25">
        <f t="shared" si="3"/>
        <v>0</v>
      </c>
      <c r="S19" s="25">
        <f t="shared" si="4"/>
        <v>0</v>
      </c>
      <c r="T19" s="24">
        <f t="shared" si="5"/>
        <v>0</v>
      </c>
      <c r="U19" s="20">
        <f t="shared" si="0"/>
        <v>0</v>
      </c>
      <c r="V19" s="3"/>
      <c r="W19" s="6"/>
      <c r="X19" s="2"/>
      <c r="Y19" s="2"/>
      <c r="Z19" s="2"/>
      <c r="AA19" s="2"/>
      <c r="AB19" s="2"/>
      <c r="AC19" s="2"/>
      <c r="AD19" s="6"/>
      <c r="AE19" s="2"/>
      <c r="AF19" s="2"/>
      <c r="AG19" s="2"/>
      <c r="AH19" s="2"/>
    </row>
    <row r="20" spans="1:41" x14ac:dyDescent="0.25">
      <c r="A20" s="30" t="s">
        <v>72</v>
      </c>
      <c r="B20" s="2">
        <v>0</v>
      </c>
      <c r="C20" s="2" t="s">
        <v>39</v>
      </c>
      <c r="D20" s="2"/>
      <c r="E20" s="17" t="s">
        <v>77</v>
      </c>
      <c r="F20" s="2">
        <v>5.34</v>
      </c>
      <c r="G20" s="2" t="s">
        <v>62</v>
      </c>
      <c r="H20" s="18"/>
      <c r="I20" s="2"/>
      <c r="J20" s="2"/>
      <c r="K20" s="2"/>
      <c r="L20" s="18"/>
      <c r="M20" s="2"/>
      <c r="N20" s="12">
        <f t="shared" si="6"/>
        <v>0</v>
      </c>
      <c r="O20" s="12"/>
      <c r="P20" s="24">
        <f t="shared" si="1"/>
        <v>0</v>
      </c>
      <c r="Q20" s="25">
        <f t="shared" si="2"/>
        <v>0</v>
      </c>
      <c r="R20" s="25">
        <f t="shared" si="3"/>
        <v>0</v>
      </c>
      <c r="S20" s="25">
        <f t="shared" si="4"/>
        <v>0</v>
      </c>
      <c r="T20" s="24">
        <f t="shared" si="5"/>
        <v>0</v>
      </c>
      <c r="U20" s="20">
        <f t="shared" si="0"/>
        <v>0</v>
      </c>
      <c r="V20" s="3"/>
      <c r="W20" s="6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41" ht="15.75" customHeight="1" x14ac:dyDescent="0.25">
      <c r="A21" s="14" t="s">
        <v>73</v>
      </c>
      <c r="B21" s="2">
        <v>10</v>
      </c>
      <c r="C21" s="2" t="s">
        <v>39</v>
      </c>
      <c r="D21" s="2"/>
      <c r="E21" s="2"/>
      <c r="F21" s="2"/>
      <c r="G21" s="2"/>
      <c r="H21" s="18"/>
      <c r="I21" s="2"/>
      <c r="J21" s="2"/>
      <c r="K21" s="2"/>
      <c r="L21" s="18"/>
      <c r="M21" s="2"/>
      <c r="N21" s="12">
        <f t="shared" si="6"/>
        <v>0</v>
      </c>
      <c r="O21" s="12"/>
      <c r="P21" s="24">
        <f t="shared" si="1"/>
        <v>0</v>
      </c>
      <c r="Q21" s="25">
        <f t="shared" si="2"/>
        <v>0</v>
      </c>
      <c r="R21" s="25">
        <f t="shared" si="3"/>
        <v>0</v>
      </c>
      <c r="S21" s="25">
        <f t="shared" si="4"/>
        <v>0</v>
      </c>
      <c r="T21" s="24">
        <f t="shared" si="5"/>
        <v>0</v>
      </c>
      <c r="U21" s="20">
        <f t="shared" si="0"/>
        <v>0</v>
      </c>
      <c r="V21" s="3"/>
      <c r="W21" s="6"/>
      <c r="X21" s="2"/>
      <c r="Y21" s="2"/>
      <c r="Z21" s="32" t="s">
        <v>127</v>
      </c>
      <c r="AA21" s="33"/>
      <c r="AB21" s="33"/>
      <c r="AC21" s="33"/>
      <c r="AD21" s="2"/>
      <c r="AE21" s="32" t="s">
        <v>27</v>
      </c>
      <c r="AF21" s="33"/>
      <c r="AG21" s="33"/>
      <c r="AH21" s="33"/>
      <c r="AJ21" s="112" t="s">
        <v>187</v>
      </c>
      <c r="AK21" s="112" t="s">
        <v>188</v>
      </c>
      <c r="AL21" s="112" t="s">
        <v>194</v>
      </c>
      <c r="AM21" s="112" t="s">
        <v>191</v>
      </c>
      <c r="AN21" s="112" t="s">
        <v>190</v>
      </c>
      <c r="AO21" s="117" t="str">
        <f>Z51</f>
        <v>Energy Efficiency</v>
      </c>
    </row>
    <row r="22" spans="1:41" ht="15.75" customHeight="1" x14ac:dyDescent="0.25">
      <c r="A22" s="14" t="s">
        <v>76</v>
      </c>
      <c r="B22" s="2">
        <v>8</v>
      </c>
      <c r="C22" s="2" t="s">
        <v>39</v>
      </c>
      <c r="D22" s="2"/>
      <c r="E22" s="2"/>
      <c r="F22" s="2"/>
      <c r="G22" s="2"/>
      <c r="H22" s="18"/>
      <c r="I22" s="2"/>
      <c r="J22" s="2"/>
      <c r="K22" s="2"/>
      <c r="L22" s="18"/>
      <c r="M22" s="2"/>
      <c r="N22" s="12">
        <f t="shared" si="6"/>
        <v>0</v>
      </c>
      <c r="O22" s="12"/>
      <c r="P22" s="24">
        <f t="shared" si="1"/>
        <v>0</v>
      </c>
      <c r="Q22" s="25">
        <f t="shared" si="2"/>
        <v>0</v>
      </c>
      <c r="R22" s="25">
        <f t="shared" si="3"/>
        <v>0</v>
      </c>
      <c r="S22" s="25">
        <f t="shared" si="4"/>
        <v>0</v>
      </c>
      <c r="T22" s="24">
        <f t="shared" si="5"/>
        <v>0</v>
      </c>
      <c r="U22" s="20">
        <f t="shared" si="0"/>
        <v>0</v>
      </c>
      <c r="V22" s="3"/>
      <c r="W22" s="6"/>
      <c r="X22" s="2"/>
      <c r="Y22" s="2"/>
      <c r="Z22" s="33" t="s">
        <v>79</v>
      </c>
      <c r="AA22" s="33" t="s">
        <v>135</v>
      </c>
      <c r="AB22" s="33" t="s">
        <v>23</v>
      </c>
      <c r="AC22" s="33" t="s">
        <v>81</v>
      </c>
      <c r="AD22" s="2"/>
      <c r="AE22" s="33" t="s">
        <v>79</v>
      </c>
      <c r="AF22" s="33" t="s">
        <v>82</v>
      </c>
      <c r="AG22" s="33" t="s">
        <v>23</v>
      </c>
      <c r="AH22" s="33" t="s">
        <v>81</v>
      </c>
      <c r="AJ22" s="113">
        <v>-50</v>
      </c>
      <c r="AK22" s="114">
        <f>AH24</f>
        <v>-14.321076236590152</v>
      </c>
      <c r="AL22" s="114">
        <f>AC24</f>
        <v>-14.056318940824827</v>
      </c>
      <c r="AM22" s="115">
        <f t="shared" ref="AM22:AM32" si="7">AC39</f>
        <v>-18.508275307689399</v>
      </c>
      <c r="AN22" s="115">
        <f t="shared" ref="AN22:AN32" si="8">AH39</f>
        <v>-32.564594248514233</v>
      </c>
      <c r="AO22" s="56">
        <f>AC54</f>
        <v>14.056318940824861</v>
      </c>
    </row>
    <row r="23" spans="1:41" ht="15.75" customHeight="1" x14ac:dyDescent="0.25">
      <c r="A23" s="2" t="s">
        <v>83</v>
      </c>
      <c r="B23" s="5">
        <v>310</v>
      </c>
      <c r="C23" s="2" t="s">
        <v>28</v>
      </c>
      <c r="D23" s="2"/>
      <c r="E23" s="2"/>
      <c r="F23" s="2"/>
      <c r="G23" s="2"/>
      <c r="H23" s="18"/>
      <c r="I23" s="2"/>
      <c r="J23" s="2"/>
      <c r="K23" s="2"/>
      <c r="L23" s="18"/>
      <c r="M23" s="2"/>
      <c r="N23" s="12">
        <f t="shared" si="6"/>
        <v>0</v>
      </c>
      <c r="O23" s="12"/>
      <c r="P23" s="24">
        <f t="shared" si="1"/>
        <v>0</v>
      </c>
      <c r="Q23" s="25">
        <f t="shared" si="2"/>
        <v>0</v>
      </c>
      <c r="R23" s="25">
        <f t="shared" si="3"/>
        <v>0</v>
      </c>
      <c r="S23" s="25">
        <f t="shared" si="4"/>
        <v>0</v>
      </c>
      <c r="T23" s="24">
        <f t="shared" si="5"/>
        <v>0</v>
      </c>
      <c r="U23" s="20">
        <f t="shared" si="0"/>
        <v>0</v>
      </c>
      <c r="V23" s="3"/>
      <c r="W23" s="6"/>
      <c r="X23" s="2"/>
      <c r="Y23" s="2"/>
      <c r="Z23" s="33" t="s">
        <v>86</v>
      </c>
      <c r="AA23" s="35">
        <v>0.45550847457627119</v>
      </c>
      <c r="AB23" s="36">
        <f>U49</f>
        <v>66942.123765182769</v>
      </c>
      <c r="AC23" s="33"/>
      <c r="AD23" s="2"/>
      <c r="AE23" s="33" t="s">
        <v>86</v>
      </c>
      <c r="AF23" s="37">
        <v>17953.49917987972</v>
      </c>
      <c r="AG23" s="36">
        <f>U49</f>
        <v>66942.123765182769</v>
      </c>
      <c r="AH23" s="33"/>
      <c r="AJ23" s="113">
        <v>-40</v>
      </c>
      <c r="AK23" s="114">
        <f>AH25</f>
        <v>-11.456860989272124</v>
      </c>
      <c r="AL23" s="114">
        <f t="shared" ref="AL23:AL32" si="9">AC25</f>
        <v>-11.245055152659877</v>
      </c>
      <c r="AM23" s="115">
        <f t="shared" si="7"/>
        <v>-14.806620246151503</v>
      </c>
      <c r="AN23" s="115">
        <f t="shared" si="8"/>
        <v>-26.05167539881138</v>
      </c>
      <c r="AO23" s="56">
        <f t="shared" ref="AO23:AO32" si="10">AC55</f>
        <v>11.245055152659896</v>
      </c>
    </row>
    <row r="24" spans="1:41" ht="15.75" customHeight="1" x14ac:dyDescent="0.25">
      <c r="A24" s="2" t="s">
        <v>178</v>
      </c>
      <c r="B24" s="2">
        <v>53</v>
      </c>
      <c r="C24" s="2" t="s">
        <v>28</v>
      </c>
      <c r="D24" s="2"/>
      <c r="E24" s="2"/>
      <c r="F24" s="2"/>
      <c r="G24" s="2"/>
      <c r="H24" s="18"/>
      <c r="I24" s="2"/>
      <c r="J24" s="2"/>
      <c r="K24" s="2"/>
      <c r="L24" s="18"/>
      <c r="M24" s="2"/>
      <c r="N24" s="12">
        <f t="shared" si="6"/>
        <v>0</v>
      </c>
      <c r="O24" s="12"/>
      <c r="P24" s="24">
        <f t="shared" si="1"/>
        <v>0</v>
      </c>
      <c r="Q24" s="25">
        <f t="shared" si="2"/>
        <v>0</v>
      </c>
      <c r="R24" s="25">
        <f t="shared" si="3"/>
        <v>0</v>
      </c>
      <c r="S24" s="25">
        <f t="shared" si="4"/>
        <v>0</v>
      </c>
      <c r="T24" s="24">
        <f t="shared" si="5"/>
        <v>0</v>
      </c>
      <c r="U24" s="20">
        <f t="shared" si="0"/>
        <v>0</v>
      </c>
      <c r="V24" s="3"/>
      <c r="W24" s="6"/>
      <c r="X24" s="2"/>
      <c r="Y24" s="2"/>
      <c r="Z24" s="33">
        <f t="shared" ref="Z24:Z28" si="11">Z25-10</f>
        <v>-50</v>
      </c>
      <c r="AA24" s="35">
        <f t="shared" ref="AA24:AA34" si="12">$AA$23*(1+(Z24/100))</f>
        <v>0.2277542372881356</v>
      </c>
      <c r="AB24" s="36">
        <f t="dataTable" ref="AB24:AB34" dt2D="0" dtr="0" r1="F36"/>
        <v>57532.525342986984</v>
      </c>
      <c r="AC24" s="40">
        <f t="shared" ref="AC24:AC34" si="13">100*((AB24-$AB$29)/$AB$29)</f>
        <v>-14.056318940824827</v>
      </c>
      <c r="AD24" s="2"/>
      <c r="AE24" s="33">
        <f t="shared" ref="AE24:AE28" si="14">AE25-10</f>
        <v>-50</v>
      </c>
      <c r="AF24" s="37">
        <f t="shared" ref="AF24:AF34" si="15">$AF$23*(1+(AE24/100))</f>
        <v>8976.74958993986</v>
      </c>
      <c r="AG24" s="36">
        <f t="dataTable" ref="AG24:AG34" dt2D="0" dtr="0" r1="B51" ca="1"/>
        <v>57355.29118637841</v>
      </c>
      <c r="AH24" s="40">
        <f t="shared" ref="AH24:AH34" si="16">100*((AG24-$AG$29)/$AG$29)</f>
        <v>-14.321076236590152</v>
      </c>
      <c r="AJ24" s="113">
        <v>-30</v>
      </c>
      <c r="AK24" s="114">
        <f t="shared" ref="AK24:AK32" si="17">AH26</f>
        <v>-8.5926457419540956</v>
      </c>
      <c r="AL24" s="114">
        <f t="shared" si="9"/>
        <v>-8.4337913644949012</v>
      </c>
      <c r="AM24" s="115">
        <f t="shared" si="7"/>
        <v>-11.104965184613651</v>
      </c>
      <c r="AN24" s="115">
        <f t="shared" si="8"/>
        <v>-19.538756549108552</v>
      </c>
      <c r="AO24" s="56">
        <f t="shared" si="10"/>
        <v>8.4337913644949118</v>
      </c>
    </row>
    <row r="25" spans="1:41" ht="15.75" customHeight="1" x14ac:dyDescent="0.25">
      <c r="A25" s="2" t="s">
        <v>179</v>
      </c>
      <c r="B25" s="2">
        <v>90.1</v>
      </c>
      <c r="C25" s="2" t="s">
        <v>28</v>
      </c>
      <c r="D25" s="2"/>
      <c r="E25" s="2"/>
      <c r="F25" s="2"/>
      <c r="G25" s="2"/>
      <c r="H25" s="18"/>
      <c r="I25" s="2"/>
      <c r="J25" s="2"/>
      <c r="K25" s="2"/>
      <c r="L25" s="18"/>
      <c r="M25" s="2"/>
      <c r="N25" s="12">
        <f t="shared" si="6"/>
        <v>0</v>
      </c>
      <c r="O25" s="12"/>
      <c r="P25" s="24">
        <f t="shared" si="1"/>
        <v>0</v>
      </c>
      <c r="Q25" s="25">
        <f t="shared" si="2"/>
        <v>0</v>
      </c>
      <c r="R25" s="25">
        <f t="shared" si="3"/>
        <v>0</v>
      </c>
      <c r="S25" s="25">
        <f t="shared" si="4"/>
        <v>0</v>
      </c>
      <c r="T25" s="24">
        <f t="shared" si="5"/>
        <v>0</v>
      </c>
      <c r="U25" s="20">
        <f t="shared" si="0"/>
        <v>0</v>
      </c>
      <c r="V25" s="3"/>
      <c r="W25" s="6"/>
      <c r="X25" s="2"/>
      <c r="Y25" s="2"/>
      <c r="Z25" s="33">
        <f t="shared" si="11"/>
        <v>-40</v>
      </c>
      <c r="AA25" s="35">
        <f t="shared" si="12"/>
        <v>0.27330508474576271</v>
      </c>
      <c r="AB25" s="36">
        <v>59414.445027426133</v>
      </c>
      <c r="AC25" s="40">
        <f t="shared" si="13"/>
        <v>-11.245055152659877</v>
      </c>
      <c r="AD25" s="2"/>
      <c r="AE25" s="33">
        <f t="shared" si="14"/>
        <v>-40</v>
      </c>
      <c r="AF25" s="37">
        <f t="shared" si="15"/>
        <v>10772.099507927831</v>
      </c>
      <c r="AG25" s="36">
        <v>59272.65770213928</v>
      </c>
      <c r="AH25" s="40">
        <f t="shared" si="16"/>
        <v>-11.456860989272124</v>
      </c>
      <c r="AJ25" s="113">
        <v>-20</v>
      </c>
      <c r="AK25" s="114">
        <f t="shared" si="17"/>
        <v>-5.7284304946360454</v>
      </c>
      <c r="AL25" s="114">
        <f t="shared" si="9"/>
        <v>-5.6225275763299267</v>
      </c>
      <c r="AM25" s="115">
        <f t="shared" si="7"/>
        <v>-7.4033101230757348</v>
      </c>
      <c r="AN25" s="115">
        <f t="shared" si="8"/>
        <v>-13.025837699405695</v>
      </c>
      <c r="AO25" s="56">
        <f t="shared" si="10"/>
        <v>5.6225275763299267</v>
      </c>
    </row>
    <row r="26" spans="1:41" ht="15.75" customHeight="1" x14ac:dyDescent="0.25">
      <c r="A26" s="42"/>
      <c r="B26" s="43"/>
      <c r="C26" s="43"/>
      <c r="D26" s="43"/>
      <c r="E26" s="43"/>
      <c r="F26" s="43"/>
      <c r="G26" s="43"/>
      <c r="H26" s="44"/>
      <c r="I26" s="43"/>
      <c r="J26" s="43"/>
      <c r="K26" s="43"/>
      <c r="L26" s="44"/>
      <c r="M26" s="2"/>
      <c r="N26" s="12">
        <f t="shared" si="6"/>
        <v>0</v>
      </c>
      <c r="O26" s="12"/>
      <c r="P26" s="24">
        <f t="shared" si="1"/>
        <v>0</v>
      </c>
      <c r="Q26" s="25">
        <f t="shared" si="2"/>
        <v>0</v>
      </c>
      <c r="R26" s="25">
        <f t="shared" si="3"/>
        <v>0</v>
      </c>
      <c r="S26" s="25">
        <f t="shared" si="4"/>
        <v>0</v>
      </c>
      <c r="T26" s="24">
        <f t="shared" si="5"/>
        <v>0</v>
      </c>
      <c r="U26" s="20">
        <f t="shared" si="0"/>
        <v>0</v>
      </c>
      <c r="V26" s="3"/>
      <c r="W26" s="6"/>
      <c r="X26" s="2"/>
      <c r="Y26" s="2"/>
      <c r="Z26" s="33">
        <f t="shared" si="11"/>
        <v>-30</v>
      </c>
      <c r="AA26" s="35">
        <f t="shared" si="12"/>
        <v>0.31885593220338981</v>
      </c>
      <c r="AB26" s="36">
        <v>61296.364711865295</v>
      </c>
      <c r="AC26" s="40">
        <f t="shared" si="13"/>
        <v>-8.4337913644949012</v>
      </c>
      <c r="AD26" s="2"/>
      <c r="AE26" s="33">
        <f t="shared" si="14"/>
        <v>-30</v>
      </c>
      <c r="AF26" s="37">
        <f t="shared" si="15"/>
        <v>12567.449425915804</v>
      </c>
      <c r="AG26" s="36">
        <v>61190.024217900151</v>
      </c>
      <c r="AH26" s="40">
        <f t="shared" si="16"/>
        <v>-8.5926457419540956</v>
      </c>
      <c r="AJ26" s="113">
        <v>-10</v>
      </c>
      <c r="AK26" s="114">
        <f t="shared" si="17"/>
        <v>-2.8642152473180174</v>
      </c>
      <c r="AL26" s="114">
        <f t="shared" si="9"/>
        <v>-2.8112637881649851</v>
      </c>
      <c r="AM26" s="115">
        <f t="shared" si="7"/>
        <v>-3.7016550615378616</v>
      </c>
      <c r="AN26" s="115">
        <f t="shared" si="8"/>
        <v>-6.512918849702837</v>
      </c>
      <c r="AO26" s="56">
        <f t="shared" si="10"/>
        <v>2.8112637881649634</v>
      </c>
    </row>
    <row r="27" spans="1:4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6"/>
      <c r="K27" s="2"/>
      <c r="L27" s="2"/>
      <c r="M27" s="2"/>
      <c r="N27" s="12">
        <f t="shared" si="6"/>
        <v>0</v>
      </c>
      <c r="O27" s="12"/>
      <c r="P27" s="24">
        <f t="shared" si="1"/>
        <v>0</v>
      </c>
      <c r="Q27" s="25">
        <f t="shared" si="2"/>
        <v>0</v>
      </c>
      <c r="R27" s="25">
        <f t="shared" si="3"/>
        <v>0</v>
      </c>
      <c r="S27" s="25">
        <f t="shared" si="4"/>
        <v>0</v>
      </c>
      <c r="T27" s="24">
        <f t="shared" si="5"/>
        <v>0</v>
      </c>
      <c r="U27" s="20">
        <f t="shared" si="0"/>
        <v>0</v>
      </c>
      <c r="V27" s="3"/>
      <c r="W27" s="6"/>
      <c r="X27" s="2"/>
      <c r="Y27" s="2"/>
      <c r="Z27" s="33">
        <f t="shared" si="11"/>
        <v>-20</v>
      </c>
      <c r="AA27" s="35">
        <f t="shared" si="12"/>
        <v>0.36440677966101698</v>
      </c>
      <c r="AB27" s="36">
        <v>63178.284396304458</v>
      </c>
      <c r="AC27" s="40">
        <f t="shared" si="13"/>
        <v>-5.6225275763299267</v>
      </c>
      <c r="AD27" s="2"/>
      <c r="AE27" s="33">
        <f t="shared" si="14"/>
        <v>-20</v>
      </c>
      <c r="AF27" s="37">
        <f t="shared" si="15"/>
        <v>14362.799343903776</v>
      </c>
      <c r="AG27" s="36">
        <v>63107.390733661035</v>
      </c>
      <c r="AH27" s="40">
        <f t="shared" si="16"/>
        <v>-5.7284304946360454</v>
      </c>
      <c r="AJ27" s="113">
        <v>0</v>
      </c>
      <c r="AK27" s="114">
        <f t="shared" si="17"/>
        <v>0</v>
      </c>
      <c r="AL27" s="114">
        <f t="shared" si="9"/>
        <v>0</v>
      </c>
      <c r="AM27" s="115">
        <f t="shared" si="7"/>
        <v>0</v>
      </c>
      <c r="AN27" s="115">
        <f t="shared" si="8"/>
        <v>0</v>
      </c>
      <c r="AO27" s="56">
        <f t="shared" si="10"/>
        <v>0</v>
      </c>
    </row>
    <row r="28" spans="1:41" ht="15.75" customHeight="1" x14ac:dyDescent="0.25">
      <c r="A28" s="1" t="s">
        <v>89</v>
      </c>
      <c r="B28" s="2"/>
      <c r="C28" s="2"/>
      <c r="D28" s="2"/>
      <c r="E28" s="2"/>
      <c r="F28" s="2"/>
      <c r="G28" s="2"/>
      <c r="H28" s="2"/>
      <c r="I28" s="2"/>
      <c r="J28" s="6"/>
      <c r="K28" s="2"/>
      <c r="L28" s="2"/>
      <c r="M28" s="2"/>
      <c r="N28" s="12">
        <f t="shared" si="6"/>
        <v>0</v>
      </c>
      <c r="O28" s="12"/>
      <c r="P28" s="24">
        <f t="shared" si="1"/>
        <v>0</v>
      </c>
      <c r="Q28" s="25">
        <f t="shared" si="2"/>
        <v>0</v>
      </c>
      <c r="R28" s="25">
        <f t="shared" si="3"/>
        <v>0</v>
      </c>
      <c r="S28" s="25">
        <f t="shared" si="4"/>
        <v>0</v>
      </c>
      <c r="T28" s="24">
        <f t="shared" si="5"/>
        <v>0</v>
      </c>
      <c r="U28" s="20">
        <f t="shared" si="0"/>
        <v>0</v>
      </c>
      <c r="V28" s="3"/>
      <c r="W28" s="6"/>
      <c r="X28" s="2"/>
      <c r="Y28" s="2"/>
      <c r="Z28" s="33">
        <f t="shared" si="11"/>
        <v>-10</v>
      </c>
      <c r="AA28" s="35">
        <f t="shared" si="12"/>
        <v>0.40995762711864409</v>
      </c>
      <c r="AB28" s="36">
        <v>65060.204080743599</v>
      </c>
      <c r="AC28" s="40">
        <f t="shared" si="13"/>
        <v>-2.8112637881649851</v>
      </c>
      <c r="AD28" s="2"/>
      <c r="AE28" s="33">
        <f t="shared" si="14"/>
        <v>-10</v>
      </c>
      <c r="AF28" s="37">
        <f t="shared" si="15"/>
        <v>16158.149261891749</v>
      </c>
      <c r="AG28" s="36">
        <v>65024.757249421906</v>
      </c>
      <c r="AH28" s="40">
        <f t="shared" si="16"/>
        <v>-2.8642152473180174</v>
      </c>
      <c r="AJ28" s="113">
        <v>10</v>
      </c>
      <c r="AK28" s="114">
        <f t="shared" si="17"/>
        <v>2.8642152473180391</v>
      </c>
      <c r="AL28" s="114">
        <f t="shared" si="9"/>
        <v>2.8112637881649634</v>
      </c>
      <c r="AM28" s="115">
        <f t="shared" si="7"/>
        <v>3.7016550615378945</v>
      </c>
      <c r="AN28" s="115">
        <f t="shared" si="8"/>
        <v>6.512918849702837</v>
      </c>
      <c r="AO28" s="56">
        <f t="shared" si="10"/>
        <v>-2.8112637881649851</v>
      </c>
    </row>
    <row r="29" spans="1:4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6"/>
      <c r="K29" s="2"/>
      <c r="L29" s="2"/>
      <c r="M29" s="2"/>
      <c r="N29" s="12">
        <f t="shared" si="6"/>
        <v>0</v>
      </c>
      <c r="O29" s="12"/>
      <c r="P29" s="24">
        <f t="shared" si="1"/>
        <v>0</v>
      </c>
      <c r="Q29" s="25">
        <f t="shared" si="2"/>
        <v>0</v>
      </c>
      <c r="R29" s="25">
        <f t="shared" si="3"/>
        <v>0</v>
      </c>
      <c r="S29" s="25">
        <f t="shared" si="4"/>
        <v>0</v>
      </c>
      <c r="T29" s="24">
        <f t="shared" si="5"/>
        <v>0</v>
      </c>
      <c r="U29" s="20">
        <f t="shared" si="0"/>
        <v>0</v>
      </c>
      <c r="V29" s="3"/>
      <c r="W29" s="6"/>
      <c r="X29" s="2"/>
      <c r="Y29" s="2"/>
      <c r="Z29" s="45">
        <v>0</v>
      </c>
      <c r="AA29" s="61">
        <f t="shared" si="12"/>
        <v>0.45550847457627119</v>
      </c>
      <c r="AB29" s="46">
        <v>66942.123765182769</v>
      </c>
      <c r="AC29" s="62">
        <f t="shared" si="13"/>
        <v>0</v>
      </c>
      <c r="AD29" s="2"/>
      <c r="AE29" s="45">
        <v>0</v>
      </c>
      <c r="AF29" s="49">
        <f t="shared" si="15"/>
        <v>17953.49917987972</v>
      </c>
      <c r="AG29" s="46">
        <v>66942.123765182769</v>
      </c>
      <c r="AH29" s="62">
        <f t="shared" si="16"/>
        <v>0</v>
      </c>
      <c r="AJ29" s="113">
        <v>20</v>
      </c>
      <c r="AK29" s="114">
        <f t="shared" si="17"/>
        <v>5.7284304946360782</v>
      </c>
      <c r="AL29" s="114">
        <f t="shared" si="9"/>
        <v>5.6225275763299267</v>
      </c>
      <c r="AM29" s="115">
        <f t="shared" si="7"/>
        <v>7.4033101230757463</v>
      </c>
      <c r="AN29" s="115">
        <f t="shared" si="8"/>
        <v>13.025837699405715</v>
      </c>
      <c r="AO29" s="56">
        <f t="shared" si="10"/>
        <v>-5.6225275763299267</v>
      </c>
    </row>
    <row r="30" spans="1:41" ht="15.75" customHeight="1" x14ac:dyDescent="0.25">
      <c r="A30" s="8" t="s">
        <v>90</v>
      </c>
      <c r="B30" s="9"/>
      <c r="C30" s="9"/>
      <c r="D30" s="9"/>
      <c r="E30" s="11" t="s">
        <v>91</v>
      </c>
      <c r="F30" s="9"/>
      <c r="G30" s="9"/>
      <c r="H30" s="9"/>
      <c r="I30" s="11" t="s">
        <v>100</v>
      </c>
      <c r="J30" s="63">
        <f>SUM(J31:J34)</f>
        <v>3726.3511864406778</v>
      </c>
      <c r="K30" s="11" t="s">
        <v>49</v>
      </c>
      <c r="L30" s="10"/>
      <c r="M30" s="2"/>
      <c r="N30" s="12">
        <f t="shared" si="6"/>
        <v>0</v>
      </c>
      <c r="O30" s="12"/>
      <c r="P30" s="24">
        <f t="shared" si="1"/>
        <v>0</v>
      </c>
      <c r="Q30" s="25">
        <f t="shared" si="2"/>
        <v>0</v>
      </c>
      <c r="R30" s="25">
        <f t="shared" si="3"/>
        <v>0</v>
      </c>
      <c r="S30" s="25">
        <f t="shared" si="4"/>
        <v>0</v>
      </c>
      <c r="T30" s="24">
        <f t="shared" si="5"/>
        <v>0</v>
      </c>
      <c r="U30" s="20">
        <f t="shared" si="0"/>
        <v>0</v>
      </c>
      <c r="V30" s="3"/>
      <c r="W30" s="6"/>
      <c r="X30" s="2"/>
      <c r="Y30" s="2"/>
      <c r="Z30" s="33">
        <f t="shared" ref="Z30:Z34" si="18">Z29+10</f>
        <v>10</v>
      </c>
      <c r="AA30" s="35">
        <f t="shared" si="12"/>
        <v>0.50105932203389836</v>
      </c>
      <c r="AB30" s="36">
        <v>68824.043449621924</v>
      </c>
      <c r="AC30" s="40">
        <f t="shared" si="13"/>
        <v>2.8112637881649634</v>
      </c>
      <c r="AD30" s="2"/>
      <c r="AE30" s="33">
        <f t="shared" ref="AE30:AE34" si="19">AE29+10</f>
        <v>10</v>
      </c>
      <c r="AF30" s="37">
        <f t="shared" si="15"/>
        <v>19748.849097867693</v>
      </c>
      <c r="AG30" s="36">
        <v>68859.490280943646</v>
      </c>
      <c r="AH30" s="40">
        <f t="shared" si="16"/>
        <v>2.8642152473180391</v>
      </c>
      <c r="AJ30" s="113">
        <v>30</v>
      </c>
      <c r="AK30" s="114">
        <f t="shared" si="17"/>
        <v>8.5926457419541169</v>
      </c>
      <c r="AL30" s="114">
        <f t="shared" si="9"/>
        <v>8.4337913644949118</v>
      </c>
      <c r="AM30" s="115">
        <f t="shared" si="7"/>
        <v>11.104965184613642</v>
      </c>
      <c r="AN30" s="115">
        <f t="shared" si="8"/>
        <v>19.538756549108552</v>
      </c>
      <c r="AO30" s="56">
        <f t="shared" si="10"/>
        <v>-8.4337913644949225</v>
      </c>
    </row>
    <row r="31" spans="1:41" ht="15.75" customHeight="1" x14ac:dyDescent="0.25">
      <c r="A31" s="30" t="s">
        <v>131</v>
      </c>
      <c r="B31" s="6">
        <f>IF(B11=0,0,-B11/$B$8)</f>
        <v>0</v>
      </c>
      <c r="C31" s="2" t="s">
        <v>3</v>
      </c>
      <c r="D31" s="2"/>
      <c r="E31" s="17" t="s">
        <v>93</v>
      </c>
      <c r="F31" s="50">
        <f>(J16/100)*B53</f>
        <v>5395.1450929469665</v>
      </c>
      <c r="G31" s="2" t="s">
        <v>3</v>
      </c>
      <c r="H31" s="2"/>
      <c r="I31" s="2" t="s">
        <v>177</v>
      </c>
      <c r="J31" s="15">
        <f>F19/$B$8</f>
        <v>29.194915254237291</v>
      </c>
      <c r="K31" s="2" t="s">
        <v>49</v>
      </c>
      <c r="L31" s="18"/>
      <c r="M31" s="2"/>
      <c r="N31" s="12">
        <f t="shared" si="6"/>
        <v>0</v>
      </c>
      <c r="O31" s="12"/>
      <c r="P31" s="24">
        <f t="shared" si="1"/>
        <v>0</v>
      </c>
      <c r="Q31" s="25">
        <f t="shared" si="2"/>
        <v>0</v>
      </c>
      <c r="R31" s="25">
        <f t="shared" si="3"/>
        <v>0</v>
      </c>
      <c r="S31" s="25">
        <f t="shared" si="4"/>
        <v>0</v>
      </c>
      <c r="T31" s="24">
        <f t="shared" si="5"/>
        <v>0</v>
      </c>
      <c r="U31" s="20">
        <f t="shared" si="0"/>
        <v>0</v>
      </c>
      <c r="V31" s="3"/>
      <c r="W31" s="6"/>
      <c r="X31" s="2"/>
      <c r="Y31" s="2"/>
      <c r="Z31" s="33">
        <f t="shared" si="18"/>
        <v>20</v>
      </c>
      <c r="AA31" s="35">
        <f t="shared" si="12"/>
        <v>0.54661016949152541</v>
      </c>
      <c r="AB31" s="36">
        <v>70705.963134061079</v>
      </c>
      <c r="AC31" s="40">
        <f t="shared" si="13"/>
        <v>5.6225275763299267</v>
      </c>
      <c r="AD31" s="2"/>
      <c r="AE31" s="33">
        <f t="shared" si="19"/>
        <v>20</v>
      </c>
      <c r="AF31" s="37">
        <f t="shared" si="15"/>
        <v>21544.199015855662</v>
      </c>
      <c r="AG31" s="36">
        <v>70776.856796704524</v>
      </c>
      <c r="AH31" s="40">
        <f t="shared" si="16"/>
        <v>5.7284304946360782</v>
      </c>
      <c r="AJ31" s="113">
        <v>40</v>
      </c>
      <c r="AK31" s="114">
        <f t="shared" si="17"/>
        <v>11.456860989272156</v>
      </c>
      <c r="AL31" s="114">
        <f t="shared" si="9"/>
        <v>11.245055152659896</v>
      </c>
      <c r="AM31" s="115">
        <f t="shared" si="7"/>
        <v>14.806620246151514</v>
      </c>
      <c r="AN31" s="115">
        <f t="shared" si="8"/>
        <v>26.05167539881139</v>
      </c>
      <c r="AO31" s="56">
        <f t="shared" si="10"/>
        <v>-11.245055152659877</v>
      </c>
    </row>
    <row r="32" spans="1:41" ht="15.75" customHeight="1" x14ac:dyDescent="0.25">
      <c r="A32" s="30" t="s">
        <v>44</v>
      </c>
      <c r="B32" s="6">
        <f>IF(B12=0,0,-B12/B9)</f>
        <v>0</v>
      </c>
      <c r="C32" s="2" t="s">
        <v>3</v>
      </c>
      <c r="D32" s="2"/>
      <c r="E32" s="17" t="s">
        <v>95</v>
      </c>
      <c r="F32" s="6">
        <f>B53-F31</f>
        <v>12588.671883542922</v>
      </c>
      <c r="G32" s="2" t="s">
        <v>3</v>
      </c>
      <c r="H32" s="2"/>
      <c r="I32" s="17" t="s">
        <v>69</v>
      </c>
      <c r="J32" s="15">
        <f>F17/$B$8</f>
        <v>488.07627118644064</v>
      </c>
      <c r="K32" s="2" t="s">
        <v>49</v>
      </c>
      <c r="L32" s="18"/>
      <c r="M32" s="2"/>
      <c r="N32" s="12">
        <f t="shared" si="6"/>
        <v>0</v>
      </c>
      <c r="O32" s="12"/>
      <c r="P32" s="24">
        <f t="shared" si="1"/>
        <v>0</v>
      </c>
      <c r="Q32" s="25">
        <f t="shared" si="2"/>
        <v>0</v>
      </c>
      <c r="R32" s="25">
        <f t="shared" si="3"/>
        <v>0</v>
      </c>
      <c r="S32" s="25">
        <f t="shared" si="4"/>
        <v>0</v>
      </c>
      <c r="T32" s="24">
        <f t="shared" si="5"/>
        <v>0</v>
      </c>
      <c r="U32" s="20">
        <f t="shared" si="0"/>
        <v>0</v>
      </c>
      <c r="V32" s="3"/>
      <c r="W32" s="6"/>
      <c r="X32" s="2"/>
      <c r="Y32" s="2"/>
      <c r="Z32" s="33">
        <f t="shared" si="18"/>
        <v>30</v>
      </c>
      <c r="AA32" s="35">
        <f t="shared" si="12"/>
        <v>0.59216101694915257</v>
      </c>
      <c r="AB32" s="36">
        <v>72587.882818500249</v>
      </c>
      <c r="AC32" s="40">
        <f t="shared" si="13"/>
        <v>8.4337913644949118</v>
      </c>
      <c r="AD32" s="2"/>
      <c r="AE32" s="33">
        <f t="shared" si="19"/>
        <v>30</v>
      </c>
      <c r="AF32" s="37">
        <f t="shared" si="15"/>
        <v>23339.548933843638</v>
      </c>
      <c r="AG32" s="36">
        <v>72694.223312465401</v>
      </c>
      <c r="AH32" s="40">
        <f t="shared" si="16"/>
        <v>8.5926457419541169</v>
      </c>
      <c r="AJ32" s="113">
        <v>50</v>
      </c>
      <c r="AK32" s="114">
        <f t="shared" si="17"/>
        <v>14.321076236590175</v>
      </c>
      <c r="AL32" s="114">
        <f t="shared" si="9"/>
        <v>14.056318940824861</v>
      </c>
      <c r="AM32" s="115">
        <f t="shared" si="7"/>
        <v>18.508275307689388</v>
      </c>
      <c r="AN32" s="115">
        <f t="shared" si="8"/>
        <v>32.564594248514247</v>
      </c>
      <c r="AO32" s="56">
        <f t="shared" si="10"/>
        <v>-14.056318940824827</v>
      </c>
    </row>
    <row r="33" spans="1:34" ht="15.75" customHeight="1" x14ac:dyDescent="0.25">
      <c r="A33" s="2" t="s">
        <v>50</v>
      </c>
      <c r="B33" s="6">
        <f>IF(B13=0,0,(B13/100)*B48)</f>
        <v>3019.3548387096776</v>
      </c>
      <c r="C33" s="2" t="s">
        <v>3</v>
      </c>
      <c r="D33" s="2"/>
      <c r="E33" s="17" t="s">
        <v>96</v>
      </c>
      <c r="F33" s="50">
        <f>F32*(F20/100)*J15</f>
        <v>3361.1753929059596</v>
      </c>
      <c r="G33" s="2" t="s">
        <v>3</v>
      </c>
      <c r="H33" s="2"/>
      <c r="I33" s="17" t="s">
        <v>63</v>
      </c>
      <c r="J33" s="15">
        <f>F15/$B$8</f>
        <v>0</v>
      </c>
      <c r="K33" s="2" t="s">
        <v>49</v>
      </c>
      <c r="L33" s="18"/>
      <c r="M33" s="2"/>
      <c r="N33" s="12">
        <f t="shared" si="6"/>
        <v>0</v>
      </c>
      <c r="O33" s="12"/>
      <c r="P33" s="24">
        <f t="shared" si="1"/>
        <v>0</v>
      </c>
      <c r="Q33" s="25">
        <f t="shared" si="2"/>
        <v>0</v>
      </c>
      <c r="R33" s="25">
        <f t="shared" si="3"/>
        <v>0</v>
      </c>
      <c r="S33" s="25">
        <f t="shared" si="4"/>
        <v>0</v>
      </c>
      <c r="T33" s="24">
        <f t="shared" si="5"/>
        <v>0</v>
      </c>
      <c r="U33" s="20">
        <f t="shared" si="0"/>
        <v>0</v>
      </c>
      <c r="V33" s="3"/>
      <c r="W33" s="6"/>
      <c r="X33" s="2"/>
      <c r="Y33" s="2"/>
      <c r="Z33" s="33">
        <f t="shared" si="18"/>
        <v>40</v>
      </c>
      <c r="AA33" s="35">
        <f t="shared" si="12"/>
        <v>0.63771186440677963</v>
      </c>
      <c r="AB33" s="36">
        <v>74469.802502939419</v>
      </c>
      <c r="AC33" s="40">
        <f t="shared" si="13"/>
        <v>11.245055152659896</v>
      </c>
      <c r="AD33" s="2"/>
      <c r="AE33" s="33">
        <f t="shared" si="19"/>
        <v>40</v>
      </c>
      <c r="AF33" s="37">
        <f t="shared" si="15"/>
        <v>25134.898851831607</v>
      </c>
      <c r="AG33" s="36">
        <v>74611.589828226279</v>
      </c>
      <c r="AH33" s="40">
        <f t="shared" si="16"/>
        <v>11.456860989272156</v>
      </c>
    </row>
    <row r="34" spans="1:34" ht="15.75" customHeight="1" x14ac:dyDescent="0.25">
      <c r="A34" s="30" t="s">
        <v>183</v>
      </c>
      <c r="B34" s="6">
        <f>IF(B16=0,0,B16/$B$8)</f>
        <v>23.305084745762713</v>
      </c>
      <c r="C34" s="2" t="s">
        <v>3</v>
      </c>
      <c r="D34" s="2"/>
      <c r="E34" s="2"/>
      <c r="F34" s="7"/>
      <c r="G34" s="2"/>
      <c r="H34" s="2"/>
      <c r="I34" s="17" t="s">
        <v>48</v>
      </c>
      <c r="J34" s="23">
        <f>F18*F12/$B$8</f>
        <v>3209.08</v>
      </c>
      <c r="K34" s="2" t="s">
        <v>49</v>
      </c>
      <c r="L34" s="18"/>
      <c r="M34" s="2"/>
      <c r="N34" s="12">
        <f t="shared" si="6"/>
        <v>0</v>
      </c>
      <c r="O34" s="12"/>
      <c r="P34" s="24">
        <f t="shared" si="1"/>
        <v>0</v>
      </c>
      <c r="Q34" s="25">
        <f t="shared" si="2"/>
        <v>0</v>
      </c>
      <c r="R34" s="25">
        <f t="shared" si="3"/>
        <v>0</v>
      </c>
      <c r="S34" s="25">
        <f t="shared" si="4"/>
        <v>0</v>
      </c>
      <c r="T34" s="24">
        <f t="shared" si="5"/>
        <v>0</v>
      </c>
      <c r="U34" s="20">
        <f t="shared" si="0"/>
        <v>0</v>
      </c>
      <c r="V34" s="3"/>
      <c r="W34" s="6"/>
      <c r="X34" s="2"/>
      <c r="Y34" s="2"/>
      <c r="Z34" s="33">
        <f t="shared" si="18"/>
        <v>50</v>
      </c>
      <c r="AA34" s="35">
        <f t="shared" si="12"/>
        <v>0.68326271186440679</v>
      </c>
      <c r="AB34" s="36">
        <v>76351.722187378575</v>
      </c>
      <c r="AC34" s="40">
        <f t="shared" si="13"/>
        <v>14.056318940824861</v>
      </c>
      <c r="AD34" s="2"/>
      <c r="AE34" s="33">
        <f t="shared" si="19"/>
        <v>50</v>
      </c>
      <c r="AF34" s="37">
        <f t="shared" si="15"/>
        <v>26930.24876981958</v>
      </c>
      <c r="AG34" s="36">
        <v>76528.956343987142</v>
      </c>
      <c r="AH34" s="40">
        <f t="shared" si="16"/>
        <v>14.321076236590175</v>
      </c>
    </row>
    <row r="35" spans="1:34" ht="15.75" customHeight="1" x14ac:dyDescent="0.25">
      <c r="A35" s="30" t="s">
        <v>184</v>
      </c>
      <c r="B35" s="6">
        <f t="shared" ref="B35:B40" si="20">IF(B17=0,0,(B17/100)*$B$48)</f>
        <v>0</v>
      </c>
      <c r="C35" s="2" t="s">
        <v>3</v>
      </c>
      <c r="D35" s="2"/>
      <c r="E35" s="1" t="s">
        <v>99</v>
      </c>
      <c r="F35" s="2"/>
      <c r="G35" s="2"/>
      <c r="H35" s="2"/>
      <c r="I35" s="2"/>
      <c r="J35" s="7"/>
      <c r="K35" s="2"/>
      <c r="L35" s="18"/>
      <c r="M35" s="2"/>
      <c r="N35" s="12">
        <f t="shared" si="6"/>
        <v>0</v>
      </c>
      <c r="O35" s="12"/>
      <c r="P35" s="24">
        <f t="shared" si="1"/>
        <v>0</v>
      </c>
      <c r="Q35" s="25">
        <f t="shared" si="2"/>
        <v>0</v>
      </c>
      <c r="R35" s="25">
        <f t="shared" si="3"/>
        <v>0</v>
      </c>
      <c r="S35" s="25">
        <f t="shared" si="4"/>
        <v>0</v>
      </c>
      <c r="T35" s="24">
        <f t="shared" si="5"/>
        <v>0</v>
      </c>
      <c r="U35" s="20">
        <f t="shared" si="0"/>
        <v>0</v>
      </c>
      <c r="V35" s="3"/>
      <c r="W35" s="6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ht="15.75" customHeight="1" x14ac:dyDescent="0.25">
      <c r="A36" s="30" t="s">
        <v>68</v>
      </c>
      <c r="B36" s="6">
        <f t="shared" si="20"/>
        <v>0</v>
      </c>
      <c r="C36" s="2" t="s">
        <v>3</v>
      </c>
      <c r="D36" s="2"/>
      <c r="E36" s="17" t="s">
        <v>173</v>
      </c>
      <c r="F36" s="64">
        <f>F13/$B$8</f>
        <v>0.45550847457627119</v>
      </c>
      <c r="G36" s="2" t="s">
        <v>128</v>
      </c>
      <c r="H36" s="2"/>
      <c r="I36" s="17"/>
      <c r="J36" s="23"/>
      <c r="K36" s="2"/>
      <c r="L36" s="18"/>
      <c r="M36" s="2"/>
      <c r="N36" s="12">
        <f t="shared" si="6"/>
        <v>0</v>
      </c>
      <c r="O36" s="12"/>
      <c r="P36" s="24">
        <f t="shared" si="1"/>
        <v>0</v>
      </c>
      <c r="Q36" s="25">
        <f t="shared" si="2"/>
        <v>0</v>
      </c>
      <c r="R36" s="25">
        <f t="shared" si="3"/>
        <v>0</v>
      </c>
      <c r="S36" s="25">
        <f t="shared" si="4"/>
        <v>0</v>
      </c>
      <c r="T36" s="24">
        <f t="shared" si="5"/>
        <v>0</v>
      </c>
      <c r="U36" s="20">
        <f t="shared" si="0"/>
        <v>0</v>
      </c>
      <c r="V36" s="3"/>
      <c r="W36" s="6"/>
      <c r="X36" s="2"/>
      <c r="Y36" s="2"/>
      <c r="Z36" s="32" t="s">
        <v>48</v>
      </c>
      <c r="AA36" s="33"/>
      <c r="AB36" s="33"/>
      <c r="AC36" s="33"/>
      <c r="AD36" s="2"/>
      <c r="AE36" s="32" t="s">
        <v>101</v>
      </c>
      <c r="AF36" s="33"/>
      <c r="AG36" s="33"/>
      <c r="AH36" s="33"/>
    </row>
    <row r="37" spans="1:34" ht="15.75" customHeight="1" x14ac:dyDescent="0.25">
      <c r="A37" s="30" t="s">
        <v>70</v>
      </c>
      <c r="B37" s="6">
        <f t="shared" si="20"/>
        <v>0</v>
      </c>
      <c r="C37" s="2" t="s">
        <v>3</v>
      </c>
      <c r="D37" s="2"/>
      <c r="E37" s="17" t="s">
        <v>174</v>
      </c>
      <c r="F37" s="65">
        <f>F36*J9</f>
        <v>7.2881355932203393E-2</v>
      </c>
      <c r="G37" s="2" t="s">
        <v>4</v>
      </c>
      <c r="H37" s="2"/>
      <c r="I37" s="2"/>
      <c r="J37" s="2"/>
      <c r="K37" s="2"/>
      <c r="L37" s="18"/>
      <c r="M37" s="2"/>
      <c r="N37" s="12">
        <f t="shared" si="6"/>
        <v>0</v>
      </c>
      <c r="O37" s="12"/>
      <c r="P37" s="24">
        <f t="shared" si="1"/>
        <v>0</v>
      </c>
      <c r="Q37" s="25">
        <f t="shared" si="2"/>
        <v>0</v>
      </c>
      <c r="R37" s="25">
        <f t="shared" si="3"/>
        <v>0</v>
      </c>
      <c r="S37" s="25">
        <f t="shared" si="4"/>
        <v>0</v>
      </c>
      <c r="T37" s="24">
        <f t="shared" si="5"/>
        <v>0</v>
      </c>
      <c r="U37" s="20">
        <f t="shared" si="0"/>
        <v>0</v>
      </c>
      <c r="V37" s="3"/>
      <c r="W37" s="6"/>
      <c r="X37" s="2"/>
      <c r="Y37" s="2"/>
      <c r="Z37" s="33" t="s">
        <v>79</v>
      </c>
      <c r="AA37" s="33" t="s">
        <v>117</v>
      </c>
      <c r="AB37" s="33" t="s">
        <v>23</v>
      </c>
      <c r="AC37" s="33" t="s">
        <v>81</v>
      </c>
      <c r="AD37" s="2"/>
      <c r="AE37" s="33" t="s">
        <v>79</v>
      </c>
      <c r="AF37" s="33" t="s">
        <v>104</v>
      </c>
      <c r="AG37" s="33" t="s">
        <v>23</v>
      </c>
      <c r="AH37" s="33" t="s">
        <v>81</v>
      </c>
    </row>
    <row r="38" spans="1:34" ht="15.75" customHeight="1" x14ac:dyDescent="0.25">
      <c r="A38" s="30" t="s">
        <v>72</v>
      </c>
      <c r="B38" s="6">
        <f t="shared" si="20"/>
        <v>0</v>
      </c>
      <c r="C38" s="2" t="s">
        <v>3</v>
      </c>
      <c r="D38" s="2"/>
      <c r="E38" s="17" t="s">
        <v>136</v>
      </c>
      <c r="F38" s="7">
        <f>F37*F12</f>
        <v>2338.8210169491526</v>
      </c>
      <c r="G38" s="2" t="s">
        <v>49</v>
      </c>
      <c r="H38" s="2"/>
      <c r="I38" s="2"/>
      <c r="J38" s="2"/>
      <c r="K38" s="2"/>
      <c r="L38" s="18"/>
      <c r="M38" s="2"/>
      <c r="N38" s="12">
        <f t="shared" si="6"/>
        <v>0</v>
      </c>
      <c r="O38" s="12"/>
      <c r="P38" s="24">
        <f t="shared" si="1"/>
        <v>0</v>
      </c>
      <c r="Q38" s="25">
        <f t="shared" si="2"/>
        <v>0</v>
      </c>
      <c r="R38" s="25">
        <f t="shared" si="3"/>
        <v>0</v>
      </c>
      <c r="S38" s="25">
        <f t="shared" si="4"/>
        <v>0</v>
      </c>
      <c r="T38" s="24">
        <f t="shared" si="5"/>
        <v>0</v>
      </c>
      <c r="U38" s="20">
        <f t="shared" si="0"/>
        <v>0</v>
      </c>
      <c r="V38" s="3"/>
      <c r="W38" s="6"/>
      <c r="X38" s="2"/>
      <c r="Y38" s="2"/>
      <c r="Z38" s="33" t="s">
        <v>86</v>
      </c>
      <c r="AA38" s="35">
        <v>3209.08</v>
      </c>
      <c r="AB38" s="36">
        <f>U49</f>
        <v>66942.123765182769</v>
      </c>
      <c r="AC38" s="33"/>
      <c r="AD38" s="2"/>
      <c r="AE38" s="33" t="s">
        <v>86</v>
      </c>
      <c r="AF38" s="37">
        <v>32090.799999999999</v>
      </c>
      <c r="AG38" s="36">
        <f>U49</f>
        <v>66942.123765182769</v>
      </c>
      <c r="AH38" s="33"/>
    </row>
    <row r="39" spans="1:34" ht="15.75" customHeight="1" x14ac:dyDescent="0.25">
      <c r="A39" s="14" t="s">
        <v>73</v>
      </c>
      <c r="B39" s="6">
        <f t="shared" si="20"/>
        <v>1258.0645161290324</v>
      </c>
      <c r="C39" s="2" t="s">
        <v>3</v>
      </c>
      <c r="D39" s="2"/>
      <c r="E39" s="2"/>
      <c r="F39" s="2"/>
      <c r="G39" s="2"/>
      <c r="H39" s="2"/>
      <c r="I39" s="2"/>
      <c r="J39" s="2"/>
      <c r="K39" s="2"/>
      <c r="L39" s="18"/>
      <c r="M39" s="2"/>
      <c r="N39" s="12">
        <f t="shared" si="6"/>
        <v>0</v>
      </c>
      <c r="O39" s="12"/>
      <c r="P39" s="24">
        <f t="shared" si="1"/>
        <v>0</v>
      </c>
      <c r="Q39" s="25">
        <f t="shared" si="2"/>
        <v>0</v>
      </c>
      <c r="R39" s="25">
        <f t="shared" si="3"/>
        <v>0</v>
      </c>
      <c r="S39" s="25">
        <f t="shared" si="4"/>
        <v>0</v>
      </c>
      <c r="T39" s="24">
        <f t="shared" si="5"/>
        <v>0</v>
      </c>
      <c r="U39" s="20">
        <f t="shared" si="0"/>
        <v>0</v>
      </c>
      <c r="V39" s="3"/>
      <c r="W39" s="6"/>
      <c r="X39" s="2"/>
      <c r="Y39" s="2"/>
      <c r="Z39" s="33">
        <f t="shared" ref="Z39:Z43" si="21">Z40-10</f>
        <v>-50</v>
      </c>
      <c r="AA39" s="35">
        <f t="shared" ref="AA39:AA49" si="22">$AA$38*(1+(Z39/100))</f>
        <v>1604.54</v>
      </c>
      <c r="AB39" s="36">
        <f t="dataTable" ref="AB39:AB49" dt2D="0" dtr="0" r1="J34" ca="1"/>
        <v>54552.291201908571</v>
      </c>
      <c r="AC39" s="40">
        <f t="shared" ref="AC39:AC49" si="23">100*((AB39-$AB$44)/$AB$44)</f>
        <v>-18.508275307689399</v>
      </c>
      <c r="AD39" s="2"/>
      <c r="AE39" s="33">
        <f t="shared" ref="AE39:AE43" si="24">AE40-10</f>
        <v>-50</v>
      </c>
      <c r="AF39" s="37">
        <f t="shared" ref="AF39:AF49" si="25">$AF$38*(1+(AE39/100))</f>
        <v>16045.4</v>
      </c>
      <c r="AG39" s="36">
        <f t="dataTable" ref="AG39:AG49" dt2D="0" dtr="0" r1="F12" ca="1"/>
        <v>45142.692779712779</v>
      </c>
      <c r="AH39" s="40">
        <f t="shared" ref="AH39:AH49" si="26">100*((AG39-$AG$44)/$AG$44)</f>
        <v>-32.564594248514233</v>
      </c>
    </row>
    <row r="40" spans="1:34" ht="15.75" customHeight="1" x14ac:dyDescent="0.25">
      <c r="A40" s="14" t="s">
        <v>76</v>
      </c>
      <c r="B40" s="6">
        <f t="shared" si="20"/>
        <v>1006.451612903226</v>
      </c>
      <c r="C40" s="2" t="s">
        <v>3</v>
      </c>
      <c r="D40" s="2"/>
      <c r="E40" s="17" t="s">
        <v>97</v>
      </c>
      <c r="F40" s="6">
        <f>F12*B5</f>
        <v>320908</v>
      </c>
      <c r="G40" s="2" t="s">
        <v>98</v>
      </c>
      <c r="H40" s="2"/>
      <c r="I40" s="2"/>
      <c r="J40" s="2"/>
      <c r="K40" s="2"/>
      <c r="L40" s="18"/>
      <c r="M40" s="2"/>
      <c r="N40" s="12">
        <f t="shared" si="6"/>
        <v>0</v>
      </c>
      <c r="O40" s="12"/>
      <c r="P40" s="24">
        <f t="shared" si="1"/>
        <v>0</v>
      </c>
      <c r="Q40" s="25">
        <f t="shared" si="2"/>
        <v>0</v>
      </c>
      <c r="R40" s="25">
        <f t="shared" si="3"/>
        <v>0</v>
      </c>
      <c r="S40" s="25">
        <f t="shared" si="4"/>
        <v>0</v>
      </c>
      <c r="T40" s="24">
        <f t="shared" si="5"/>
        <v>0</v>
      </c>
      <c r="U40" s="20">
        <f t="shared" si="0"/>
        <v>0</v>
      </c>
      <c r="V40" s="3"/>
      <c r="W40" s="6"/>
      <c r="X40" s="2"/>
      <c r="Y40" s="2"/>
      <c r="Z40" s="33">
        <f t="shared" si="21"/>
        <v>-40</v>
      </c>
      <c r="AA40" s="35">
        <f t="shared" si="22"/>
        <v>1925.4479999999999</v>
      </c>
      <c r="AB40" s="36">
        <v>57030.25771456342</v>
      </c>
      <c r="AC40" s="40">
        <f t="shared" si="23"/>
        <v>-14.806620246151503</v>
      </c>
      <c r="AD40" s="2"/>
      <c r="AE40" s="33">
        <f t="shared" si="24"/>
        <v>-40</v>
      </c>
      <c r="AF40" s="37">
        <f t="shared" si="25"/>
        <v>19254.48</v>
      </c>
      <c r="AG40" s="36">
        <v>49502.578976806784</v>
      </c>
      <c r="AH40" s="40">
        <f t="shared" si="26"/>
        <v>-26.05167539881138</v>
      </c>
    </row>
    <row r="41" spans="1:34" ht="15.75" customHeight="1" x14ac:dyDescent="0.25">
      <c r="A41" s="2" t="s">
        <v>83</v>
      </c>
      <c r="B41" s="6">
        <f t="shared" ref="B41:B43" si="27">IF(B23=0,0,B23/$B$8)</f>
        <v>65.677966101694921</v>
      </c>
      <c r="C41" s="2" t="s">
        <v>3</v>
      </c>
      <c r="D41" s="2"/>
      <c r="E41" s="2"/>
      <c r="F41" s="2"/>
      <c r="G41" s="2"/>
      <c r="H41" s="2"/>
      <c r="I41" s="2"/>
      <c r="J41" s="2"/>
      <c r="K41" s="2"/>
      <c r="L41" s="18"/>
      <c r="M41" s="2"/>
      <c r="N41" s="12">
        <f t="shared" si="6"/>
        <v>0</v>
      </c>
      <c r="O41" s="12"/>
      <c r="P41" s="24">
        <f t="shared" si="1"/>
        <v>0</v>
      </c>
      <c r="Q41" s="25">
        <f t="shared" si="2"/>
        <v>0</v>
      </c>
      <c r="R41" s="25">
        <f t="shared" si="3"/>
        <v>0</v>
      </c>
      <c r="S41" s="25">
        <f t="shared" si="4"/>
        <v>0</v>
      </c>
      <c r="T41" s="24">
        <f t="shared" si="5"/>
        <v>0</v>
      </c>
      <c r="U41" s="20">
        <f t="shared" si="0"/>
        <v>0</v>
      </c>
      <c r="V41" s="3"/>
      <c r="W41" s="6"/>
      <c r="X41" s="2"/>
      <c r="Y41" s="2"/>
      <c r="Z41" s="33">
        <f t="shared" si="21"/>
        <v>-30</v>
      </c>
      <c r="AA41" s="35">
        <f t="shared" si="22"/>
        <v>2246.3559999999998</v>
      </c>
      <c r="AB41" s="36">
        <v>59508.224227218241</v>
      </c>
      <c r="AC41" s="40">
        <f t="shared" si="23"/>
        <v>-11.104965184613651</v>
      </c>
      <c r="AD41" s="2"/>
      <c r="AE41" s="33">
        <f t="shared" si="24"/>
        <v>-30</v>
      </c>
      <c r="AF41" s="37">
        <f t="shared" si="25"/>
        <v>22463.559999999998</v>
      </c>
      <c r="AG41" s="36">
        <v>53862.465173900768</v>
      </c>
      <c r="AH41" s="40">
        <f t="shared" si="26"/>
        <v>-19.538756549108552</v>
      </c>
    </row>
    <row r="42" spans="1:34" ht="15.75" customHeight="1" x14ac:dyDescent="0.25">
      <c r="A42" s="2" t="s">
        <v>178</v>
      </c>
      <c r="B42" s="6">
        <f t="shared" si="27"/>
        <v>11.228813559322035</v>
      </c>
      <c r="C42" s="2" t="s">
        <v>3</v>
      </c>
      <c r="D42" s="2"/>
      <c r="E42" s="17"/>
      <c r="F42" s="15"/>
      <c r="G42" s="2"/>
      <c r="H42" s="2"/>
      <c r="I42" s="1"/>
      <c r="J42" s="2"/>
      <c r="K42" s="2"/>
      <c r="L42" s="18"/>
      <c r="M42" s="2"/>
      <c r="N42" s="12">
        <f t="shared" si="6"/>
        <v>0</v>
      </c>
      <c r="O42" s="12"/>
      <c r="P42" s="24">
        <f t="shared" si="1"/>
        <v>0</v>
      </c>
      <c r="Q42" s="25">
        <f t="shared" si="2"/>
        <v>0</v>
      </c>
      <c r="R42" s="25">
        <f t="shared" si="3"/>
        <v>0</v>
      </c>
      <c r="S42" s="25">
        <f t="shared" si="4"/>
        <v>0</v>
      </c>
      <c r="T42" s="24">
        <f t="shared" si="5"/>
        <v>0</v>
      </c>
      <c r="U42" s="20">
        <f t="shared" si="0"/>
        <v>0</v>
      </c>
      <c r="V42" s="3"/>
      <c r="W42" s="6"/>
      <c r="X42" s="2"/>
      <c r="Y42" s="2"/>
      <c r="Z42" s="33">
        <f t="shared" si="21"/>
        <v>-20</v>
      </c>
      <c r="AA42" s="35">
        <f t="shared" si="22"/>
        <v>2567.2640000000001</v>
      </c>
      <c r="AB42" s="36">
        <v>61986.190739873105</v>
      </c>
      <c r="AC42" s="40">
        <f t="shared" si="23"/>
        <v>-7.4033101230757348</v>
      </c>
      <c r="AD42" s="2"/>
      <c r="AE42" s="33">
        <f t="shared" si="24"/>
        <v>-20</v>
      </c>
      <c r="AF42" s="37">
        <f t="shared" si="25"/>
        <v>25672.639999999999</v>
      </c>
      <c r="AG42" s="36">
        <v>58222.351370994773</v>
      </c>
      <c r="AH42" s="40">
        <f t="shared" si="26"/>
        <v>-13.025837699405695</v>
      </c>
    </row>
    <row r="43" spans="1:34" ht="15.75" customHeight="1" x14ac:dyDescent="0.25">
      <c r="A43" s="2" t="s">
        <v>179</v>
      </c>
      <c r="B43" s="6">
        <f t="shared" si="27"/>
        <v>19.088983050847457</v>
      </c>
      <c r="C43" s="2" t="s">
        <v>3</v>
      </c>
      <c r="D43" s="2"/>
      <c r="E43" s="2"/>
      <c r="F43" s="2"/>
      <c r="G43" s="2"/>
      <c r="H43" s="2"/>
      <c r="I43" s="17"/>
      <c r="J43" s="23"/>
      <c r="K43" s="2"/>
      <c r="L43" s="18"/>
      <c r="M43" s="2"/>
      <c r="N43" s="12">
        <f t="shared" si="6"/>
        <v>0</v>
      </c>
      <c r="O43" s="12"/>
      <c r="P43" s="24">
        <f t="shared" si="1"/>
        <v>0</v>
      </c>
      <c r="Q43" s="25">
        <f t="shared" si="2"/>
        <v>0</v>
      </c>
      <c r="R43" s="25">
        <f t="shared" si="3"/>
        <v>0</v>
      </c>
      <c r="S43" s="25">
        <f t="shared" si="4"/>
        <v>0</v>
      </c>
      <c r="T43" s="24">
        <f t="shared" si="5"/>
        <v>0</v>
      </c>
      <c r="U43" s="20">
        <f t="shared" si="0"/>
        <v>0</v>
      </c>
      <c r="V43" s="3"/>
      <c r="W43" s="6"/>
      <c r="X43" s="2"/>
      <c r="Y43" s="2"/>
      <c r="Z43" s="33">
        <f t="shared" si="21"/>
        <v>-10</v>
      </c>
      <c r="AA43" s="35">
        <f t="shared" si="22"/>
        <v>2888.172</v>
      </c>
      <c r="AB43" s="36">
        <v>64464.157252527941</v>
      </c>
      <c r="AC43" s="40">
        <f t="shared" si="23"/>
        <v>-3.7016550615378616</v>
      </c>
      <c r="AD43" s="2"/>
      <c r="AE43" s="33">
        <f t="shared" si="24"/>
        <v>-10</v>
      </c>
      <c r="AF43" s="37">
        <f t="shared" si="25"/>
        <v>28881.72</v>
      </c>
      <c r="AG43" s="36">
        <v>62582.237568088778</v>
      </c>
      <c r="AH43" s="40">
        <f t="shared" si="26"/>
        <v>-6.512918849702837</v>
      </c>
    </row>
    <row r="44" spans="1:34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8"/>
      <c r="M44" s="2"/>
      <c r="N44" s="12">
        <f t="shared" si="6"/>
        <v>0</v>
      </c>
      <c r="O44" s="12"/>
      <c r="P44" s="24">
        <f t="shared" si="1"/>
        <v>0</v>
      </c>
      <c r="Q44" s="25">
        <f t="shared" si="2"/>
        <v>0</v>
      </c>
      <c r="R44" s="25">
        <f t="shared" si="3"/>
        <v>0</v>
      </c>
      <c r="S44" s="25">
        <f t="shared" si="4"/>
        <v>0</v>
      </c>
      <c r="T44" s="24">
        <f t="shared" si="5"/>
        <v>0</v>
      </c>
      <c r="U44" s="20">
        <f t="shared" si="0"/>
        <v>0</v>
      </c>
      <c r="V44" s="3"/>
      <c r="W44" s="6"/>
      <c r="X44" s="2"/>
      <c r="Y44" s="2"/>
      <c r="Z44" s="45">
        <v>0</v>
      </c>
      <c r="AA44" s="61">
        <f t="shared" si="22"/>
        <v>3209.08</v>
      </c>
      <c r="AB44" s="46">
        <v>66942.123765182769</v>
      </c>
      <c r="AC44" s="87">
        <f t="shared" si="23"/>
        <v>0</v>
      </c>
      <c r="AD44" s="2"/>
      <c r="AE44" s="45">
        <v>0</v>
      </c>
      <c r="AF44" s="49">
        <f t="shared" si="25"/>
        <v>32090.799999999999</v>
      </c>
      <c r="AG44" s="46">
        <v>66942.123765182769</v>
      </c>
      <c r="AH44" s="62">
        <f t="shared" si="26"/>
        <v>0</v>
      </c>
    </row>
    <row r="45" spans="1:34" ht="15.75" customHeight="1" x14ac:dyDescent="0.25">
      <c r="A45" s="27" t="s">
        <v>108</v>
      </c>
      <c r="B45" s="3"/>
      <c r="C45" s="1"/>
      <c r="D45" s="2"/>
      <c r="E45" s="2"/>
      <c r="F45" s="2"/>
      <c r="G45" s="2"/>
      <c r="H45" s="2"/>
      <c r="I45" s="2"/>
      <c r="J45" s="2"/>
      <c r="K45" s="2"/>
      <c r="L45" s="18"/>
      <c r="M45" s="2"/>
      <c r="N45" s="12">
        <f t="shared" si="6"/>
        <v>0</v>
      </c>
      <c r="O45" s="12"/>
      <c r="P45" s="24">
        <f t="shared" si="1"/>
        <v>0</v>
      </c>
      <c r="Q45" s="25">
        <f t="shared" si="2"/>
        <v>0</v>
      </c>
      <c r="R45" s="25">
        <f t="shared" si="3"/>
        <v>0</v>
      </c>
      <c r="S45" s="25">
        <f t="shared" si="4"/>
        <v>0</v>
      </c>
      <c r="T45" s="24">
        <f t="shared" si="5"/>
        <v>0</v>
      </c>
      <c r="U45" s="20">
        <f t="shared" si="0"/>
        <v>0</v>
      </c>
      <c r="V45" s="3"/>
      <c r="W45" s="6"/>
      <c r="X45" s="2"/>
      <c r="Y45" s="2"/>
      <c r="Z45" s="33">
        <f t="shared" ref="Z45:Z49" si="28">Z44+10</f>
        <v>10</v>
      </c>
      <c r="AA45" s="35">
        <f t="shared" si="22"/>
        <v>3529.9880000000003</v>
      </c>
      <c r="AB45" s="36">
        <v>69420.090277837618</v>
      </c>
      <c r="AC45" s="40">
        <f t="shared" si="23"/>
        <v>3.7016550615378945</v>
      </c>
      <c r="AD45" s="2"/>
      <c r="AE45" s="33">
        <f t="shared" ref="AE45:AE49" si="29">AE44+10</f>
        <v>10</v>
      </c>
      <c r="AF45" s="37">
        <f t="shared" si="25"/>
        <v>35299.880000000005</v>
      </c>
      <c r="AG45" s="36">
        <v>71302.009962276759</v>
      </c>
      <c r="AH45" s="40">
        <f t="shared" si="26"/>
        <v>6.512918849702837</v>
      </c>
    </row>
    <row r="46" spans="1:34" ht="15.75" customHeight="1" x14ac:dyDescent="0.25">
      <c r="A46" s="17" t="s">
        <v>197</v>
      </c>
      <c r="B46" s="6">
        <f>J8/B8</f>
        <v>9677.4193548387102</v>
      </c>
      <c r="C46" s="2" t="s">
        <v>3</v>
      </c>
      <c r="D46" s="2"/>
      <c r="E46" s="2"/>
      <c r="F46" s="2"/>
      <c r="G46" s="2"/>
      <c r="H46" s="2"/>
      <c r="I46" s="2"/>
      <c r="J46" s="2"/>
      <c r="K46" s="2"/>
      <c r="L46" s="18"/>
      <c r="M46" s="2"/>
      <c r="N46" s="12">
        <f t="shared" si="6"/>
        <v>0</v>
      </c>
      <c r="O46" s="12"/>
      <c r="P46" s="24">
        <f t="shared" si="1"/>
        <v>0</v>
      </c>
      <c r="Q46" s="25">
        <f t="shared" si="2"/>
        <v>0</v>
      </c>
      <c r="R46" s="25">
        <f t="shared" si="3"/>
        <v>0</v>
      </c>
      <c r="S46" s="25">
        <f t="shared" si="4"/>
        <v>0</v>
      </c>
      <c r="T46" s="24">
        <f t="shared" si="5"/>
        <v>0</v>
      </c>
      <c r="U46" s="20">
        <f t="shared" si="0"/>
        <v>0</v>
      </c>
      <c r="V46" s="3"/>
      <c r="W46" s="6"/>
      <c r="X46" s="2"/>
      <c r="Y46" s="2"/>
      <c r="Z46" s="33">
        <f t="shared" si="28"/>
        <v>20</v>
      </c>
      <c r="AA46" s="35">
        <f t="shared" si="22"/>
        <v>3850.8959999999997</v>
      </c>
      <c r="AB46" s="36">
        <v>71898.056790492439</v>
      </c>
      <c r="AC46" s="40">
        <f t="shared" si="23"/>
        <v>7.4033101230757463</v>
      </c>
      <c r="AD46" s="2"/>
      <c r="AE46" s="33">
        <f t="shared" si="29"/>
        <v>20</v>
      </c>
      <c r="AF46" s="37">
        <f t="shared" si="25"/>
        <v>38508.959999999999</v>
      </c>
      <c r="AG46" s="36">
        <v>75661.896159370779</v>
      </c>
      <c r="AH46" s="40">
        <f t="shared" si="26"/>
        <v>13.025837699405715</v>
      </c>
    </row>
    <row r="47" spans="1:34" ht="15.75" customHeight="1" x14ac:dyDescent="0.25">
      <c r="A47" s="30" t="s">
        <v>137</v>
      </c>
      <c r="B47" s="50">
        <f t="shared" ref="B47:B48" si="30">(1+(B14/100))*B46</f>
        <v>12580.645161290324</v>
      </c>
      <c r="C47" s="2" t="s">
        <v>3</v>
      </c>
      <c r="D47" s="2"/>
      <c r="E47" s="2"/>
      <c r="F47" s="2"/>
      <c r="G47" s="2"/>
      <c r="H47" s="2"/>
      <c r="I47" s="2"/>
      <c r="J47" s="2"/>
      <c r="K47" s="2"/>
      <c r="L47" s="18"/>
      <c r="M47" s="2"/>
      <c r="N47" s="12">
        <f t="shared" si="6"/>
        <v>0</v>
      </c>
      <c r="O47" s="12"/>
      <c r="P47" s="24">
        <f t="shared" si="1"/>
        <v>0</v>
      </c>
      <c r="Q47" s="25">
        <f t="shared" si="2"/>
        <v>0</v>
      </c>
      <c r="R47" s="25">
        <f t="shared" si="3"/>
        <v>0</v>
      </c>
      <c r="S47" s="25">
        <f t="shared" si="4"/>
        <v>0</v>
      </c>
      <c r="T47" s="24">
        <f t="shared" si="5"/>
        <v>0</v>
      </c>
      <c r="U47" s="20">
        <f t="shared" si="0"/>
        <v>0</v>
      </c>
      <c r="V47" s="3"/>
      <c r="W47" s="6"/>
      <c r="X47" s="2"/>
      <c r="Y47" s="2"/>
      <c r="Z47" s="33">
        <f t="shared" si="28"/>
        <v>30</v>
      </c>
      <c r="AA47" s="35">
        <f t="shared" si="22"/>
        <v>4171.8040000000001</v>
      </c>
      <c r="AB47" s="36">
        <v>74376.023303147289</v>
      </c>
      <c r="AC47" s="40">
        <f t="shared" si="23"/>
        <v>11.104965184613642</v>
      </c>
      <c r="AD47" s="2"/>
      <c r="AE47" s="33">
        <f t="shared" si="29"/>
        <v>30</v>
      </c>
      <c r="AF47" s="37">
        <f t="shared" si="25"/>
        <v>41718.04</v>
      </c>
      <c r="AG47" s="36">
        <v>80021.78235646477</v>
      </c>
      <c r="AH47" s="40">
        <f t="shared" si="26"/>
        <v>19.538756549108552</v>
      </c>
    </row>
    <row r="48" spans="1:34" ht="15.75" customHeight="1" x14ac:dyDescent="0.25">
      <c r="A48" s="2" t="s">
        <v>114</v>
      </c>
      <c r="B48" s="50">
        <f t="shared" si="30"/>
        <v>12580.645161290324</v>
      </c>
      <c r="C48" s="2" t="s">
        <v>3</v>
      </c>
      <c r="D48" s="2"/>
      <c r="E48" s="2"/>
      <c r="F48" s="2"/>
      <c r="G48" s="2"/>
      <c r="H48" s="2"/>
      <c r="I48" s="2"/>
      <c r="J48" s="2"/>
      <c r="K48" s="2"/>
      <c r="L48" s="18"/>
      <c r="M48" s="2"/>
      <c r="N48" s="12">
        <f t="shared" si="6"/>
        <v>0</v>
      </c>
      <c r="O48" s="12"/>
      <c r="P48" s="24">
        <f t="shared" si="1"/>
        <v>0</v>
      </c>
      <c r="Q48" s="25">
        <f t="shared" si="2"/>
        <v>0</v>
      </c>
      <c r="R48" s="25">
        <f t="shared" si="3"/>
        <v>0</v>
      </c>
      <c r="S48" s="25">
        <f t="shared" si="4"/>
        <v>0</v>
      </c>
      <c r="T48" s="24">
        <f t="shared" si="5"/>
        <v>0</v>
      </c>
      <c r="U48" s="20">
        <f t="shared" si="0"/>
        <v>0</v>
      </c>
      <c r="V48" s="3"/>
      <c r="W48" s="6"/>
      <c r="X48" s="2"/>
      <c r="Y48" s="2"/>
      <c r="Z48" s="33">
        <f t="shared" si="28"/>
        <v>40</v>
      </c>
      <c r="AA48" s="35">
        <f t="shared" si="22"/>
        <v>4492.7119999999995</v>
      </c>
      <c r="AB48" s="36">
        <v>76853.989815802124</v>
      </c>
      <c r="AC48" s="40">
        <f t="shared" si="23"/>
        <v>14.806620246151514</v>
      </c>
      <c r="AD48" s="2"/>
      <c r="AE48" s="33">
        <f t="shared" si="29"/>
        <v>40</v>
      </c>
      <c r="AF48" s="37">
        <f t="shared" si="25"/>
        <v>44927.119999999995</v>
      </c>
      <c r="AG48" s="36">
        <v>84381.66855355876</v>
      </c>
      <c r="AH48" s="40">
        <f t="shared" si="26"/>
        <v>26.05167539881139</v>
      </c>
    </row>
    <row r="49" spans="1:34" ht="15.75" customHeight="1" x14ac:dyDescent="0.25">
      <c r="A49" s="30" t="s">
        <v>115</v>
      </c>
      <c r="B49" s="6">
        <f>SUM(B33:B41)+SUM(B48)</f>
        <v>17953.49917987972</v>
      </c>
      <c r="C49" s="2" t="s">
        <v>3</v>
      </c>
      <c r="D49" s="2"/>
      <c r="E49" s="2"/>
      <c r="F49" s="2"/>
      <c r="G49" s="2"/>
      <c r="H49" s="2"/>
      <c r="I49" s="2"/>
      <c r="J49" s="2"/>
      <c r="K49" s="2"/>
      <c r="L49" s="18"/>
      <c r="M49" s="2"/>
      <c r="N49" s="13" t="s">
        <v>112</v>
      </c>
      <c r="O49" s="20">
        <f t="shared" ref="O49:U49" si="31">SUM(O8:O48)</f>
        <v>5395.1450929469665</v>
      </c>
      <c r="P49" s="20">
        <f t="shared" si="31"/>
        <v>13810.89833670199</v>
      </c>
      <c r="Q49" s="20">
        <f t="shared" si="31"/>
        <v>18819.196844391598</v>
      </c>
      <c r="R49" s="20">
        <f t="shared" si="31"/>
        <v>28773.896114748248</v>
      </c>
      <c r="S49" s="20">
        <f t="shared" si="31"/>
        <v>3848.9576700406124</v>
      </c>
      <c r="T49" s="20">
        <f t="shared" si="31"/>
        <v>-3705.9702936466383</v>
      </c>
      <c r="U49" s="20">
        <f t="shared" si="31"/>
        <v>66942.123765182769</v>
      </c>
      <c r="V49" s="3"/>
      <c r="W49" s="3"/>
      <c r="X49" s="2"/>
      <c r="Y49" s="2"/>
      <c r="Z49" s="33">
        <f t="shared" si="28"/>
        <v>50</v>
      </c>
      <c r="AA49" s="35">
        <f t="shared" si="22"/>
        <v>4813.62</v>
      </c>
      <c r="AB49" s="36">
        <v>79331.956328456959</v>
      </c>
      <c r="AC49" s="40">
        <f t="shared" si="23"/>
        <v>18.508275307689388</v>
      </c>
      <c r="AD49" s="2"/>
      <c r="AE49" s="33">
        <f t="shared" si="29"/>
        <v>50</v>
      </c>
      <c r="AF49" s="37">
        <f t="shared" si="25"/>
        <v>48136.2</v>
      </c>
      <c r="AG49" s="36">
        <v>88741.554750652766</v>
      </c>
      <c r="AH49" s="40">
        <f t="shared" si="26"/>
        <v>32.564594248514247</v>
      </c>
    </row>
    <row r="50" spans="1:34" ht="15.75" customHeight="1" x14ac:dyDescent="0.25">
      <c r="A50" s="30" t="s">
        <v>116</v>
      </c>
      <c r="B50" s="6">
        <f>SUM(B31:B32)</f>
        <v>0</v>
      </c>
      <c r="C50" s="2" t="s">
        <v>3</v>
      </c>
      <c r="D50" s="2"/>
      <c r="E50" s="2"/>
      <c r="F50" s="2"/>
      <c r="G50" s="2"/>
      <c r="H50" s="2"/>
      <c r="I50" s="2"/>
      <c r="J50" s="2"/>
      <c r="K50" s="2"/>
      <c r="L50" s="18"/>
      <c r="M50" s="2"/>
      <c r="N50" s="2"/>
      <c r="O50" s="2"/>
      <c r="P50" s="2"/>
      <c r="Q50" s="2"/>
      <c r="R50" s="50">
        <f>SUM(R49:S49)</f>
        <v>32622.853784788858</v>
      </c>
      <c r="S50" s="2"/>
      <c r="T50" s="2"/>
      <c r="U50" s="2"/>
      <c r="V50" s="2"/>
      <c r="W50" s="2"/>
      <c r="X50" s="50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ht="15.75" customHeight="1" x14ac:dyDescent="0.25">
      <c r="A51" s="30" t="s">
        <v>172</v>
      </c>
      <c r="B51" s="6">
        <f>SUM(B49:B50)</f>
        <v>17953.49917987972</v>
      </c>
      <c r="C51" s="2" t="s">
        <v>3</v>
      </c>
      <c r="D51" s="2"/>
      <c r="E51" s="2"/>
      <c r="F51" s="2"/>
      <c r="G51" s="2"/>
      <c r="H51" s="2"/>
      <c r="I51" s="2"/>
      <c r="J51" s="2"/>
      <c r="K51" s="2"/>
      <c r="L51" s="18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2" t="s">
        <v>196</v>
      </c>
      <c r="AA51" s="33"/>
      <c r="AB51" s="33"/>
      <c r="AC51" s="33"/>
      <c r="AD51" s="2"/>
      <c r="AE51" s="2"/>
      <c r="AF51" s="2"/>
      <c r="AG51" s="2"/>
      <c r="AH51" s="2"/>
    </row>
    <row r="52" spans="1:34" ht="15.75" customHeight="1" x14ac:dyDescent="0.25">
      <c r="A52" s="2" t="s">
        <v>180</v>
      </c>
      <c r="B52" s="6">
        <f>SUM(B42:B43)</f>
        <v>30.317796610169491</v>
      </c>
      <c r="C52" s="2" t="s">
        <v>3</v>
      </c>
      <c r="D52" s="2"/>
      <c r="E52" s="2"/>
      <c r="F52" s="2"/>
      <c r="G52" s="2"/>
      <c r="H52" s="2"/>
      <c r="I52" s="2"/>
      <c r="J52" s="2"/>
      <c r="K52" s="2"/>
      <c r="L52" s="18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3" t="s">
        <v>79</v>
      </c>
      <c r="AA52" s="33" t="s">
        <v>196</v>
      </c>
      <c r="AB52" s="33" t="s">
        <v>23</v>
      </c>
      <c r="AC52" s="33" t="s">
        <v>81</v>
      </c>
      <c r="AD52" s="2"/>
      <c r="AE52" s="2"/>
      <c r="AF52" s="2"/>
      <c r="AG52" s="2"/>
      <c r="AH52" s="2"/>
    </row>
    <row r="53" spans="1:34" ht="15.75" customHeight="1" x14ac:dyDescent="0.25">
      <c r="A53" s="17" t="s">
        <v>120</v>
      </c>
      <c r="B53" s="6">
        <f>SUM(B51:B52)</f>
        <v>17983.816976489888</v>
      </c>
      <c r="C53" s="2" t="s">
        <v>3</v>
      </c>
      <c r="D53" s="2"/>
      <c r="E53" s="2"/>
      <c r="F53" s="2"/>
      <c r="G53" s="2"/>
      <c r="H53" s="2"/>
      <c r="I53" s="2"/>
      <c r="J53" s="2"/>
      <c r="K53" s="2"/>
      <c r="L53" s="18"/>
      <c r="M53" s="2"/>
      <c r="N53" s="2"/>
      <c r="O53" s="1"/>
      <c r="P53" s="1"/>
      <c r="Q53" s="2"/>
      <c r="R53" s="2"/>
      <c r="S53" s="2"/>
      <c r="T53" s="2"/>
      <c r="U53" s="2"/>
      <c r="V53" s="2"/>
      <c r="W53" s="2"/>
      <c r="X53" s="7"/>
      <c r="Y53" s="2"/>
      <c r="Z53" s="33" t="s">
        <v>86</v>
      </c>
      <c r="AA53" s="35">
        <v>0.16</v>
      </c>
      <c r="AB53" s="36">
        <f>U49</f>
        <v>66942.123765182769</v>
      </c>
      <c r="AC53" s="33"/>
      <c r="AD53" s="2"/>
      <c r="AE53" s="2"/>
      <c r="AF53" s="2"/>
      <c r="AG53" s="2"/>
      <c r="AH53" s="2"/>
    </row>
    <row r="54" spans="1:34" ht="15.75" customHeight="1" x14ac:dyDescent="0.2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4"/>
      <c r="M54" s="2"/>
      <c r="N54" s="51"/>
      <c r="O54" s="52" t="s">
        <v>118</v>
      </c>
      <c r="P54" s="53" t="str">
        <f>B1</f>
        <v>Malaysia</v>
      </c>
      <c r="Q54" s="51"/>
      <c r="R54" s="51"/>
      <c r="S54" s="51"/>
      <c r="T54" s="51"/>
      <c r="U54" s="2"/>
      <c r="V54" s="2"/>
      <c r="W54" s="2"/>
      <c r="X54" s="7"/>
      <c r="Y54" s="2"/>
      <c r="Z54" s="33">
        <f t="shared" ref="Z54:Z58" si="32">Z55-10</f>
        <v>-50</v>
      </c>
      <c r="AA54" s="35">
        <f>$AA$53*(1+(-Z54/100))</f>
        <v>0.24</v>
      </c>
      <c r="AB54" s="36">
        <f t="dataTable" ref="AB54:AB64" dt2D="0" dtr="0" r1="J9" ca="1"/>
        <v>76351.722187378575</v>
      </c>
      <c r="AC54" s="40">
        <f>100*((AB54-$AB$59)/$AB$59)</f>
        <v>14.056318940824861</v>
      </c>
      <c r="AD54" s="2"/>
      <c r="AE54" s="2"/>
      <c r="AF54" s="2"/>
      <c r="AG54" s="2"/>
      <c r="AH54" s="2"/>
    </row>
    <row r="55" spans="1:34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119</v>
      </c>
      <c r="P55" s="50">
        <f>SUM(O49:P49)</f>
        <v>19206.043429648955</v>
      </c>
      <c r="Q55" s="2" t="s">
        <v>3</v>
      </c>
      <c r="R55" s="55">
        <f t="shared" ref="R55:R58" si="33">P55/$F$40</f>
        <v>5.9849063998557078E-2</v>
      </c>
      <c r="S55" s="2" t="s">
        <v>4</v>
      </c>
      <c r="T55" s="2"/>
      <c r="U55" s="2"/>
      <c r="V55" s="2"/>
      <c r="W55" s="2"/>
      <c r="X55" s="7"/>
      <c r="Y55" s="2"/>
      <c r="Z55" s="33">
        <f t="shared" si="32"/>
        <v>-40</v>
      </c>
      <c r="AA55" s="35">
        <f t="shared" ref="AA55:AA64" si="34">$AA$53*(1+(-Z55/100))</f>
        <v>0.22399999999999998</v>
      </c>
      <c r="AB55" s="36">
        <v>74469.802502939419</v>
      </c>
      <c r="AC55" s="40">
        <f t="shared" ref="AC55:AC64" si="35">100*((AB55-$AB$59)/$AB$59)</f>
        <v>11.245055152659896</v>
      </c>
      <c r="AD55" s="2"/>
      <c r="AE55" s="2"/>
      <c r="AF55" s="2"/>
      <c r="AG55" s="2"/>
      <c r="AH55" s="2"/>
    </row>
    <row r="56" spans="1:34" ht="15.75" customHeight="1" x14ac:dyDescent="0.25">
      <c r="A56" s="2" t="s">
        <v>123</v>
      </c>
      <c r="B56" s="6">
        <f>B49*B8</f>
        <v>84740.516129032272</v>
      </c>
      <c r="C56" s="2" t="s">
        <v>28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99</v>
      </c>
      <c r="P56" s="50">
        <f>SUM(Q49)</f>
        <v>18819.196844391598</v>
      </c>
      <c r="Q56" s="2" t="s">
        <v>3</v>
      </c>
      <c r="R56" s="55">
        <f t="shared" si="33"/>
        <v>5.8643588955063747E-2</v>
      </c>
      <c r="S56" s="2" t="s">
        <v>4</v>
      </c>
      <c r="T56" s="2"/>
      <c r="U56" s="2"/>
      <c r="V56" s="2"/>
      <c r="W56" s="2"/>
      <c r="X56" s="7"/>
      <c r="Y56" s="2"/>
      <c r="Z56" s="33">
        <f t="shared" si="32"/>
        <v>-30</v>
      </c>
      <c r="AA56" s="35">
        <f t="shared" si="34"/>
        <v>0.20800000000000002</v>
      </c>
      <c r="AB56" s="36">
        <v>72587.882818500249</v>
      </c>
      <c r="AC56" s="40">
        <f t="shared" si="35"/>
        <v>8.4337913644949118</v>
      </c>
      <c r="AD56" s="2"/>
      <c r="AE56" s="2"/>
      <c r="AF56" s="2"/>
      <c r="AG56" s="2"/>
      <c r="AH56" s="2"/>
    </row>
    <row r="57" spans="1:34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121</v>
      </c>
      <c r="P57" s="50">
        <f>SUM(R49:S49)</f>
        <v>32622.853784788858</v>
      </c>
      <c r="Q57" s="2" t="s">
        <v>3</v>
      </c>
      <c r="R57" s="55">
        <f t="shared" si="33"/>
        <v>0.10165796360573391</v>
      </c>
      <c r="S57" s="2" t="s">
        <v>4</v>
      </c>
      <c r="T57" s="2"/>
      <c r="U57" s="2"/>
      <c r="V57" s="2"/>
      <c r="W57" s="2"/>
      <c r="X57" s="7"/>
      <c r="Y57" s="2"/>
      <c r="Z57" s="33">
        <f t="shared" si="32"/>
        <v>-20</v>
      </c>
      <c r="AA57" s="35">
        <f t="shared" si="34"/>
        <v>0.192</v>
      </c>
      <c r="AB57" s="36">
        <v>70705.963134061079</v>
      </c>
      <c r="AC57" s="40">
        <f t="shared" si="35"/>
        <v>5.6225275763299267</v>
      </c>
      <c r="AD57" s="2"/>
      <c r="AE57" s="2"/>
      <c r="AF57" s="2"/>
      <c r="AG57" s="2"/>
      <c r="AH57" s="2"/>
    </row>
    <row r="58" spans="1:34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124</v>
      </c>
      <c r="P58" s="50">
        <f>T49</f>
        <v>-3705.9702936466383</v>
      </c>
      <c r="Q58" s="2" t="s">
        <v>3</v>
      </c>
      <c r="R58" s="55">
        <f t="shared" si="33"/>
        <v>-1.1548388614950823E-2</v>
      </c>
      <c r="S58" s="2" t="s">
        <v>4</v>
      </c>
      <c r="T58" s="2"/>
      <c r="U58" s="2"/>
      <c r="V58" s="2"/>
      <c r="W58" s="2"/>
      <c r="X58" s="7"/>
      <c r="Y58" s="2"/>
      <c r="Z58" s="33">
        <f t="shared" si="32"/>
        <v>-10</v>
      </c>
      <c r="AA58" s="35">
        <f t="shared" si="34"/>
        <v>0.17600000000000002</v>
      </c>
      <c r="AB58" s="36">
        <v>68824.043449621924</v>
      </c>
      <c r="AC58" s="40">
        <f t="shared" si="35"/>
        <v>2.8112637881649634</v>
      </c>
      <c r="AD58" s="2"/>
      <c r="AE58" s="2"/>
      <c r="AF58" s="2"/>
      <c r="AG58" s="2"/>
      <c r="AH58" s="2"/>
    </row>
    <row r="59" spans="1:34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7"/>
      <c r="Y59" s="2"/>
      <c r="Z59" s="45">
        <v>0</v>
      </c>
      <c r="AA59" s="85">
        <f t="shared" si="34"/>
        <v>0.16</v>
      </c>
      <c r="AB59" s="46">
        <v>66942.123765182769</v>
      </c>
      <c r="AC59" s="87">
        <f t="shared" si="35"/>
        <v>0</v>
      </c>
      <c r="AD59" s="2"/>
      <c r="AE59" s="2"/>
      <c r="AF59" s="2"/>
      <c r="AG59" s="2"/>
      <c r="AH59" s="2"/>
    </row>
    <row r="60" spans="1:34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 t="s">
        <v>2</v>
      </c>
      <c r="P60" s="3">
        <f>SUM(P55:P58)</f>
        <v>66942.123765182783</v>
      </c>
      <c r="Q60" s="1" t="s">
        <v>3</v>
      </c>
      <c r="R60" s="57">
        <f>SUM(R55:R58)</f>
        <v>0.20860222794440392</v>
      </c>
      <c r="S60" s="1" t="s">
        <v>4</v>
      </c>
      <c r="T60" s="2"/>
      <c r="U60" s="2"/>
      <c r="V60" s="2"/>
      <c r="W60" s="2"/>
      <c r="X60" s="7"/>
      <c r="Y60" s="2"/>
      <c r="Z60" s="33">
        <f t="shared" ref="Z60:Z64" si="36">Z59+10</f>
        <v>10</v>
      </c>
      <c r="AA60" s="35">
        <f t="shared" si="34"/>
        <v>0.14400000000000002</v>
      </c>
      <c r="AB60" s="36">
        <v>65060.204080743599</v>
      </c>
      <c r="AC60" s="40">
        <f t="shared" si="35"/>
        <v>-2.8112637881649851</v>
      </c>
      <c r="AD60" s="2"/>
      <c r="AE60" s="2"/>
      <c r="AF60" s="2"/>
      <c r="AG60" s="2"/>
      <c r="AH60" s="2"/>
    </row>
    <row r="61" spans="1:34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7"/>
      <c r="Y61" s="2"/>
      <c r="Z61" s="33">
        <f t="shared" si="36"/>
        <v>20</v>
      </c>
      <c r="AA61" s="35">
        <f t="shared" si="34"/>
        <v>0.128</v>
      </c>
      <c r="AB61" s="36">
        <v>63178.284396304458</v>
      </c>
      <c r="AC61" s="40">
        <f t="shared" si="35"/>
        <v>-5.6225275763299267</v>
      </c>
      <c r="AD61" s="2"/>
      <c r="AE61" s="2"/>
      <c r="AF61" s="2"/>
      <c r="AG61" s="2"/>
      <c r="AH61" s="2"/>
    </row>
    <row r="62" spans="1:34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7"/>
      <c r="Y62" s="2"/>
      <c r="Z62" s="33">
        <f t="shared" si="36"/>
        <v>30</v>
      </c>
      <c r="AA62" s="35">
        <f t="shared" si="34"/>
        <v>0.11199999999999999</v>
      </c>
      <c r="AB62" s="36">
        <v>61296.364711865281</v>
      </c>
      <c r="AC62" s="40">
        <f t="shared" si="35"/>
        <v>-8.4337913644949225</v>
      </c>
      <c r="AD62" s="2"/>
      <c r="AE62" s="2"/>
      <c r="AF62" s="2"/>
      <c r="AG62" s="2"/>
      <c r="AH62" s="2"/>
    </row>
    <row r="63" spans="1:34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7"/>
      <c r="Y63" s="2"/>
      <c r="Z63" s="33">
        <f t="shared" si="36"/>
        <v>40</v>
      </c>
      <c r="AA63" s="35">
        <f t="shared" si="34"/>
        <v>9.6000000000000002E-2</v>
      </c>
      <c r="AB63" s="36">
        <v>59414.445027426133</v>
      </c>
      <c r="AC63" s="40">
        <f t="shared" si="35"/>
        <v>-11.245055152659877</v>
      </c>
      <c r="AD63" s="2"/>
      <c r="AE63" s="2"/>
      <c r="AF63" s="2"/>
      <c r="AG63" s="2"/>
      <c r="AH63" s="2"/>
    </row>
    <row r="64" spans="1:34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7"/>
      <c r="Y64" s="2"/>
      <c r="Z64" s="33">
        <f t="shared" si="36"/>
        <v>50</v>
      </c>
      <c r="AA64" s="35">
        <f t="shared" si="34"/>
        <v>0.08</v>
      </c>
      <c r="AB64" s="36">
        <v>57532.525342986984</v>
      </c>
      <c r="AC64" s="40">
        <f t="shared" si="35"/>
        <v>-14.056318940824827</v>
      </c>
      <c r="AD64" s="2"/>
      <c r="AE64" s="2"/>
      <c r="AF64" s="2"/>
      <c r="AG64" s="2"/>
      <c r="AH64" s="2"/>
    </row>
    <row r="65" spans="1:34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7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7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7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:34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:34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4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4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spans="1:34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spans="1:34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4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:34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4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spans="1:34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:34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spans="1:34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spans="1:34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spans="1:34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4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:34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spans="1:34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4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spans="1:34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:34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spans="1:34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spans="1:34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:34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:34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spans="1:34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spans="1:34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spans="1:34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spans="1:34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spans="1:34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spans="1:34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spans="1:34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spans="1:34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spans="1:34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spans="1:34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spans="1:34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spans="1:34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spans="1:34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spans="1:34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:34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spans="1:34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spans="1:34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4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spans="1:34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spans="1:34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:34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spans="1:34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spans="1:34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:34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spans="1:34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spans="1:34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4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spans="1:34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spans="1:34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spans="1:34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spans="1:34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spans="1:34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:34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spans="1:34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spans="1:34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spans="1:34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:34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spans="1:34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spans="1:34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spans="1:34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spans="1:34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spans="1:34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spans="1:34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spans="1:34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spans="1:34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spans="1:34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spans="1:34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spans="1:34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spans="1:34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spans="1:34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spans="1:34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spans="1:34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spans="1:34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spans="1:34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4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spans="1:34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34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spans="1:34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spans="1:34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spans="1:34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4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spans="1:34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spans="1:34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spans="1:34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spans="1:34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spans="1:34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spans="1:34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spans="1:34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spans="1:34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spans="1:34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spans="1:34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spans="1:34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spans="1:34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4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spans="1:34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spans="1:34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spans="1:34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spans="1:34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spans="1:34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spans="1:34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spans="1:34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spans="1:34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spans="1:34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spans="1:34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spans="1:34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spans="1:34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spans="1:34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spans="1:34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spans="1:34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spans="1:34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spans="1:34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spans="1:34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spans="1:34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spans="1:34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spans="1:34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34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34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spans="1:34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spans="1:34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spans="1:34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spans="1:34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spans="1:34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spans="1:34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spans="1:34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spans="1:34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spans="1:34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spans="1:34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spans="1:34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spans="1:34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spans="1:34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spans="1:34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spans="1:34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spans="1:34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spans="1:34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spans="1:34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:34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spans="1:34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spans="1:34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spans="1:34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spans="1:34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spans="1:34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:34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spans="1:34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spans="1:34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spans="1:34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spans="1:34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spans="1:34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spans="1:34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spans="1:34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spans="1:34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spans="1:34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spans="1:34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spans="1:34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spans="1:34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spans="1:34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spans="1:34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spans="1:34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spans="1:34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spans="1:34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spans="1:34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spans="1:34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spans="1:34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spans="1:34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spans="1:34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spans="1:34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spans="1:34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spans="1:34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spans="1:34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spans="1:34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spans="1:34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spans="1:34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spans="1:34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spans="1:34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spans="1:34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spans="1:34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spans="1:34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spans="1:34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spans="1:34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spans="1:34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spans="1:34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spans="1:34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spans="1:34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spans="1:34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spans="1:34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spans="1:34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spans="1:34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spans="1:34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spans="1:34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spans="1:34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spans="1:34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spans="1:34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spans="1:34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spans="1:34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spans="1:34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spans="1:34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spans="1:34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spans="1:34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spans="1:34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spans="1:34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spans="1:34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spans="1:34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spans="1:34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spans="1:34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spans="1:34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spans="1:34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spans="1:34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spans="1:34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spans="1:34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spans="1:34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spans="1:34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spans="1:34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spans="1:34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spans="1:34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spans="1:34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spans="1:34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spans="1:34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spans="1:34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spans="1:34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spans="1:34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spans="1:34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spans="1:34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spans="1:34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spans="1:34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spans="1:34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spans="1:34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spans="1:34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spans="1:34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spans="1:34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spans="1:34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spans="1:34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spans="1:34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spans="1:34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spans="1:34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spans="1:34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spans="1:34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spans="1:34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spans="1:34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spans="1:34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spans="1:34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spans="1:34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spans="1:34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spans="1:34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spans="1:34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spans="1:34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spans="1:34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spans="1:34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spans="1:34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spans="1:34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spans="1:34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spans="1:34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spans="1:34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spans="1:34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spans="1:34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spans="1:34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spans="1:34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spans="1:34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spans="1:34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spans="1:34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spans="1:34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spans="1:34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spans="1:34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spans="1:34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spans="1:34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spans="1:34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spans="1:34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spans="1:34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spans="1:34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spans="1:34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spans="1:34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spans="1:34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spans="1:34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spans="1:34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spans="1:34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spans="1:34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spans="1:34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spans="1:34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spans="1:34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spans="1:34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spans="1:34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spans="1:34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spans="1:34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spans="1:34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spans="1:34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spans="1:34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spans="1:34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spans="1:34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spans="1:34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spans="1:34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spans="1:34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spans="1:34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spans="1:34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spans="1:34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spans="1:34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spans="1:34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spans="1:34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spans="1:34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spans="1:34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spans="1:34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spans="1:34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spans="1:34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spans="1:34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spans="1:34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spans="1:34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spans="1:34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spans="1:34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spans="1:34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spans="1:34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spans="1:34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spans="1:34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spans="1:34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spans="1:34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spans="1:34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spans="1:34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spans="1:34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spans="1:34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spans="1:34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spans="1:34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spans="1:34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spans="1:34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spans="1:34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spans="1:34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spans="1:34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spans="1:34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spans="1:34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spans="1:34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spans="1:34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spans="1:34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spans="1:34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spans="1:34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spans="1:34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spans="1:34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spans="1:34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spans="1:34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spans="1:34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spans="1:34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spans="1:34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spans="1:34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spans="1:34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spans="1:34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spans="1:34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spans="1:34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spans="1:34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spans="1:34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spans="1:34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spans="1:34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spans="1:34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spans="1:34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spans="1:34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spans="1:34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spans="1:34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spans="1:34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spans="1:34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spans="1:34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spans="1:34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spans="1:34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spans="1:34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spans="1:34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spans="1:34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spans="1:34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spans="1:34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spans="1:34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spans="1:34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spans="1:34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spans="1:34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spans="1:34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spans="1:34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spans="1:34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spans="1:34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spans="1:34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spans="1:34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spans="1:34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spans="1:34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spans="1:34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spans="1:34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spans="1:34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spans="1:34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spans="1:34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spans="1:34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spans="1:34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spans="1:34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spans="1:34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spans="1:34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spans="1:34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spans="1:34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spans="1:34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spans="1:34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spans="1:34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spans="1:34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spans="1:34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spans="1:34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spans="1:34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spans="1:34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spans="1:34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spans="1:34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spans="1:34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spans="1:34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spans="1:34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spans="1:34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spans="1:34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spans="1:34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spans="1:34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spans="1:34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spans="1:34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spans="1:34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spans="1:34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spans="1:34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spans="1:34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spans="1:34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spans="1:34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spans="1:34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spans="1:34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spans="1:34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spans="1:34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spans="1:34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spans="1:34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spans="1:34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spans="1:34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spans="1:34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spans="1:34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spans="1:34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spans="1:34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spans="1:34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spans="1:34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spans="1:34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spans="1:34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spans="1:34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spans="1:34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spans="1:34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spans="1:34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spans="1:34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spans="1:34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spans="1:34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spans="1:34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spans="1:34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spans="1:34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spans="1:34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spans="1:34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spans="1:34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spans="1:34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spans="1:34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spans="1:34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spans="1:34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spans="1:34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spans="1:34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spans="1:34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spans="1:34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spans="1:34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spans="1:34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spans="1:34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spans="1:34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spans="1:34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spans="1:34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spans="1:34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spans="1:34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spans="1:34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spans="1:34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spans="1:34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spans="1:34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spans="1:34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spans="1:34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spans="1:34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spans="1:34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spans="1:34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spans="1:34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spans="1:34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spans="1:34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spans="1:34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spans="1:34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spans="1:34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spans="1:34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spans="1:34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spans="1:34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spans="1:34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spans="1:34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spans="1:34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spans="1:34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spans="1:34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spans="1:34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spans="1:34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spans="1:34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spans="1:34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spans="1:34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spans="1:34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spans="1:34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spans="1:34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spans="1:34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spans="1:34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spans="1:34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spans="1:34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spans="1:34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spans="1:34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spans="1:34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spans="1:34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spans="1:34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spans="1:34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spans="1:34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spans="1:34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spans="1:34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spans="1:34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spans="1:34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spans="1:34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spans="1:34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spans="1:34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spans="1:34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spans="1:34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spans="1:34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spans="1:34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spans="1:34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spans="1:34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spans="1:34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spans="1:34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spans="1:34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spans="1:34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spans="1:34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spans="1:34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spans="1:34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spans="1:34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spans="1:34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spans="1:34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spans="1:34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spans="1:34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spans="1:34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spans="1:34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spans="1:34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spans="1:34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spans="1:34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spans="1:34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spans="1:34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spans="1:34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spans="1:34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spans="1:34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spans="1:34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spans="1:34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spans="1:34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spans="1:34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spans="1:34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spans="1:34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spans="1:34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spans="1:34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spans="1:34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spans="1:34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spans="1:34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spans="1:34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spans="1:34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spans="1:34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spans="1:34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spans="1:34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spans="1:34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spans="1:34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spans="1:34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spans="1:34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spans="1:34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spans="1:34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spans="1:34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spans="1:34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spans="1:34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spans="1:34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spans="1:34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spans="1:34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spans="1:34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spans="1:34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spans="1:34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spans="1:34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spans="1:34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spans="1:34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spans="1:34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spans="1:34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spans="1:34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spans="1:34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spans="1:34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spans="1:34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spans="1:34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spans="1:34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spans="1:34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spans="1:34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spans="1:34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spans="1:34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spans="1:34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spans="1:34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spans="1:34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spans="1:34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spans="1:34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spans="1:34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spans="1:34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spans="1:34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spans="1:34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spans="1:34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spans="1:34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spans="1:34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spans="1:34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spans="1:34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spans="1:34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spans="1:34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spans="1:34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spans="1:34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spans="1:34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spans="1:34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spans="1:34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spans="1:34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spans="1:34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spans="1:34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spans="1:34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spans="1:34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spans="1:34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spans="1:34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spans="1:34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spans="1:34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spans="1:34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spans="1:34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spans="1:34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spans="1:34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spans="1:34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spans="1:34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spans="1:34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spans="1:34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spans="1:34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spans="1:34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spans="1:34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spans="1:34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spans="1:34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spans="1:34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spans="1:34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spans="1:34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spans="1:34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spans="1:34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spans="1:34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spans="1:34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spans="1:34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spans="1:34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spans="1:34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spans="1:34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spans="1:34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spans="1:34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spans="1:34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spans="1:34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spans="1:34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spans="1:34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spans="1:34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spans="1:34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spans="1:34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spans="1:34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spans="1:34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spans="1:34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spans="1:34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spans="1:34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spans="1:34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spans="1:34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spans="1:34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spans="1:34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spans="1:34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spans="1:34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spans="1:34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spans="1:34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spans="1:34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</sheetData>
  <pageMargins left="0.7" right="0.7" top="0.75" bottom="0.75" header="0" footer="0"/>
  <pageSetup orientation="landscape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AY1000"/>
  <sheetViews>
    <sheetView topLeftCell="F1" zoomScale="55" zoomScaleNormal="55" workbookViewId="0">
      <selection activeCell="J8" sqref="J8:J26"/>
    </sheetView>
  </sheetViews>
  <sheetFormatPr defaultColWidth="14.42578125" defaultRowHeight="15" customHeight="1" x14ac:dyDescent="0.25"/>
  <cols>
    <col min="1" max="1" width="52.7109375" customWidth="1"/>
    <col min="2" max="2" width="17.42578125" customWidth="1"/>
    <col min="3" max="3" width="16.28515625" customWidth="1"/>
    <col min="4" max="4" width="8.85546875" customWidth="1"/>
    <col min="5" max="5" width="48" customWidth="1"/>
    <col min="6" max="6" width="17" customWidth="1"/>
    <col min="7" max="7" width="8.85546875" customWidth="1"/>
    <col min="8" max="8" width="19.28515625" customWidth="1"/>
    <col min="9" max="9" width="37.85546875" customWidth="1"/>
    <col min="10" max="10" width="17.710937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33.7109375" customWidth="1"/>
    <col min="19" max="19" width="16.42578125" customWidth="1"/>
    <col min="20" max="20" width="11.140625" customWidth="1"/>
    <col min="21" max="22" width="31.28515625" customWidth="1"/>
    <col min="23" max="23" width="23.85546875" customWidth="1"/>
    <col min="24" max="25" width="13.42578125" customWidth="1"/>
    <col min="26" max="26" width="19.42578125" customWidth="1"/>
    <col min="27" max="27" width="12.28515625" customWidth="1"/>
    <col min="28" max="28" width="20.140625" customWidth="1"/>
    <col min="29" max="29" width="25.28515625" customWidth="1"/>
    <col min="30" max="30" width="12.85546875" customWidth="1"/>
    <col min="31" max="31" width="19" customWidth="1"/>
    <col min="32" max="32" width="4.7109375" customWidth="1"/>
    <col min="33" max="33" width="20.140625" customWidth="1"/>
    <col min="34" max="34" width="19.28515625" customWidth="1"/>
    <col min="35" max="35" width="11.28515625" customWidth="1"/>
    <col min="36" max="36" width="17.85546875" customWidth="1"/>
    <col min="37" max="38" width="8.85546875" customWidth="1"/>
    <col min="39" max="39" width="17.42578125" customWidth="1"/>
    <col min="40" max="40" width="9.7109375" customWidth="1"/>
    <col min="41" max="41" width="15.42578125" customWidth="1"/>
    <col min="42" max="42" width="8.85546875" customWidth="1"/>
    <col min="43" max="44" width="12.7109375" customWidth="1"/>
    <col min="45" max="51" width="8.85546875" customWidth="1"/>
  </cols>
  <sheetData>
    <row r="1" spans="1:51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x14ac:dyDescent="0.25">
      <c r="A2" s="1" t="s">
        <v>2</v>
      </c>
      <c r="B2" s="3">
        <f>X49</f>
        <v>35630.679336046873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x14ac:dyDescent="0.25">
      <c r="A3" s="2"/>
      <c r="B3" s="4">
        <f>B2/J33</f>
        <v>0.18865187343700363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" t="s">
        <v>7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x14ac:dyDescent="0.25">
      <c r="A5" s="2" t="s">
        <v>8</v>
      </c>
      <c r="B5" s="6">
        <v>10</v>
      </c>
      <c r="C5" s="2" t="s">
        <v>9</v>
      </c>
      <c r="D5" s="2"/>
      <c r="E5" s="2"/>
      <c r="F5" s="2"/>
      <c r="G5" s="2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x14ac:dyDescent="0.25">
      <c r="A7" s="8" t="s">
        <v>11</v>
      </c>
      <c r="B7" s="9"/>
      <c r="C7" s="9"/>
      <c r="D7" s="9"/>
      <c r="E7" s="9"/>
      <c r="F7" s="9"/>
      <c r="G7" s="9"/>
      <c r="H7" s="10"/>
      <c r="I7" s="11" t="s">
        <v>12</v>
      </c>
      <c r="J7" s="9"/>
      <c r="K7" s="9"/>
      <c r="L7" s="10"/>
      <c r="M7" s="2"/>
      <c r="N7" s="12" t="s">
        <v>13</v>
      </c>
      <c r="O7" s="12" t="s">
        <v>14</v>
      </c>
      <c r="P7" s="12" t="s">
        <v>15</v>
      </c>
      <c r="Q7" s="12" t="s">
        <v>16</v>
      </c>
      <c r="R7" s="12" t="s">
        <v>17</v>
      </c>
      <c r="S7" s="12" t="s">
        <v>18</v>
      </c>
      <c r="T7" s="12" t="s">
        <v>19</v>
      </c>
      <c r="U7" s="12" t="s">
        <v>20</v>
      </c>
      <c r="V7" s="12" t="s">
        <v>21</v>
      </c>
      <c r="W7" s="12" t="s">
        <v>22</v>
      </c>
      <c r="X7" s="13" t="s">
        <v>23</v>
      </c>
      <c r="Y7" s="1"/>
      <c r="Z7" s="2"/>
      <c r="AA7" s="2"/>
      <c r="AB7" s="2" t="s">
        <v>24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x14ac:dyDescent="0.25">
      <c r="A8" s="14" t="s">
        <v>25</v>
      </c>
      <c r="B8" s="15">
        <v>4.72</v>
      </c>
      <c r="C8" s="2" t="s">
        <v>26</v>
      </c>
      <c r="D8" s="2"/>
      <c r="E8" s="2"/>
      <c r="F8" s="2"/>
      <c r="G8" s="2"/>
      <c r="H8" s="16"/>
      <c r="I8" s="17" t="s">
        <v>197</v>
      </c>
      <c r="J8" s="6">
        <v>55421.935483870962</v>
      </c>
      <c r="K8" s="2" t="s">
        <v>28</v>
      </c>
      <c r="L8" s="18"/>
      <c r="M8" s="2"/>
      <c r="N8" s="12">
        <v>0</v>
      </c>
      <c r="O8" s="19">
        <f>F31</f>
        <v>6748.5211262985231</v>
      </c>
      <c r="P8" s="12"/>
      <c r="Q8" s="12"/>
      <c r="R8" s="12"/>
      <c r="S8" s="12"/>
      <c r="T8" s="12"/>
      <c r="U8" s="12"/>
      <c r="V8" s="12"/>
      <c r="W8" s="12"/>
      <c r="X8" s="20">
        <f t="shared" ref="X8:X48" si="0">SUM(O8:W8)</f>
        <v>6748.5211262985231</v>
      </c>
      <c r="Y8" s="3"/>
      <c r="Z8" s="6"/>
      <c r="AA8" s="2"/>
      <c r="AB8" s="21" t="s">
        <v>29</v>
      </c>
      <c r="AC8" s="22">
        <f>F36</f>
        <v>0.16737288135593223</v>
      </c>
      <c r="AD8" s="21" t="s">
        <v>30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x14ac:dyDescent="0.25">
      <c r="A9" s="14"/>
      <c r="B9" s="2"/>
      <c r="C9" s="2"/>
      <c r="D9" s="2"/>
      <c r="E9" s="2"/>
      <c r="F9" s="23"/>
      <c r="G9" s="2"/>
      <c r="H9" s="16"/>
      <c r="I9" s="17" t="s">
        <v>31</v>
      </c>
      <c r="J9" s="6">
        <v>105</v>
      </c>
      <c r="K9" s="2" t="s">
        <v>30</v>
      </c>
      <c r="L9" s="18"/>
      <c r="M9" s="2"/>
      <c r="N9" s="12">
        <v>1</v>
      </c>
      <c r="O9" s="12"/>
      <c r="P9" s="24">
        <f t="shared" ref="P9:P48" si="1">IF(N9&gt;0,IF(N9&lt;=$J$21,(($F$32+$F$33)/$J$21)/((1+($F$11/100))^N9),0),0)</f>
        <v>3800.1672297867685</v>
      </c>
      <c r="Q9" s="25">
        <f t="shared" ref="Q9:Q48" si="2">IF(N9&gt;0,($F$41*((1+($F$14/100))^(N9-1)))/((1+($F$11/100))^N9),0)</f>
        <v>427.51082728006458</v>
      </c>
      <c r="R9" s="25">
        <f t="shared" ref="R9:R48" si="3">IF(N9&gt;0,$F$40/((1+($F$11/100))^N9),0)</f>
        <v>0</v>
      </c>
      <c r="S9" s="25">
        <f t="shared" ref="S9:S48" si="4">IF(N9&gt;0,$J$35/((1+($F$11/100))^N9),0)</f>
        <v>1055.3775899919287</v>
      </c>
      <c r="T9" s="25">
        <f t="shared" ref="T9:T48" si="5">IF(N9&gt;0,($F$17/$B$8)/((1+($F$11/100))^N9),0)</f>
        <v>0</v>
      </c>
      <c r="U9" s="25">
        <f t="shared" ref="U9:U48" si="6">IF(AND(MOD(N9,$J$31)=0,N9&gt;0),$B$47/((1+($F$11/100))^N9),0)</f>
        <v>0</v>
      </c>
      <c r="V9" s="25">
        <f t="shared" ref="V9:V48" si="7">IF(N9&gt;0,$J$32/((1+($F$11/100))^N9),0)</f>
        <v>0</v>
      </c>
      <c r="W9" s="24">
        <f t="shared" ref="W9:W18" si="8">IF(N9=$B$5,((((1-$J$15/100)^N9)*$B$47+((1-$J$16/100)^N9)*$B$48)/((1+($F$11/100))^N9))*-1,0)</f>
        <v>0</v>
      </c>
      <c r="X9" s="20">
        <f t="shared" si="0"/>
        <v>5283.0556470587617</v>
      </c>
      <c r="Y9" s="3"/>
      <c r="Z9" s="6"/>
      <c r="AA9" s="2"/>
      <c r="AB9" s="21" t="s">
        <v>32</v>
      </c>
      <c r="AC9" s="26">
        <f>B49</f>
        <v>4410</v>
      </c>
      <c r="AD9" s="21" t="s">
        <v>3</v>
      </c>
      <c r="AE9" s="2"/>
      <c r="AF9" s="6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 x14ac:dyDescent="0.25">
      <c r="A10" s="27" t="s">
        <v>33</v>
      </c>
      <c r="B10" s="2"/>
      <c r="C10" s="2"/>
      <c r="D10" s="2"/>
      <c r="E10" s="1" t="s">
        <v>34</v>
      </c>
      <c r="F10" s="2"/>
      <c r="G10" s="2"/>
      <c r="H10" s="18"/>
      <c r="I10" s="17" t="s">
        <v>35</v>
      </c>
      <c r="J10" s="6">
        <v>42</v>
      </c>
      <c r="K10" s="2" t="s">
        <v>36</v>
      </c>
      <c r="L10" s="18"/>
      <c r="M10" s="2"/>
      <c r="N10" s="12">
        <f t="shared" ref="N10:N48" si="9">IF((N9+1)&gt;$B$5,,IF(N9=0,,N9+1))</f>
        <v>2</v>
      </c>
      <c r="O10" s="12"/>
      <c r="P10" s="24">
        <f t="shared" si="1"/>
        <v>3619.2068855112084</v>
      </c>
      <c r="Q10" s="25">
        <f t="shared" si="2"/>
        <v>411.22470052653836</v>
      </c>
      <c r="R10" s="25">
        <f t="shared" si="3"/>
        <v>0</v>
      </c>
      <c r="S10" s="25">
        <f t="shared" si="4"/>
        <v>1005.1215142780275</v>
      </c>
      <c r="T10" s="25">
        <f t="shared" si="5"/>
        <v>0</v>
      </c>
      <c r="U10" s="25">
        <f t="shared" si="6"/>
        <v>0</v>
      </c>
      <c r="V10" s="25">
        <f t="shared" si="7"/>
        <v>0</v>
      </c>
      <c r="W10" s="24">
        <f t="shared" si="8"/>
        <v>0</v>
      </c>
      <c r="X10" s="20">
        <f t="shared" si="0"/>
        <v>5035.5531003157739</v>
      </c>
      <c r="Y10" s="3"/>
      <c r="Z10" s="6"/>
      <c r="AA10" s="2"/>
      <c r="AB10" s="21" t="s">
        <v>172</v>
      </c>
      <c r="AC10" s="28">
        <f>B54</f>
        <v>22495.070420995078</v>
      </c>
      <c r="AD10" s="21" t="s">
        <v>3</v>
      </c>
      <c r="AE10" s="2"/>
      <c r="AF10" s="6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 x14ac:dyDescent="0.25">
      <c r="A11" s="30" t="s">
        <v>37</v>
      </c>
      <c r="B11" s="2">
        <v>2500</v>
      </c>
      <c r="C11" s="2" t="s">
        <v>28</v>
      </c>
      <c r="D11" s="2"/>
      <c r="E11" s="17" t="s">
        <v>38</v>
      </c>
      <c r="F11" s="2">
        <v>5</v>
      </c>
      <c r="G11" s="2" t="s">
        <v>39</v>
      </c>
      <c r="H11" s="18"/>
      <c r="I11" s="17" t="s">
        <v>40</v>
      </c>
      <c r="J11" s="6">
        <v>536</v>
      </c>
      <c r="K11" s="2" t="s">
        <v>139</v>
      </c>
      <c r="L11" s="18"/>
      <c r="M11" s="2"/>
      <c r="N11" s="12">
        <f t="shared" si="9"/>
        <v>3</v>
      </c>
      <c r="O11" s="12"/>
      <c r="P11" s="24">
        <f t="shared" si="1"/>
        <v>3446.8637004868647</v>
      </c>
      <c r="Q11" s="25">
        <f t="shared" si="2"/>
        <v>395.55899764933685</v>
      </c>
      <c r="R11" s="25">
        <f t="shared" si="3"/>
        <v>0</v>
      </c>
      <c r="S11" s="25">
        <f t="shared" si="4"/>
        <v>957.25858502669269</v>
      </c>
      <c r="T11" s="25">
        <f t="shared" si="5"/>
        <v>0</v>
      </c>
      <c r="U11" s="25">
        <f t="shared" si="6"/>
        <v>0</v>
      </c>
      <c r="V11" s="25">
        <f t="shared" si="7"/>
        <v>0</v>
      </c>
      <c r="W11" s="24">
        <f t="shared" si="8"/>
        <v>0</v>
      </c>
      <c r="X11" s="20">
        <f t="shared" si="0"/>
        <v>4799.681283162894</v>
      </c>
      <c r="Y11" s="3"/>
      <c r="Z11" s="6"/>
      <c r="AA11" s="2"/>
      <c r="AB11" s="21" t="s">
        <v>42</v>
      </c>
      <c r="AC11" s="29">
        <f>F12</f>
        <v>18887</v>
      </c>
      <c r="AD11" s="21" t="s">
        <v>43</v>
      </c>
      <c r="AE11" s="2"/>
      <c r="AF11" s="6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 x14ac:dyDescent="0.25">
      <c r="A12" s="30" t="s">
        <v>44</v>
      </c>
      <c r="B12" s="2">
        <v>0</v>
      </c>
      <c r="C12" s="2" t="s">
        <v>39</v>
      </c>
      <c r="D12" s="2"/>
      <c r="E12" s="17" t="s">
        <v>45</v>
      </c>
      <c r="F12" s="6">
        <v>18887</v>
      </c>
      <c r="G12" s="2" t="s">
        <v>43</v>
      </c>
      <c r="H12" s="18"/>
      <c r="I12" s="17" t="s">
        <v>46</v>
      </c>
      <c r="J12" s="6">
        <v>300</v>
      </c>
      <c r="K12" s="2" t="s">
        <v>47</v>
      </c>
      <c r="L12" s="18"/>
      <c r="M12" s="2"/>
      <c r="N12" s="12">
        <f t="shared" si="9"/>
        <v>4</v>
      </c>
      <c r="O12" s="12"/>
      <c r="P12" s="24">
        <f t="shared" si="1"/>
        <v>3282.7273337970146</v>
      </c>
      <c r="Q12" s="25">
        <f t="shared" si="2"/>
        <v>380.49008345317162</v>
      </c>
      <c r="R12" s="25">
        <f t="shared" si="3"/>
        <v>0</v>
      </c>
      <c r="S12" s="25">
        <f t="shared" si="4"/>
        <v>911.67484288256458</v>
      </c>
      <c r="T12" s="25">
        <f t="shared" si="5"/>
        <v>0</v>
      </c>
      <c r="U12" s="25">
        <f t="shared" si="6"/>
        <v>0</v>
      </c>
      <c r="V12" s="25">
        <f t="shared" si="7"/>
        <v>0</v>
      </c>
      <c r="W12" s="24">
        <f t="shared" si="8"/>
        <v>0</v>
      </c>
      <c r="X12" s="20">
        <f t="shared" si="0"/>
        <v>4574.8922601327513</v>
      </c>
      <c r="Y12" s="3"/>
      <c r="Z12" s="6"/>
      <c r="AA12" s="2"/>
      <c r="AB12" s="31" t="s">
        <v>48</v>
      </c>
      <c r="AC12" s="28">
        <f>J39</f>
        <v>470.28629999999998</v>
      </c>
      <c r="AD12" s="21" t="s">
        <v>49</v>
      </c>
      <c r="AE12" s="2"/>
      <c r="AF12" s="6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x14ac:dyDescent="0.25">
      <c r="A13" s="2" t="s">
        <v>50</v>
      </c>
      <c r="B13" s="2">
        <v>24</v>
      </c>
      <c r="C13" s="2" t="s">
        <v>39</v>
      </c>
      <c r="D13" s="2"/>
      <c r="E13" s="17" t="s">
        <v>29</v>
      </c>
      <c r="F13" s="15">
        <v>0.79</v>
      </c>
      <c r="G13" s="2" t="s">
        <v>51</v>
      </c>
      <c r="H13" s="18"/>
      <c r="I13" s="17" t="s">
        <v>52</v>
      </c>
      <c r="J13" s="2">
        <v>30</v>
      </c>
      <c r="K13" s="2" t="s">
        <v>53</v>
      </c>
      <c r="L13" s="18"/>
      <c r="M13" s="2"/>
      <c r="N13" s="12">
        <f t="shared" si="9"/>
        <v>5</v>
      </c>
      <c r="O13" s="12"/>
      <c r="P13" s="24">
        <f t="shared" si="1"/>
        <v>3126.4069845685849</v>
      </c>
      <c r="Q13" s="25">
        <f t="shared" si="2"/>
        <v>365.99522313114602</v>
      </c>
      <c r="R13" s="25">
        <f t="shared" si="3"/>
        <v>0</v>
      </c>
      <c r="S13" s="25">
        <f t="shared" si="4"/>
        <v>868.26175512625196</v>
      </c>
      <c r="T13" s="25">
        <f t="shared" si="5"/>
        <v>0</v>
      </c>
      <c r="U13" s="25">
        <f t="shared" si="6"/>
        <v>0</v>
      </c>
      <c r="V13" s="25">
        <f t="shared" si="7"/>
        <v>0</v>
      </c>
      <c r="W13" s="24">
        <f t="shared" si="8"/>
        <v>0</v>
      </c>
      <c r="X13" s="20">
        <f t="shared" si="0"/>
        <v>4360.6639628259827</v>
      </c>
      <c r="Y13" s="3"/>
      <c r="Z13" s="6"/>
      <c r="AA13" s="2"/>
      <c r="AB13" s="2" t="s">
        <v>171</v>
      </c>
      <c r="AC13" s="6">
        <f>J26</f>
        <v>150</v>
      </c>
      <c r="AD13" s="2" t="s">
        <v>160</v>
      </c>
      <c r="AE13" s="2"/>
      <c r="AF13" s="6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" x14ac:dyDescent="0.25">
      <c r="A14" s="30" t="s">
        <v>54</v>
      </c>
      <c r="B14" s="2">
        <v>0</v>
      </c>
      <c r="C14" s="2" t="s">
        <v>39</v>
      </c>
      <c r="D14" s="2"/>
      <c r="E14" s="17" t="s">
        <v>55</v>
      </c>
      <c r="F14" s="2">
        <v>1</v>
      </c>
      <c r="G14" s="2" t="s">
        <v>56</v>
      </c>
      <c r="H14" s="18"/>
      <c r="I14" s="17" t="s">
        <v>57</v>
      </c>
      <c r="J14" s="5">
        <v>20</v>
      </c>
      <c r="K14" s="2" t="s">
        <v>39</v>
      </c>
      <c r="L14" s="18"/>
      <c r="M14" s="2"/>
      <c r="N14" s="12">
        <f t="shared" si="9"/>
        <v>6</v>
      </c>
      <c r="O14" s="12"/>
      <c r="P14" s="24">
        <f t="shared" si="1"/>
        <v>0</v>
      </c>
      <c r="Q14" s="25">
        <f t="shared" si="2"/>
        <v>352.05254796424526</v>
      </c>
      <c r="R14" s="25">
        <f t="shared" si="3"/>
        <v>0</v>
      </c>
      <c r="S14" s="25">
        <f t="shared" si="4"/>
        <v>826.9159572630972</v>
      </c>
      <c r="T14" s="25">
        <f t="shared" si="5"/>
        <v>0</v>
      </c>
      <c r="U14" s="25">
        <f t="shared" si="6"/>
        <v>0</v>
      </c>
      <c r="V14" s="25">
        <f t="shared" si="7"/>
        <v>0</v>
      </c>
      <c r="W14" s="24">
        <f t="shared" si="8"/>
        <v>0</v>
      </c>
      <c r="X14" s="20">
        <f t="shared" si="0"/>
        <v>1178.9685052273426</v>
      </c>
      <c r="Y14" s="3"/>
      <c r="Z14" s="6"/>
      <c r="AA14" s="2"/>
      <c r="AB14" s="2" t="s">
        <v>196</v>
      </c>
      <c r="AC14" s="15">
        <f>J17</f>
        <v>0.14199999999999999</v>
      </c>
      <c r="AD14" s="2" t="s">
        <v>67</v>
      </c>
      <c r="AE14" s="2"/>
      <c r="AF14" s="6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 x14ac:dyDescent="0.25">
      <c r="A15" s="2" t="s">
        <v>134</v>
      </c>
      <c r="B15" s="2">
        <v>0</v>
      </c>
      <c r="C15" s="2" t="s">
        <v>39</v>
      </c>
      <c r="D15" s="2"/>
      <c r="E15" s="17" t="s">
        <v>59</v>
      </c>
      <c r="F15" s="2">
        <v>0</v>
      </c>
      <c r="G15" s="2" t="s">
        <v>60</v>
      </c>
      <c r="H15" s="18"/>
      <c r="I15" s="17" t="s">
        <v>61</v>
      </c>
      <c r="J15" s="2">
        <v>7.08</v>
      </c>
      <c r="K15" s="2" t="s">
        <v>62</v>
      </c>
      <c r="L15" s="18"/>
      <c r="M15" s="2"/>
      <c r="N15" s="12">
        <f t="shared" si="9"/>
        <v>7</v>
      </c>
      <c r="O15" s="12"/>
      <c r="P15" s="24">
        <f t="shared" si="1"/>
        <v>0</v>
      </c>
      <c r="Q15" s="25">
        <f t="shared" si="2"/>
        <v>338.64102232751213</v>
      </c>
      <c r="R15" s="25">
        <f t="shared" si="3"/>
        <v>0</v>
      </c>
      <c r="S15" s="25">
        <f t="shared" si="4"/>
        <v>787.53900691723527</v>
      </c>
      <c r="T15" s="25">
        <f t="shared" si="5"/>
        <v>0</v>
      </c>
      <c r="U15" s="25">
        <f t="shared" si="6"/>
        <v>0</v>
      </c>
      <c r="V15" s="25">
        <f t="shared" si="7"/>
        <v>0</v>
      </c>
      <c r="W15" s="24">
        <f t="shared" si="8"/>
        <v>0</v>
      </c>
      <c r="X15" s="20">
        <f t="shared" si="0"/>
        <v>1126.1800292447474</v>
      </c>
      <c r="Y15" s="3"/>
      <c r="Z15" s="6"/>
      <c r="AA15" s="2"/>
      <c r="AB15" s="2"/>
      <c r="AC15" s="2"/>
      <c r="AD15" s="2"/>
      <c r="AE15" s="2"/>
      <c r="AF15" s="6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 x14ac:dyDescent="0.25">
      <c r="A16" s="30" t="s">
        <v>183</v>
      </c>
      <c r="B16" s="2">
        <v>110</v>
      </c>
      <c r="C16" s="2" t="s">
        <v>28</v>
      </c>
      <c r="D16" s="2"/>
      <c r="E16" s="17" t="s">
        <v>63</v>
      </c>
      <c r="F16" s="2">
        <v>0</v>
      </c>
      <c r="G16" s="2" t="s">
        <v>60</v>
      </c>
      <c r="H16" s="18"/>
      <c r="I16" s="17" t="s">
        <v>64</v>
      </c>
      <c r="J16" s="2">
        <v>11</v>
      </c>
      <c r="K16" s="2" t="s">
        <v>62</v>
      </c>
      <c r="L16" s="18"/>
      <c r="M16" s="2"/>
      <c r="N16" s="12">
        <f t="shared" si="9"/>
        <v>8</v>
      </c>
      <c r="O16" s="12"/>
      <c r="P16" s="24">
        <f t="shared" si="1"/>
        <v>0</v>
      </c>
      <c r="Q16" s="25">
        <f t="shared" si="2"/>
        <v>325.74041195313066</v>
      </c>
      <c r="R16" s="25">
        <f t="shared" si="3"/>
        <v>0</v>
      </c>
      <c r="S16" s="25">
        <f t="shared" si="4"/>
        <v>750.03714944498608</v>
      </c>
      <c r="T16" s="25">
        <f t="shared" si="5"/>
        <v>0</v>
      </c>
      <c r="U16" s="25">
        <f t="shared" si="6"/>
        <v>2984.8615865465104</v>
      </c>
      <c r="V16" s="25">
        <f t="shared" si="7"/>
        <v>0</v>
      </c>
      <c r="W16" s="24">
        <f t="shared" si="8"/>
        <v>0</v>
      </c>
      <c r="X16" s="20">
        <f t="shared" si="0"/>
        <v>4060.639147944627</v>
      </c>
      <c r="Y16" s="3"/>
      <c r="Z16" s="6"/>
      <c r="AA16" s="2"/>
      <c r="AB16" s="2"/>
      <c r="AC16" s="2"/>
      <c r="AD16" s="2"/>
      <c r="AE16" s="2"/>
      <c r="AF16" s="6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x14ac:dyDescent="0.25">
      <c r="A17" s="30" t="s">
        <v>184</v>
      </c>
      <c r="B17" s="2">
        <v>0</v>
      </c>
      <c r="C17" s="2" t="s">
        <v>39</v>
      </c>
      <c r="D17" s="2"/>
      <c r="E17" s="17" t="s">
        <v>65</v>
      </c>
      <c r="F17" s="2">
        <v>0</v>
      </c>
      <c r="G17" s="2" t="s">
        <v>60</v>
      </c>
      <c r="H17" s="18"/>
      <c r="I17" s="17" t="s">
        <v>66</v>
      </c>
      <c r="J17" s="15">
        <v>0.14199999999999999</v>
      </c>
      <c r="K17" s="2" t="s">
        <v>67</v>
      </c>
      <c r="L17" s="18"/>
      <c r="M17" s="2"/>
      <c r="N17" s="12">
        <f t="shared" si="9"/>
        <v>9</v>
      </c>
      <c r="O17" s="12"/>
      <c r="P17" s="24">
        <f t="shared" si="1"/>
        <v>0</v>
      </c>
      <c r="Q17" s="25">
        <f t="shared" si="2"/>
        <v>313.33125340253525</v>
      </c>
      <c r="R17" s="25">
        <f t="shared" si="3"/>
        <v>0</v>
      </c>
      <c r="S17" s="25">
        <f t="shared" si="4"/>
        <v>714.32109470951048</v>
      </c>
      <c r="T17" s="25">
        <f t="shared" si="5"/>
        <v>0</v>
      </c>
      <c r="U17" s="25">
        <f t="shared" si="6"/>
        <v>0</v>
      </c>
      <c r="V17" s="25">
        <f t="shared" si="7"/>
        <v>0</v>
      </c>
      <c r="W17" s="24">
        <f t="shared" si="8"/>
        <v>0</v>
      </c>
      <c r="X17" s="20">
        <f t="shared" si="0"/>
        <v>1027.6523481120457</v>
      </c>
      <c r="Y17" s="3"/>
      <c r="Z17" s="6"/>
      <c r="AA17" s="2"/>
      <c r="AB17" s="2"/>
      <c r="AC17" s="2"/>
      <c r="AD17" s="2"/>
      <c r="AE17" s="2"/>
      <c r="AF17" s="6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x14ac:dyDescent="0.25">
      <c r="A18" s="30" t="s">
        <v>68</v>
      </c>
      <c r="B18" s="2">
        <v>0</v>
      </c>
      <c r="C18" s="2" t="s">
        <v>39</v>
      </c>
      <c r="D18" s="2"/>
      <c r="E18" s="17" t="s">
        <v>69</v>
      </c>
      <c r="F18" s="6">
        <v>2894.1</v>
      </c>
      <c r="G18" s="2" t="s">
        <v>60</v>
      </c>
      <c r="H18" s="18"/>
      <c r="I18" s="74" t="s">
        <v>71</v>
      </c>
      <c r="J18" s="75">
        <v>0</v>
      </c>
      <c r="K18" s="76" t="s">
        <v>28</v>
      </c>
      <c r="L18" s="18"/>
      <c r="M18" s="2"/>
      <c r="N18" s="12">
        <f t="shared" si="9"/>
        <v>10</v>
      </c>
      <c r="O18" s="12"/>
      <c r="P18" s="24">
        <f t="shared" si="1"/>
        <v>0</v>
      </c>
      <c r="Q18" s="25">
        <f t="shared" si="2"/>
        <v>301.3948247014863</v>
      </c>
      <c r="R18" s="25">
        <f t="shared" si="3"/>
        <v>0</v>
      </c>
      <c r="S18" s="25">
        <f t="shared" si="4"/>
        <v>680.30580448524802</v>
      </c>
      <c r="T18" s="25">
        <f t="shared" si="5"/>
        <v>0</v>
      </c>
      <c r="U18" s="25">
        <f t="shared" si="6"/>
        <v>0</v>
      </c>
      <c r="V18" s="25">
        <f t="shared" si="7"/>
        <v>0</v>
      </c>
      <c r="W18" s="24">
        <f t="shared" si="8"/>
        <v>-3546.8287034633045</v>
      </c>
      <c r="X18" s="20">
        <f t="shared" si="0"/>
        <v>-2565.1280742765703</v>
      </c>
      <c r="Y18" s="3"/>
      <c r="Z18" s="6"/>
      <c r="AA18" s="2"/>
      <c r="AB18" s="2"/>
      <c r="AC18" s="2"/>
      <c r="AD18" s="2"/>
      <c r="AE18" s="2"/>
      <c r="AF18" s="6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x14ac:dyDescent="0.25">
      <c r="A19" s="30" t="s">
        <v>70</v>
      </c>
      <c r="B19" s="2">
        <v>0</v>
      </c>
      <c r="C19" s="2" t="s">
        <v>39</v>
      </c>
      <c r="D19" s="2"/>
      <c r="E19" s="17" t="s">
        <v>48</v>
      </c>
      <c r="F19" s="7">
        <v>0.11752799999999999</v>
      </c>
      <c r="G19" s="2" t="s">
        <v>153</v>
      </c>
      <c r="H19" s="18"/>
      <c r="I19" s="95"/>
      <c r="J19" s="95"/>
      <c r="K19" s="95"/>
      <c r="L19" s="18"/>
      <c r="M19" s="2"/>
      <c r="N19" s="12">
        <f t="shared" si="9"/>
        <v>0</v>
      </c>
      <c r="O19" s="12"/>
      <c r="P19" s="24">
        <f t="shared" si="1"/>
        <v>0</v>
      </c>
      <c r="Q19" s="25">
        <f t="shared" si="2"/>
        <v>0</v>
      </c>
      <c r="R19" s="25">
        <f t="shared" si="3"/>
        <v>0</v>
      </c>
      <c r="S19" s="25">
        <f t="shared" si="4"/>
        <v>0</v>
      </c>
      <c r="T19" s="25">
        <f t="shared" si="5"/>
        <v>0</v>
      </c>
      <c r="U19" s="25">
        <f t="shared" si="6"/>
        <v>0</v>
      </c>
      <c r="V19" s="25">
        <f t="shared" si="7"/>
        <v>0</v>
      </c>
      <c r="W19" s="24">
        <f t="shared" ref="W19:W48" si="10">IF(N19=$B$5,((((1-$J$15/100)^N19)*$B$52+((1-$J$16/100)^N19)*$B$48)/((1+($F$11/100))^N19))*-1,0)</f>
        <v>0</v>
      </c>
      <c r="X19" s="20">
        <f t="shared" si="0"/>
        <v>0</v>
      </c>
      <c r="Y19" s="3"/>
      <c r="Z19" s="6"/>
      <c r="AA19" s="2"/>
      <c r="AB19" s="2"/>
      <c r="AC19" s="2"/>
      <c r="AD19" s="2"/>
      <c r="AE19" s="2"/>
      <c r="AF19" s="6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x14ac:dyDescent="0.25">
      <c r="A20" s="30" t="s">
        <v>72</v>
      </c>
      <c r="B20" s="2">
        <v>0</v>
      </c>
      <c r="C20" s="2" t="s">
        <v>39</v>
      </c>
      <c r="D20" s="2"/>
      <c r="E20" s="2" t="s">
        <v>177</v>
      </c>
      <c r="F20" s="60">
        <f>58.3*2</f>
        <v>116.6</v>
      </c>
      <c r="G20" s="2" t="s">
        <v>60</v>
      </c>
      <c r="H20" s="18"/>
      <c r="I20" s="1" t="s">
        <v>78</v>
      </c>
      <c r="J20" s="2"/>
      <c r="K20" s="2"/>
      <c r="L20" s="18"/>
      <c r="M20" s="2"/>
      <c r="N20" s="12">
        <f t="shared" si="9"/>
        <v>0</v>
      </c>
      <c r="O20" s="12"/>
      <c r="P20" s="24">
        <f t="shared" si="1"/>
        <v>0</v>
      </c>
      <c r="Q20" s="25">
        <f t="shared" si="2"/>
        <v>0</v>
      </c>
      <c r="R20" s="25">
        <f t="shared" si="3"/>
        <v>0</v>
      </c>
      <c r="S20" s="25">
        <f t="shared" si="4"/>
        <v>0</v>
      </c>
      <c r="T20" s="25">
        <f t="shared" si="5"/>
        <v>0</v>
      </c>
      <c r="U20" s="25">
        <f t="shared" si="6"/>
        <v>0</v>
      </c>
      <c r="V20" s="25">
        <f t="shared" si="7"/>
        <v>0</v>
      </c>
      <c r="W20" s="24">
        <f t="shared" si="10"/>
        <v>0</v>
      </c>
      <c r="X20" s="20">
        <f t="shared" si="0"/>
        <v>0</v>
      </c>
      <c r="Y20" s="3"/>
      <c r="Z20" s="6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14" t="s">
        <v>73</v>
      </c>
      <c r="B21" s="2">
        <v>10</v>
      </c>
      <c r="C21" s="2" t="s">
        <v>39</v>
      </c>
      <c r="D21" s="2"/>
      <c r="E21" s="2" t="s">
        <v>74</v>
      </c>
      <c r="F21" s="2">
        <v>0</v>
      </c>
      <c r="G21" s="2" t="s">
        <v>75</v>
      </c>
      <c r="H21" s="18"/>
      <c r="I21" s="17" t="s">
        <v>84</v>
      </c>
      <c r="J21" s="2">
        <v>5</v>
      </c>
      <c r="K21" s="2" t="s">
        <v>53</v>
      </c>
      <c r="L21" s="18"/>
      <c r="M21" s="2"/>
      <c r="N21" s="12">
        <f t="shared" si="9"/>
        <v>0</v>
      </c>
      <c r="O21" s="12"/>
      <c r="P21" s="24">
        <f t="shared" si="1"/>
        <v>0</v>
      </c>
      <c r="Q21" s="25">
        <f t="shared" si="2"/>
        <v>0</v>
      </c>
      <c r="R21" s="25">
        <f t="shared" si="3"/>
        <v>0</v>
      </c>
      <c r="S21" s="25">
        <f t="shared" si="4"/>
        <v>0</v>
      </c>
      <c r="T21" s="25">
        <f t="shared" si="5"/>
        <v>0</v>
      </c>
      <c r="U21" s="25">
        <f t="shared" si="6"/>
        <v>0</v>
      </c>
      <c r="V21" s="25">
        <f t="shared" si="7"/>
        <v>0</v>
      </c>
      <c r="W21" s="24">
        <f t="shared" si="10"/>
        <v>0</v>
      </c>
      <c r="X21" s="20">
        <f t="shared" si="0"/>
        <v>0</v>
      </c>
      <c r="Y21" s="3"/>
      <c r="Z21" s="6"/>
      <c r="AA21" s="2"/>
      <c r="AB21" s="32" t="s">
        <v>29</v>
      </c>
      <c r="AC21" s="33"/>
      <c r="AD21" s="33"/>
      <c r="AE21" s="33"/>
      <c r="AF21" s="2"/>
      <c r="AG21" s="32" t="s">
        <v>27</v>
      </c>
      <c r="AH21" s="33"/>
      <c r="AI21" s="33"/>
      <c r="AJ21" s="33"/>
      <c r="AK21" s="2"/>
      <c r="AL21" s="112" t="s">
        <v>187</v>
      </c>
      <c r="AM21" s="112" t="s">
        <v>188</v>
      </c>
      <c r="AN21" s="112" t="s">
        <v>189</v>
      </c>
      <c r="AO21" s="112" t="s">
        <v>32</v>
      </c>
      <c r="AP21" s="112" t="s">
        <v>190</v>
      </c>
      <c r="AQ21" s="112" t="s">
        <v>191</v>
      </c>
      <c r="AR21" s="117" t="str">
        <f>AB66</f>
        <v>Energy Efficiency</v>
      </c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14" t="s">
        <v>76</v>
      </c>
      <c r="B22" s="2">
        <v>8</v>
      </c>
      <c r="C22" s="2" t="s">
        <v>39</v>
      </c>
      <c r="D22" s="2"/>
      <c r="E22" s="17" t="s">
        <v>77</v>
      </c>
      <c r="F22" s="2">
        <v>5.34</v>
      </c>
      <c r="G22" s="2" t="s">
        <v>62</v>
      </c>
      <c r="H22" s="18"/>
      <c r="I22" s="17" t="s">
        <v>87</v>
      </c>
      <c r="J22" s="2">
        <v>30</v>
      </c>
      <c r="K22" s="2" t="s">
        <v>88</v>
      </c>
      <c r="L22" s="18"/>
      <c r="M22" s="2"/>
      <c r="N22" s="12">
        <f t="shared" si="9"/>
        <v>0</v>
      </c>
      <c r="O22" s="12"/>
      <c r="P22" s="24">
        <f t="shared" si="1"/>
        <v>0</v>
      </c>
      <c r="Q22" s="25">
        <f t="shared" si="2"/>
        <v>0</v>
      </c>
      <c r="R22" s="25">
        <f t="shared" si="3"/>
        <v>0</v>
      </c>
      <c r="S22" s="25">
        <f t="shared" si="4"/>
        <v>0</v>
      </c>
      <c r="T22" s="25">
        <f t="shared" si="5"/>
        <v>0</v>
      </c>
      <c r="U22" s="25">
        <f t="shared" si="6"/>
        <v>0</v>
      </c>
      <c r="V22" s="25">
        <f t="shared" si="7"/>
        <v>0</v>
      </c>
      <c r="W22" s="24">
        <f t="shared" si="10"/>
        <v>0</v>
      </c>
      <c r="X22" s="20">
        <f t="shared" si="0"/>
        <v>0</v>
      </c>
      <c r="Y22" s="3"/>
      <c r="Z22" s="6"/>
      <c r="AA22" s="2"/>
      <c r="AB22" s="33" t="s">
        <v>79</v>
      </c>
      <c r="AC22" s="33" t="s">
        <v>80</v>
      </c>
      <c r="AD22" s="33" t="s">
        <v>23</v>
      </c>
      <c r="AE22" s="33" t="s">
        <v>81</v>
      </c>
      <c r="AF22" s="2"/>
      <c r="AG22" s="33" t="s">
        <v>79</v>
      </c>
      <c r="AH22" s="33" t="s">
        <v>82</v>
      </c>
      <c r="AI22" s="33" t="s">
        <v>23</v>
      </c>
      <c r="AJ22" s="33" t="s">
        <v>81</v>
      </c>
      <c r="AK22" s="2"/>
      <c r="AL22" s="113">
        <v>-50</v>
      </c>
      <c r="AM22" s="114">
        <f>AJ24</f>
        <v>-33.712370502215549</v>
      </c>
      <c r="AN22" s="114">
        <f>AE24</f>
        <v>-5.0685812896290008</v>
      </c>
      <c r="AO22" s="115">
        <f t="shared" ref="AO22:AO32" si="11">AE39</f>
        <v>-9.3848831147439977</v>
      </c>
      <c r="AP22" s="115">
        <f t="shared" ref="AP22:AP32" si="12">AJ39</f>
        <v>-18.541730695465354</v>
      </c>
      <c r="AQ22" s="115">
        <f>AE54</f>
        <v>-5.0959260630111221</v>
      </c>
      <c r="AR22" s="56">
        <f>AE69</f>
        <v>5.0685812896290212</v>
      </c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 t="s">
        <v>83</v>
      </c>
      <c r="B23" s="5">
        <v>310</v>
      </c>
      <c r="C23" s="2" t="s">
        <v>28</v>
      </c>
      <c r="D23" s="2"/>
      <c r="E23" s="2"/>
      <c r="F23" s="2"/>
      <c r="G23" s="2"/>
      <c r="H23" s="18"/>
      <c r="I23" s="89" t="s">
        <v>154</v>
      </c>
      <c r="J23" s="90"/>
      <c r="K23" s="90"/>
      <c r="L23" s="91"/>
      <c r="M23" s="2"/>
      <c r="N23" s="12">
        <f t="shared" si="9"/>
        <v>0</v>
      </c>
      <c r="O23" s="12"/>
      <c r="P23" s="24">
        <f t="shared" si="1"/>
        <v>0</v>
      </c>
      <c r="Q23" s="25">
        <f t="shared" si="2"/>
        <v>0</v>
      </c>
      <c r="R23" s="25">
        <f t="shared" si="3"/>
        <v>0</v>
      </c>
      <c r="S23" s="25">
        <f t="shared" si="4"/>
        <v>0</v>
      </c>
      <c r="T23" s="25">
        <f t="shared" si="5"/>
        <v>0</v>
      </c>
      <c r="U23" s="25">
        <f t="shared" si="6"/>
        <v>0</v>
      </c>
      <c r="V23" s="25">
        <f t="shared" si="7"/>
        <v>0</v>
      </c>
      <c r="W23" s="24">
        <f t="shared" si="10"/>
        <v>0</v>
      </c>
      <c r="X23" s="20">
        <f t="shared" si="0"/>
        <v>0</v>
      </c>
      <c r="Y23" s="3"/>
      <c r="Z23" s="6"/>
      <c r="AA23" s="2"/>
      <c r="AB23" s="33" t="s">
        <v>85</v>
      </c>
      <c r="AC23" s="35">
        <v>0.16737288135593223</v>
      </c>
      <c r="AD23" s="36">
        <f>X49</f>
        <v>35630.679336046873</v>
      </c>
      <c r="AE23" s="33"/>
      <c r="AF23" s="2"/>
      <c r="AG23" s="33" t="s">
        <v>85</v>
      </c>
      <c r="AH23" s="37">
        <v>22495.070420995078</v>
      </c>
      <c r="AI23" s="36">
        <f>X49</f>
        <v>35630.679336046873</v>
      </c>
      <c r="AJ23" s="33"/>
      <c r="AK23" s="2"/>
      <c r="AL23" s="113">
        <v>-40</v>
      </c>
      <c r="AM23" s="114">
        <f>AJ25</f>
        <v>-26.969896401772438</v>
      </c>
      <c r="AN23" s="114">
        <f t="shared" ref="AN23:AN32" si="13">AE25</f>
        <v>-4.054865031703188</v>
      </c>
      <c r="AO23" s="115">
        <f t="shared" si="11"/>
        <v>-7.5079064917951825</v>
      </c>
      <c r="AP23" s="115">
        <f t="shared" si="12"/>
        <v>-16.508829224937319</v>
      </c>
      <c r="AQ23" s="115">
        <f t="shared" ref="AQ23:AQ32" si="14">AE55</f>
        <v>-4.0767408504088971</v>
      </c>
      <c r="AR23" s="56">
        <f t="shared" ref="AR23:AR32" si="15">AE70</f>
        <v>4.0548650317032493</v>
      </c>
      <c r="AS23" s="7"/>
      <c r="AT23" s="7"/>
      <c r="AU23" s="7"/>
      <c r="AV23" s="7"/>
      <c r="AW23" s="7"/>
      <c r="AX23" s="7"/>
      <c r="AY23" s="7"/>
    </row>
    <row r="24" spans="1:51" ht="15.75" customHeight="1" x14ac:dyDescent="0.25">
      <c r="A24" s="2" t="s">
        <v>178</v>
      </c>
      <c r="B24" s="2">
        <v>53</v>
      </c>
      <c r="C24" s="2" t="s">
        <v>28</v>
      </c>
      <c r="D24" s="2"/>
      <c r="E24" s="2"/>
      <c r="F24" s="2"/>
      <c r="G24" s="2"/>
      <c r="H24" s="18"/>
      <c r="I24" s="90" t="s">
        <v>155</v>
      </c>
      <c r="J24" s="92" t="s">
        <v>162</v>
      </c>
      <c r="K24" s="90"/>
      <c r="L24" s="91"/>
      <c r="M24" s="2"/>
      <c r="N24" s="12">
        <f t="shared" si="9"/>
        <v>0</v>
      </c>
      <c r="O24" s="12"/>
      <c r="P24" s="24">
        <f t="shared" si="1"/>
        <v>0</v>
      </c>
      <c r="Q24" s="25">
        <f t="shared" si="2"/>
        <v>0</v>
      </c>
      <c r="R24" s="25">
        <f t="shared" si="3"/>
        <v>0</v>
      </c>
      <c r="S24" s="25">
        <f t="shared" si="4"/>
        <v>0</v>
      </c>
      <c r="T24" s="25">
        <f t="shared" si="5"/>
        <v>0</v>
      </c>
      <c r="U24" s="25">
        <f t="shared" si="6"/>
        <v>0</v>
      </c>
      <c r="V24" s="25">
        <f t="shared" si="7"/>
        <v>0</v>
      </c>
      <c r="W24" s="24">
        <f t="shared" si="10"/>
        <v>0</v>
      </c>
      <c r="X24" s="20">
        <f t="shared" si="0"/>
        <v>0</v>
      </c>
      <c r="Y24" s="3"/>
      <c r="Z24" s="6"/>
      <c r="AA24" s="2"/>
      <c r="AB24" s="33">
        <f t="shared" ref="AB24:AB28" si="16">AB25-10</f>
        <v>-50</v>
      </c>
      <c r="AC24" s="35">
        <f t="shared" ref="AC24:AC34" si="17">$AC$23*(1+(AB24/100))</f>
        <v>8.3686440677966115E-2</v>
      </c>
      <c r="AD24" s="36">
        <f t="dataTable" ref="AD24:AD34" dt2D="0" dtr="0" r1="F36"/>
        <v>33824.709389852294</v>
      </c>
      <c r="AE24" s="40">
        <f t="shared" ref="AE24:AE34" si="18">100*((AD24-$AD$29)/$AD$29)</f>
        <v>-5.0685812896290008</v>
      </c>
      <c r="AF24" s="2"/>
      <c r="AG24" s="33">
        <f t="shared" ref="AG24:AG28" si="19">AG25-10</f>
        <v>-50</v>
      </c>
      <c r="AH24" s="37">
        <f t="shared" ref="AH24:AH34" si="20">$AH$23*(1+(AG24/100))</f>
        <v>11247.535210497539</v>
      </c>
      <c r="AI24" s="36">
        <f t="dataTable" ref="AI24:AI34" dt2D="0" dtr="0" r1="B54" ca="1"/>
        <v>23618.732705822396</v>
      </c>
      <c r="AJ24" s="40">
        <f t="shared" ref="AJ24:AJ34" si="21">100*((AI24-$AI$29)/$AI$29)</f>
        <v>-33.712370502215549</v>
      </c>
      <c r="AK24" s="2"/>
      <c r="AL24" s="113">
        <v>-30</v>
      </c>
      <c r="AM24" s="114">
        <f t="shared" ref="AM24:AM32" si="22">AJ26</f>
        <v>-20.22742230132932</v>
      </c>
      <c r="AN24" s="114">
        <f t="shared" si="13"/>
        <v>-3.0411487737773757</v>
      </c>
      <c r="AO24" s="115">
        <f t="shared" si="11"/>
        <v>-5.6309298688463967</v>
      </c>
      <c r="AP24" s="115">
        <f t="shared" si="12"/>
        <v>-14.475927754409263</v>
      </c>
      <c r="AQ24" s="115">
        <f t="shared" si="14"/>
        <v>-3.0575556378066526</v>
      </c>
      <c r="AR24" s="56">
        <f t="shared" si="15"/>
        <v>3.0411487737773961</v>
      </c>
      <c r="AS24" s="7"/>
      <c r="AT24" s="7"/>
      <c r="AU24" s="7"/>
      <c r="AV24" s="7"/>
      <c r="AW24" s="7"/>
      <c r="AX24" s="7"/>
      <c r="AY24" s="7"/>
    </row>
    <row r="25" spans="1:51" ht="15.75" customHeight="1" x14ac:dyDescent="0.25">
      <c r="A25" s="2" t="s">
        <v>179</v>
      </c>
      <c r="B25" s="2">
        <v>74.2</v>
      </c>
      <c r="C25" s="2" t="s">
        <v>28</v>
      </c>
      <c r="D25" s="2"/>
      <c r="E25" s="2"/>
      <c r="F25" s="2"/>
      <c r="G25" s="2"/>
      <c r="H25" s="18"/>
      <c r="I25" s="93" t="s">
        <v>157</v>
      </c>
      <c r="J25" s="93">
        <v>1.3</v>
      </c>
      <c r="K25" s="93" t="s">
        <v>158</v>
      </c>
      <c r="L25" s="91"/>
      <c r="M25" s="2"/>
      <c r="N25" s="12">
        <f t="shared" si="9"/>
        <v>0</v>
      </c>
      <c r="O25" s="12"/>
      <c r="P25" s="24">
        <f t="shared" si="1"/>
        <v>0</v>
      </c>
      <c r="Q25" s="25">
        <f t="shared" si="2"/>
        <v>0</v>
      </c>
      <c r="R25" s="25">
        <f t="shared" si="3"/>
        <v>0</v>
      </c>
      <c r="S25" s="25">
        <f t="shared" si="4"/>
        <v>0</v>
      </c>
      <c r="T25" s="25">
        <f t="shared" si="5"/>
        <v>0</v>
      </c>
      <c r="U25" s="25">
        <f t="shared" si="6"/>
        <v>0</v>
      </c>
      <c r="V25" s="25">
        <f t="shared" si="7"/>
        <v>0</v>
      </c>
      <c r="W25" s="24">
        <f t="shared" si="10"/>
        <v>0</v>
      </c>
      <c r="X25" s="20">
        <f t="shared" si="0"/>
        <v>0</v>
      </c>
      <c r="Y25" s="3"/>
      <c r="Z25" s="6"/>
      <c r="AA25" s="2"/>
      <c r="AB25" s="33">
        <f t="shared" si="16"/>
        <v>-40</v>
      </c>
      <c r="AC25" s="35">
        <f t="shared" si="17"/>
        <v>0.10042372881355933</v>
      </c>
      <c r="AD25" s="36">
        <v>34185.903379091214</v>
      </c>
      <c r="AE25" s="40">
        <f t="shared" si="18"/>
        <v>-4.054865031703188</v>
      </c>
      <c r="AF25" s="2"/>
      <c r="AG25" s="33">
        <f t="shared" si="19"/>
        <v>-40</v>
      </c>
      <c r="AH25" s="37">
        <f t="shared" si="20"/>
        <v>13497.042252597046</v>
      </c>
      <c r="AI25" s="36">
        <v>26021.122031867293</v>
      </c>
      <c r="AJ25" s="40">
        <f t="shared" si="21"/>
        <v>-26.969896401772438</v>
      </c>
      <c r="AK25" s="2"/>
      <c r="AL25" s="113">
        <v>-20</v>
      </c>
      <c r="AM25" s="114">
        <f t="shared" si="22"/>
        <v>-13.484948200886196</v>
      </c>
      <c r="AN25" s="114">
        <f t="shared" si="13"/>
        <v>-2.0274325158515838</v>
      </c>
      <c r="AO25" s="115">
        <f t="shared" si="11"/>
        <v>-3.7539532458976113</v>
      </c>
      <c r="AP25" s="115">
        <f t="shared" si="12"/>
        <v>-4.8446377643118819</v>
      </c>
      <c r="AQ25" s="115">
        <f t="shared" si="14"/>
        <v>-2.0383704252044286</v>
      </c>
      <c r="AR25" s="56">
        <f t="shared" si="15"/>
        <v>2.0274325158516247</v>
      </c>
      <c r="AS25" s="7"/>
      <c r="AT25" s="7"/>
      <c r="AU25" s="7"/>
      <c r="AV25" s="7"/>
      <c r="AW25" s="7"/>
      <c r="AX25" s="7"/>
      <c r="AY25" s="7"/>
    </row>
    <row r="26" spans="1:51" ht="15.75" customHeight="1" x14ac:dyDescent="0.25">
      <c r="A26" s="42"/>
      <c r="B26" s="43"/>
      <c r="C26" s="43"/>
      <c r="D26" s="43"/>
      <c r="E26" s="43"/>
      <c r="F26" s="43"/>
      <c r="G26" s="43"/>
      <c r="H26" s="44"/>
      <c r="I26" s="43" t="s">
        <v>159</v>
      </c>
      <c r="J26" s="94">
        <f>J12/2</f>
        <v>150</v>
      </c>
      <c r="K26" s="43" t="s">
        <v>160</v>
      </c>
      <c r="L26" s="44"/>
      <c r="M26" s="2"/>
      <c r="N26" s="12">
        <f t="shared" si="9"/>
        <v>0</v>
      </c>
      <c r="O26" s="12"/>
      <c r="P26" s="24">
        <f t="shared" si="1"/>
        <v>0</v>
      </c>
      <c r="Q26" s="25">
        <f t="shared" si="2"/>
        <v>0</v>
      </c>
      <c r="R26" s="25">
        <f t="shared" si="3"/>
        <v>0</v>
      </c>
      <c r="S26" s="25">
        <f t="shared" si="4"/>
        <v>0</v>
      </c>
      <c r="T26" s="25">
        <f t="shared" si="5"/>
        <v>0</v>
      </c>
      <c r="U26" s="25">
        <f t="shared" si="6"/>
        <v>0</v>
      </c>
      <c r="V26" s="25">
        <f t="shared" si="7"/>
        <v>0</v>
      </c>
      <c r="W26" s="24">
        <f t="shared" si="10"/>
        <v>0</v>
      </c>
      <c r="X26" s="20">
        <f t="shared" si="0"/>
        <v>0</v>
      </c>
      <c r="Y26" s="3"/>
      <c r="Z26" s="6"/>
      <c r="AA26" s="2"/>
      <c r="AB26" s="33">
        <f t="shared" si="16"/>
        <v>-30</v>
      </c>
      <c r="AC26" s="35">
        <f t="shared" si="17"/>
        <v>0.11716101694915255</v>
      </c>
      <c r="AD26" s="36">
        <v>34547.097368330134</v>
      </c>
      <c r="AE26" s="40">
        <f t="shared" si="18"/>
        <v>-3.0411487737773757</v>
      </c>
      <c r="AF26" s="2"/>
      <c r="AG26" s="33">
        <f t="shared" si="19"/>
        <v>-30</v>
      </c>
      <c r="AH26" s="37">
        <f t="shared" si="20"/>
        <v>15746.549294696553</v>
      </c>
      <c r="AI26" s="36">
        <v>28423.51135791219</v>
      </c>
      <c r="AJ26" s="40">
        <f t="shared" si="21"/>
        <v>-20.22742230132932</v>
      </c>
      <c r="AK26" s="2"/>
      <c r="AL26" s="113">
        <v>-10</v>
      </c>
      <c r="AM26" s="114">
        <f t="shared" si="22"/>
        <v>-6.742474100443073</v>
      </c>
      <c r="AN26" s="114">
        <f t="shared" si="13"/>
        <v>-1.0137162579257513</v>
      </c>
      <c r="AO26" s="115">
        <f t="shared" si="11"/>
        <v>-1.8769766229487852</v>
      </c>
      <c r="AP26" s="115">
        <f t="shared" si="12"/>
        <v>-2.4318168678054151</v>
      </c>
      <c r="AQ26" s="115">
        <f t="shared" si="14"/>
        <v>-1.0191852126022038</v>
      </c>
      <c r="AR26" s="56">
        <f t="shared" si="15"/>
        <v>1.0137162579258123</v>
      </c>
      <c r="AS26" s="7"/>
      <c r="AT26" s="7"/>
      <c r="AU26" s="7"/>
      <c r="AV26" s="7"/>
      <c r="AW26" s="7"/>
      <c r="AX26" s="7"/>
      <c r="AY26" s="7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6"/>
      <c r="K27" s="2"/>
      <c r="L27" s="2"/>
      <c r="M27" s="2"/>
      <c r="N27" s="12">
        <f t="shared" si="9"/>
        <v>0</v>
      </c>
      <c r="O27" s="12"/>
      <c r="P27" s="24">
        <f t="shared" si="1"/>
        <v>0</v>
      </c>
      <c r="Q27" s="25">
        <f t="shared" si="2"/>
        <v>0</v>
      </c>
      <c r="R27" s="25">
        <f t="shared" si="3"/>
        <v>0</v>
      </c>
      <c r="S27" s="25">
        <f t="shared" si="4"/>
        <v>0</v>
      </c>
      <c r="T27" s="25">
        <f t="shared" si="5"/>
        <v>0</v>
      </c>
      <c r="U27" s="25">
        <f t="shared" si="6"/>
        <v>0</v>
      </c>
      <c r="V27" s="25">
        <f t="shared" si="7"/>
        <v>0</v>
      </c>
      <c r="W27" s="24">
        <f t="shared" si="10"/>
        <v>0</v>
      </c>
      <c r="X27" s="20">
        <f t="shared" si="0"/>
        <v>0</v>
      </c>
      <c r="Y27" s="3"/>
      <c r="Z27" s="6"/>
      <c r="AA27" s="2"/>
      <c r="AB27" s="33">
        <f t="shared" si="16"/>
        <v>-20</v>
      </c>
      <c r="AC27" s="35">
        <f t="shared" si="17"/>
        <v>0.13389830508474579</v>
      </c>
      <c r="AD27" s="36">
        <v>34908.291357569047</v>
      </c>
      <c r="AE27" s="40">
        <f t="shared" si="18"/>
        <v>-2.0274325158515838</v>
      </c>
      <c r="AF27" s="2"/>
      <c r="AG27" s="33">
        <f t="shared" si="19"/>
        <v>-20</v>
      </c>
      <c r="AH27" s="37">
        <f t="shared" si="20"/>
        <v>17996.056336796064</v>
      </c>
      <c r="AI27" s="36">
        <v>30825.90068395709</v>
      </c>
      <c r="AJ27" s="40">
        <f t="shared" si="21"/>
        <v>-13.484948200886196</v>
      </c>
      <c r="AK27" s="2"/>
      <c r="AL27" s="113">
        <v>0</v>
      </c>
      <c r="AM27" s="114">
        <f t="shared" si="22"/>
        <v>0</v>
      </c>
      <c r="AN27" s="114">
        <f t="shared" si="13"/>
        <v>0</v>
      </c>
      <c r="AO27" s="115">
        <f t="shared" si="11"/>
        <v>0</v>
      </c>
      <c r="AP27" s="115">
        <f t="shared" si="12"/>
        <v>0</v>
      </c>
      <c r="AQ27" s="115">
        <f t="shared" si="14"/>
        <v>0</v>
      </c>
      <c r="AR27" s="56">
        <f t="shared" si="15"/>
        <v>0</v>
      </c>
      <c r="AS27" s="7"/>
      <c r="AT27" s="7"/>
      <c r="AU27" s="7"/>
      <c r="AV27" s="7"/>
      <c r="AW27" s="7"/>
      <c r="AX27" s="7"/>
      <c r="AY27" s="7"/>
    </row>
    <row r="28" spans="1:51" ht="15.75" customHeight="1" x14ac:dyDescent="0.25">
      <c r="A28" s="1" t="s">
        <v>89</v>
      </c>
      <c r="B28" s="2"/>
      <c r="C28" s="2"/>
      <c r="D28" s="2"/>
      <c r="E28" s="2"/>
      <c r="F28" s="2"/>
      <c r="G28" s="2"/>
      <c r="H28" s="2"/>
      <c r="I28" s="2"/>
      <c r="J28" s="6"/>
      <c r="K28" s="2"/>
      <c r="L28" s="2"/>
      <c r="M28" s="2"/>
      <c r="N28" s="12">
        <f t="shared" si="9"/>
        <v>0</v>
      </c>
      <c r="O28" s="12"/>
      <c r="P28" s="24">
        <f t="shared" si="1"/>
        <v>0</v>
      </c>
      <c r="Q28" s="25">
        <f t="shared" si="2"/>
        <v>0</v>
      </c>
      <c r="R28" s="25">
        <f t="shared" si="3"/>
        <v>0</v>
      </c>
      <c r="S28" s="25">
        <f t="shared" si="4"/>
        <v>0</v>
      </c>
      <c r="T28" s="25">
        <f t="shared" si="5"/>
        <v>0</v>
      </c>
      <c r="U28" s="25">
        <f t="shared" si="6"/>
        <v>0</v>
      </c>
      <c r="V28" s="25">
        <f t="shared" si="7"/>
        <v>0</v>
      </c>
      <c r="W28" s="24">
        <f t="shared" si="10"/>
        <v>0</v>
      </c>
      <c r="X28" s="20">
        <f t="shared" si="0"/>
        <v>0</v>
      </c>
      <c r="Y28" s="3"/>
      <c r="Z28" s="6"/>
      <c r="AA28" s="2"/>
      <c r="AB28" s="33">
        <f t="shared" si="16"/>
        <v>-10</v>
      </c>
      <c r="AC28" s="35">
        <f t="shared" si="17"/>
        <v>0.15063559322033901</v>
      </c>
      <c r="AD28" s="36">
        <v>35269.485346807975</v>
      </c>
      <c r="AE28" s="40">
        <f t="shared" si="18"/>
        <v>-1.0137162579257513</v>
      </c>
      <c r="AF28" s="2"/>
      <c r="AG28" s="33">
        <f t="shared" si="19"/>
        <v>-10</v>
      </c>
      <c r="AH28" s="37">
        <f t="shared" si="20"/>
        <v>20245.563378895571</v>
      </c>
      <c r="AI28" s="36">
        <v>33228.290010001991</v>
      </c>
      <c r="AJ28" s="40">
        <f t="shared" si="21"/>
        <v>-6.742474100443073</v>
      </c>
      <c r="AK28" s="2"/>
      <c r="AL28" s="113">
        <v>10</v>
      </c>
      <c r="AM28" s="114">
        <f t="shared" si="22"/>
        <v>6.742474100443113</v>
      </c>
      <c r="AN28" s="114">
        <f t="shared" si="13"/>
        <v>1.0137162579258123</v>
      </c>
      <c r="AO28" s="115">
        <f t="shared" si="11"/>
        <v>1.8769766229488263</v>
      </c>
      <c r="AP28" s="115">
        <f t="shared" si="12"/>
        <v>2.4517626376693311</v>
      </c>
      <c r="AQ28" s="115">
        <f t="shared" si="14"/>
        <v>1.0191852126022447</v>
      </c>
      <c r="AR28" s="56">
        <f t="shared" si="15"/>
        <v>-1.0137162579257513</v>
      </c>
      <c r="AS28" s="7"/>
      <c r="AT28" s="7"/>
      <c r="AU28" s="7"/>
      <c r="AV28" s="7"/>
      <c r="AW28" s="7"/>
      <c r="AX28" s="7"/>
      <c r="AY28" s="7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6"/>
      <c r="K29" s="2"/>
      <c r="L29" s="2"/>
      <c r="M29" s="2"/>
      <c r="N29" s="12">
        <f t="shared" si="9"/>
        <v>0</v>
      </c>
      <c r="O29" s="12"/>
      <c r="P29" s="24">
        <f t="shared" si="1"/>
        <v>0</v>
      </c>
      <c r="Q29" s="25">
        <f t="shared" si="2"/>
        <v>0</v>
      </c>
      <c r="R29" s="25">
        <f t="shared" si="3"/>
        <v>0</v>
      </c>
      <c r="S29" s="25">
        <f t="shared" si="4"/>
        <v>0</v>
      </c>
      <c r="T29" s="25">
        <f t="shared" si="5"/>
        <v>0</v>
      </c>
      <c r="U29" s="25">
        <f t="shared" si="6"/>
        <v>0</v>
      </c>
      <c r="V29" s="25">
        <f t="shared" si="7"/>
        <v>0</v>
      </c>
      <c r="W29" s="24">
        <f t="shared" si="10"/>
        <v>0</v>
      </c>
      <c r="X29" s="20">
        <f t="shared" si="0"/>
        <v>0</v>
      </c>
      <c r="Y29" s="3"/>
      <c r="Z29" s="6"/>
      <c r="AA29" s="2"/>
      <c r="AB29" s="45">
        <v>0</v>
      </c>
      <c r="AC29" s="61">
        <f t="shared" si="17"/>
        <v>0.16737288135593223</v>
      </c>
      <c r="AD29" s="46">
        <v>35630.679336046873</v>
      </c>
      <c r="AE29" s="62">
        <f t="shared" si="18"/>
        <v>0</v>
      </c>
      <c r="AF29" s="2"/>
      <c r="AG29" s="45">
        <v>0</v>
      </c>
      <c r="AH29" s="49">
        <f t="shared" si="20"/>
        <v>22495.070420995078</v>
      </c>
      <c r="AI29" s="46">
        <v>35630.679336046873</v>
      </c>
      <c r="AJ29" s="62">
        <f t="shared" si="21"/>
        <v>0</v>
      </c>
      <c r="AK29" s="2"/>
      <c r="AL29" s="113">
        <v>20</v>
      </c>
      <c r="AM29" s="114">
        <f t="shared" si="22"/>
        <v>13.484948200886226</v>
      </c>
      <c r="AN29" s="114">
        <f t="shared" si="13"/>
        <v>2.0274325158516247</v>
      </c>
      <c r="AO29" s="115">
        <f t="shared" si="11"/>
        <v>3.7539532458976113</v>
      </c>
      <c r="AP29" s="115">
        <f t="shared" si="12"/>
        <v>4.4846641081973679</v>
      </c>
      <c r="AQ29" s="115">
        <f t="shared" si="14"/>
        <v>2.038370425204469</v>
      </c>
      <c r="AR29" s="56">
        <f t="shared" si="15"/>
        <v>-2.0274325158515838</v>
      </c>
      <c r="AS29" s="7"/>
      <c r="AT29" s="7"/>
      <c r="AU29" s="7"/>
      <c r="AV29" s="7"/>
      <c r="AW29" s="7"/>
      <c r="AX29" s="7"/>
      <c r="AY29" s="7"/>
    </row>
    <row r="30" spans="1:51" ht="15.75" customHeight="1" x14ac:dyDescent="0.25">
      <c r="A30" s="8" t="s">
        <v>90</v>
      </c>
      <c r="B30" s="9"/>
      <c r="C30" s="9"/>
      <c r="D30" s="9"/>
      <c r="E30" s="11" t="s">
        <v>91</v>
      </c>
      <c r="F30" s="9"/>
      <c r="G30" s="9"/>
      <c r="H30" s="9"/>
      <c r="I30" s="11" t="s">
        <v>92</v>
      </c>
      <c r="J30" s="47"/>
      <c r="K30" s="9"/>
      <c r="L30" s="10"/>
      <c r="M30" s="2"/>
      <c r="N30" s="12">
        <f t="shared" si="9"/>
        <v>0</v>
      </c>
      <c r="O30" s="12"/>
      <c r="P30" s="24">
        <f t="shared" si="1"/>
        <v>0</v>
      </c>
      <c r="Q30" s="25">
        <f t="shared" si="2"/>
        <v>0</v>
      </c>
      <c r="R30" s="25">
        <f t="shared" si="3"/>
        <v>0</v>
      </c>
      <c r="S30" s="25">
        <f t="shared" si="4"/>
        <v>0</v>
      </c>
      <c r="T30" s="25">
        <f t="shared" si="5"/>
        <v>0</v>
      </c>
      <c r="U30" s="25">
        <f t="shared" si="6"/>
        <v>0</v>
      </c>
      <c r="V30" s="25">
        <f t="shared" si="7"/>
        <v>0</v>
      </c>
      <c r="W30" s="24">
        <f t="shared" si="10"/>
        <v>0</v>
      </c>
      <c r="X30" s="20">
        <f t="shared" si="0"/>
        <v>0</v>
      </c>
      <c r="Y30" s="3"/>
      <c r="Z30" s="6"/>
      <c r="AA30" s="2"/>
      <c r="AB30" s="33">
        <f t="shared" ref="AB30:AB34" si="23">AB29+10</f>
        <v>10</v>
      </c>
      <c r="AC30" s="35">
        <f t="shared" si="17"/>
        <v>0.18411016949152548</v>
      </c>
      <c r="AD30" s="36">
        <v>35991.873325285793</v>
      </c>
      <c r="AE30" s="40">
        <f t="shared" si="18"/>
        <v>1.0137162579258123</v>
      </c>
      <c r="AF30" s="2"/>
      <c r="AG30" s="33">
        <f t="shared" ref="AG30:AG34" si="24">AG29+10</f>
        <v>10</v>
      </c>
      <c r="AH30" s="37">
        <f t="shared" si="20"/>
        <v>24744.577463094589</v>
      </c>
      <c r="AI30" s="36">
        <v>38033.06866209177</v>
      </c>
      <c r="AJ30" s="40">
        <f t="shared" si="21"/>
        <v>6.742474100443113</v>
      </c>
      <c r="AK30" s="2"/>
      <c r="AL30" s="113">
        <v>30</v>
      </c>
      <c r="AM30" s="114">
        <f t="shared" si="22"/>
        <v>20.227422301329341</v>
      </c>
      <c r="AN30" s="114">
        <f t="shared" si="13"/>
        <v>3.0411487737774165</v>
      </c>
      <c r="AO30" s="115">
        <f t="shared" si="11"/>
        <v>5.6309298688463967</v>
      </c>
      <c r="AP30" s="115">
        <f t="shared" si="12"/>
        <v>6.9573698042236938</v>
      </c>
      <c r="AQ30" s="115">
        <f t="shared" si="14"/>
        <v>3.0575556378067343</v>
      </c>
      <c r="AR30" s="56">
        <f t="shared" si="15"/>
        <v>-3.0411487737773757</v>
      </c>
      <c r="AS30" s="7"/>
      <c r="AT30" s="7"/>
      <c r="AU30" s="7"/>
      <c r="AV30" s="7"/>
      <c r="AW30" s="7"/>
      <c r="AX30" s="7"/>
      <c r="AY30" s="7"/>
    </row>
    <row r="31" spans="1:51" ht="15.75" customHeight="1" x14ac:dyDescent="0.25">
      <c r="A31" s="30" t="s">
        <v>37</v>
      </c>
      <c r="B31" s="6">
        <f>IF(B11=0,0,-B11/$B$8)</f>
        <v>-529.66101694915255</v>
      </c>
      <c r="C31" s="2" t="s">
        <v>3</v>
      </c>
      <c r="D31" s="2"/>
      <c r="E31" s="17" t="s">
        <v>93</v>
      </c>
      <c r="F31" s="50">
        <f>(J22/100)*B54</f>
        <v>6748.5211262985231</v>
      </c>
      <c r="G31" s="2" t="s">
        <v>3</v>
      </c>
      <c r="H31" s="2"/>
      <c r="I31" s="17" t="s">
        <v>94</v>
      </c>
      <c r="J31" s="7">
        <f>ROUNDDOWN(J11/(F12/J12),0)</f>
        <v>8</v>
      </c>
      <c r="K31" s="2" t="s">
        <v>53</v>
      </c>
      <c r="L31" s="18"/>
      <c r="M31" s="2"/>
      <c r="N31" s="12">
        <f t="shared" si="9"/>
        <v>0</v>
      </c>
      <c r="O31" s="12"/>
      <c r="P31" s="24">
        <f t="shared" si="1"/>
        <v>0</v>
      </c>
      <c r="Q31" s="25">
        <f t="shared" si="2"/>
        <v>0</v>
      </c>
      <c r="R31" s="25">
        <f t="shared" si="3"/>
        <v>0</v>
      </c>
      <c r="S31" s="25">
        <f t="shared" si="4"/>
        <v>0</v>
      </c>
      <c r="T31" s="25">
        <f t="shared" si="5"/>
        <v>0</v>
      </c>
      <c r="U31" s="25">
        <f t="shared" si="6"/>
        <v>0</v>
      </c>
      <c r="V31" s="25">
        <f t="shared" si="7"/>
        <v>0</v>
      </c>
      <c r="W31" s="24">
        <f t="shared" si="10"/>
        <v>0</v>
      </c>
      <c r="X31" s="20">
        <f t="shared" si="0"/>
        <v>0</v>
      </c>
      <c r="Y31" s="3"/>
      <c r="Z31" s="6"/>
      <c r="AA31" s="2"/>
      <c r="AB31" s="33">
        <f t="shared" si="23"/>
        <v>20</v>
      </c>
      <c r="AC31" s="35">
        <f t="shared" si="17"/>
        <v>0.20084745762711867</v>
      </c>
      <c r="AD31" s="36">
        <v>36353.067314524713</v>
      </c>
      <c r="AE31" s="40">
        <f t="shared" si="18"/>
        <v>2.0274325158516247</v>
      </c>
      <c r="AF31" s="2"/>
      <c r="AG31" s="33">
        <f t="shared" si="24"/>
        <v>20</v>
      </c>
      <c r="AH31" s="37">
        <f t="shared" si="20"/>
        <v>26994.084505194092</v>
      </c>
      <c r="AI31" s="36">
        <v>40435.457988136666</v>
      </c>
      <c r="AJ31" s="40">
        <f t="shared" si="21"/>
        <v>13.484948200886226</v>
      </c>
      <c r="AK31" s="2"/>
      <c r="AL31" s="113">
        <v>40</v>
      </c>
      <c r="AM31" s="114">
        <f t="shared" si="22"/>
        <v>26.969896401772413</v>
      </c>
      <c r="AN31" s="114">
        <f t="shared" si="13"/>
        <v>4.0548650317032493</v>
      </c>
      <c r="AO31" s="115">
        <f t="shared" si="11"/>
        <v>7.5079064917952225</v>
      </c>
      <c r="AP31" s="115">
        <f t="shared" si="12"/>
        <v>8.9902712747517519</v>
      </c>
      <c r="AQ31" s="115">
        <f t="shared" si="14"/>
        <v>4.076740850408938</v>
      </c>
      <c r="AR31" s="56">
        <f t="shared" si="15"/>
        <v>-4.054865031703188</v>
      </c>
      <c r="AS31" s="7"/>
      <c r="AT31" s="7"/>
      <c r="AU31" s="7"/>
      <c r="AV31" s="7"/>
      <c r="AW31" s="7"/>
      <c r="AX31" s="7"/>
      <c r="AY31" s="7"/>
    </row>
    <row r="32" spans="1:51" ht="15.75" customHeight="1" x14ac:dyDescent="0.25">
      <c r="A32" s="30" t="s">
        <v>44</v>
      </c>
      <c r="B32" s="6">
        <f>IF(B12=0,0,-B12/B9)</f>
        <v>0</v>
      </c>
      <c r="C32" s="2" t="s">
        <v>3</v>
      </c>
      <c r="D32" s="2"/>
      <c r="E32" s="17" t="s">
        <v>95</v>
      </c>
      <c r="F32" s="6">
        <f>B54-F31</f>
        <v>15746.549294696555</v>
      </c>
      <c r="G32" s="2" t="s">
        <v>3</v>
      </c>
      <c r="H32" s="2"/>
      <c r="I32" s="17" t="s">
        <v>59</v>
      </c>
      <c r="J32" s="15">
        <f>IF(J24="Yes",SUM(F50:F51),0)</f>
        <v>0</v>
      </c>
      <c r="K32" s="2" t="s">
        <v>49</v>
      </c>
      <c r="L32" s="18"/>
      <c r="M32" s="2"/>
      <c r="N32" s="12">
        <f t="shared" si="9"/>
        <v>0</v>
      </c>
      <c r="O32" s="12"/>
      <c r="P32" s="24">
        <f t="shared" si="1"/>
        <v>0</v>
      </c>
      <c r="Q32" s="25">
        <f t="shared" si="2"/>
        <v>0</v>
      </c>
      <c r="R32" s="25">
        <f t="shared" si="3"/>
        <v>0</v>
      </c>
      <c r="S32" s="25">
        <f t="shared" si="4"/>
        <v>0</v>
      </c>
      <c r="T32" s="25">
        <f t="shared" si="5"/>
        <v>0</v>
      </c>
      <c r="U32" s="25">
        <f t="shared" si="6"/>
        <v>0</v>
      </c>
      <c r="V32" s="25">
        <f t="shared" si="7"/>
        <v>0</v>
      </c>
      <c r="W32" s="24">
        <f t="shared" si="10"/>
        <v>0</v>
      </c>
      <c r="X32" s="20">
        <f t="shared" si="0"/>
        <v>0</v>
      </c>
      <c r="Y32" s="3"/>
      <c r="Z32" s="6"/>
      <c r="AA32" s="2"/>
      <c r="AB32" s="33">
        <f t="shared" si="23"/>
        <v>30</v>
      </c>
      <c r="AC32" s="35">
        <f t="shared" si="17"/>
        <v>0.21758474576271192</v>
      </c>
      <c r="AD32" s="36">
        <v>36714.261303763626</v>
      </c>
      <c r="AE32" s="40">
        <f t="shared" si="18"/>
        <v>3.0411487737774165</v>
      </c>
      <c r="AF32" s="2"/>
      <c r="AG32" s="33">
        <f t="shared" si="24"/>
        <v>30</v>
      </c>
      <c r="AH32" s="37">
        <f t="shared" si="20"/>
        <v>29243.591547293603</v>
      </c>
      <c r="AI32" s="36">
        <v>42837.847314181563</v>
      </c>
      <c r="AJ32" s="40">
        <f t="shared" si="21"/>
        <v>20.227422301329341</v>
      </c>
      <c r="AK32" s="2"/>
      <c r="AL32" s="113">
        <v>50</v>
      </c>
      <c r="AM32" s="114">
        <f t="shared" si="22"/>
        <v>33.712370502215563</v>
      </c>
      <c r="AN32" s="114">
        <f t="shared" si="13"/>
        <v>5.0685812896290212</v>
      </c>
      <c r="AO32" s="115">
        <f t="shared" si="11"/>
        <v>9.3848831147440084</v>
      </c>
      <c r="AP32" s="115">
        <f t="shared" si="12"/>
        <v>19.083355701622327</v>
      </c>
      <c r="AQ32" s="115">
        <f t="shared" si="14"/>
        <v>5.0959260630112029</v>
      </c>
      <c r="AR32" s="56">
        <f t="shared" si="15"/>
        <v>-5.0685812896290008</v>
      </c>
      <c r="AS32" s="7"/>
      <c r="AT32" s="7"/>
      <c r="AU32" s="7"/>
      <c r="AV32" s="7"/>
      <c r="AW32" s="7"/>
      <c r="AX32" s="7"/>
      <c r="AY32" s="7"/>
    </row>
    <row r="33" spans="1:51" ht="15.75" customHeight="1" x14ac:dyDescent="0.25">
      <c r="A33" s="2" t="s">
        <v>50</v>
      </c>
      <c r="B33" s="6">
        <f>IF(B13=0,0,(B13/100)*B51)</f>
        <v>3876.4645161290323</v>
      </c>
      <c r="C33" s="2" t="s">
        <v>3</v>
      </c>
      <c r="D33" s="2"/>
      <c r="E33" s="17" t="s">
        <v>96</v>
      </c>
      <c r="F33" s="50">
        <f>F32*(F22/100)*J21</f>
        <v>4204.3286616839796</v>
      </c>
      <c r="G33" s="2" t="s">
        <v>3</v>
      </c>
      <c r="H33" s="2"/>
      <c r="I33" s="17" t="s">
        <v>97</v>
      </c>
      <c r="J33" s="6">
        <f>F12*B5</f>
        <v>188870</v>
      </c>
      <c r="K33" s="2" t="s">
        <v>98</v>
      </c>
      <c r="L33" s="18"/>
      <c r="M33" s="2"/>
      <c r="N33" s="12">
        <f t="shared" si="9"/>
        <v>0</v>
      </c>
      <c r="O33" s="12"/>
      <c r="P33" s="24">
        <f t="shared" si="1"/>
        <v>0</v>
      </c>
      <c r="Q33" s="25">
        <f t="shared" si="2"/>
        <v>0</v>
      </c>
      <c r="R33" s="25">
        <f t="shared" si="3"/>
        <v>0</v>
      </c>
      <c r="S33" s="25">
        <f t="shared" si="4"/>
        <v>0</v>
      </c>
      <c r="T33" s="25">
        <f t="shared" si="5"/>
        <v>0</v>
      </c>
      <c r="U33" s="25">
        <f t="shared" si="6"/>
        <v>0</v>
      </c>
      <c r="V33" s="25">
        <f t="shared" si="7"/>
        <v>0</v>
      </c>
      <c r="W33" s="24">
        <f t="shared" si="10"/>
        <v>0</v>
      </c>
      <c r="X33" s="20">
        <f t="shared" si="0"/>
        <v>0</v>
      </c>
      <c r="Y33" s="3"/>
      <c r="Z33" s="6"/>
      <c r="AA33" s="2"/>
      <c r="AB33" s="33">
        <f t="shared" si="23"/>
        <v>40</v>
      </c>
      <c r="AC33" s="35">
        <f t="shared" si="17"/>
        <v>0.23432203389830511</v>
      </c>
      <c r="AD33" s="36">
        <v>37075.455293002553</v>
      </c>
      <c r="AE33" s="40">
        <f t="shared" si="18"/>
        <v>4.0548650317032493</v>
      </c>
      <c r="AF33" s="2"/>
      <c r="AG33" s="33">
        <f t="shared" si="24"/>
        <v>40</v>
      </c>
      <c r="AH33" s="37">
        <f t="shared" si="20"/>
        <v>31493.098589393107</v>
      </c>
      <c r="AI33" s="36">
        <v>45240.236640226445</v>
      </c>
      <c r="AJ33" s="40">
        <f t="shared" si="21"/>
        <v>26.969896401772413</v>
      </c>
      <c r="AK33" s="2"/>
      <c r="AL33" s="34"/>
      <c r="AM33" s="38"/>
      <c r="AN33" s="39"/>
      <c r="AO33" s="41"/>
      <c r="AP33" s="2"/>
      <c r="AQ33" s="7"/>
      <c r="AR33" s="7"/>
      <c r="AS33" s="7"/>
      <c r="AT33" s="7"/>
      <c r="AU33" s="7"/>
      <c r="AV33" s="7"/>
      <c r="AW33" s="7"/>
      <c r="AX33" s="7"/>
      <c r="AY33" s="7"/>
    </row>
    <row r="34" spans="1:51" ht="15.75" customHeight="1" x14ac:dyDescent="0.25">
      <c r="A34" s="30" t="s">
        <v>183</v>
      </c>
      <c r="B34" s="6">
        <f>IF(B16=0,0,B16/$B$8)</f>
        <v>23.305084745762713</v>
      </c>
      <c r="C34" s="2" t="s">
        <v>3</v>
      </c>
      <c r="D34" s="2"/>
      <c r="E34" s="2"/>
      <c r="F34" s="7"/>
      <c r="G34" s="2"/>
      <c r="H34" s="2"/>
      <c r="I34" s="2"/>
      <c r="J34" s="2"/>
      <c r="K34" s="2"/>
      <c r="L34" s="18"/>
      <c r="M34" s="2"/>
      <c r="N34" s="12">
        <f t="shared" si="9"/>
        <v>0</v>
      </c>
      <c r="O34" s="12"/>
      <c r="P34" s="24">
        <f t="shared" si="1"/>
        <v>0</v>
      </c>
      <c r="Q34" s="25">
        <f t="shared" si="2"/>
        <v>0</v>
      </c>
      <c r="R34" s="25">
        <f t="shared" si="3"/>
        <v>0</v>
      </c>
      <c r="S34" s="25">
        <f t="shared" si="4"/>
        <v>0</v>
      </c>
      <c r="T34" s="25">
        <f t="shared" si="5"/>
        <v>0</v>
      </c>
      <c r="U34" s="25">
        <f t="shared" si="6"/>
        <v>0</v>
      </c>
      <c r="V34" s="25">
        <f t="shared" si="7"/>
        <v>0</v>
      </c>
      <c r="W34" s="24">
        <f t="shared" si="10"/>
        <v>0</v>
      </c>
      <c r="X34" s="20">
        <f t="shared" si="0"/>
        <v>0</v>
      </c>
      <c r="Y34" s="3"/>
      <c r="Z34" s="6"/>
      <c r="AA34" s="2"/>
      <c r="AB34" s="33">
        <f t="shared" si="23"/>
        <v>50</v>
      </c>
      <c r="AC34" s="35">
        <f t="shared" si="17"/>
        <v>0.25105932203389836</v>
      </c>
      <c r="AD34" s="36">
        <v>37436.649282241458</v>
      </c>
      <c r="AE34" s="40">
        <f t="shared" si="18"/>
        <v>5.0685812896290212</v>
      </c>
      <c r="AF34" s="2"/>
      <c r="AG34" s="33">
        <f t="shared" si="24"/>
        <v>50</v>
      </c>
      <c r="AH34" s="37">
        <f t="shared" si="20"/>
        <v>33742.605631492617</v>
      </c>
      <c r="AI34" s="36">
        <v>47642.625966271356</v>
      </c>
      <c r="AJ34" s="40">
        <f t="shared" si="21"/>
        <v>33.712370502215563</v>
      </c>
      <c r="AK34" s="2"/>
      <c r="AL34" s="34"/>
      <c r="AM34" s="38"/>
      <c r="AN34" s="39"/>
      <c r="AO34" s="41"/>
      <c r="AP34" s="2"/>
      <c r="AQ34" s="7"/>
      <c r="AR34" s="7"/>
      <c r="AS34" s="7"/>
      <c r="AT34" s="7"/>
      <c r="AU34" s="7"/>
      <c r="AV34" s="7"/>
      <c r="AW34" s="7"/>
      <c r="AX34" s="7"/>
      <c r="AY34" s="7"/>
    </row>
    <row r="35" spans="1:51" ht="15.75" customHeight="1" x14ac:dyDescent="0.25">
      <c r="A35" s="30" t="s">
        <v>184</v>
      </c>
      <c r="B35" s="6">
        <f>IF(B17=0,0,(B17/100)*$B$51)</f>
        <v>0</v>
      </c>
      <c r="C35" s="2" t="s">
        <v>3</v>
      </c>
      <c r="D35" s="2"/>
      <c r="E35" s="1" t="s">
        <v>99</v>
      </c>
      <c r="F35" s="2"/>
      <c r="G35" s="2"/>
      <c r="H35" s="2"/>
      <c r="I35" s="1" t="s">
        <v>100</v>
      </c>
      <c r="J35" s="48">
        <f>SUM(J36:J39)</f>
        <v>1108.1464694915253</v>
      </c>
      <c r="K35" s="1" t="s">
        <v>49</v>
      </c>
      <c r="L35" s="18"/>
      <c r="M35" s="2"/>
      <c r="N35" s="12">
        <f t="shared" si="9"/>
        <v>0</v>
      </c>
      <c r="O35" s="12"/>
      <c r="P35" s="24">
        <f t="shared" si="1"/>
        <v>0</v>
      </c>
      <c r="Q35" s="25">
        <f t="shared" si="2"/>
        <v>0</v>
      </c>
      <c r="R35" s="25">
        <f t="shared" si="3"/>
        <v>0</v>
      </c>
      <c r="S35" s="25">
        <f t="shared" si="4"/>
        <v>0</v>
      </c>
      <c r="T35" s="25">
        <f t="shared" si="5"/>
        <v>0</v>
      </c>
      <c r="U35" s="25">
        <f t="shared" si="6"/>
        <v>0</v>
      </c>
      <c r="V35" s="25">
        <f t="shared" si="7"/>
        <v>0</v>
      </c>
      <c r="W35" s="24">
        <f t="shared" si="10"/>
        <v>0</v>
      </c>
      <c r="X35" s="20">
        <f t="shared" si="0"/>
        <v>0</v>
      </c>
      <c r="Y35" s="3"/>
      <c r="Z35" s="6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30" t="s">
        <v>68</v>
      </c>
      <c r="B36" s="6">
        <f>IF(B18=0,0,(B18/100)*$B$50)</f>
        <v>0</v>
      </c>
      <c r="C36" s="2" t="s">
        <v>3</v>
      </c>
      <c r="D36" s="2"/>
      <c r="E36" s="17" t="s">
        <v>29</v>
      </c>
      <c r="F36" s="64">
        <f>F13/$B$8</f>
        <v>0.16737288135593223</v>
      </c>
      <c r="G36" s="2" t="s">
        <v>30</v>
      </c>
      <c r="H36" s="2"/>
      <c r="I36" s="2" t="s">
        <v>177</v>
      </c>
      <c r="J36" s="15">
        <f>F20/$B$8</f>
        <v>24.703389830508474</v>
      </c>
      <c r="K36" s="2" t="s">
        <v>49</v>
      </c>
      <c r="L36" s="18"/>
      <c r="M36" s="2"/>
      <c r="N36" s="12">
        <f t="shared" si="9"/>
        <v>0</v>
      </c>
      <c r="O36" s="12"/>
      <c r="P36" s="24">
        <f t="shared" si="1"/>
        <v>0</v>
      </c>
      <c r="Q36" s="25">
        <f t="shared" si="2"/>
        <v>0</v>
      </c>
      <c r="R36" s="25">
        <f t="shared" si="3"/>
        <v>0</v>
      </c>
      <c r="S36" s="25">
        <f t="shared" si="4"/>
        <v>0</v>
      </c>
      <c r="T36" s="25">
        <f t="shared" si="5"/>
        <v>0</v>
      </c>
      <c r="U36" s="25">
        <f t="shared" si="6"/>
        <v>0</v>
      </c>
      <c r="V36" s="25">
        <f t="shared" si="7"/>
        <v>0</v>
      </c>
      <c r="W36" s="24">
        <f t="shared" si="10"/>
        <v>0</v>
      </c>
      <c r="X36" s="20">
        <f t="shared" si="0"/>
        <v>0</v>
      </c>
      <c r="Y36" s="3"/>
      <c r="Z36" s="6"/>
      <c r="AA36" s="2"/>
      <c r="AB36" s="32" t="s">
        <v>32</v>
      </c>
      <c r="AC36" s="33"/>
      <c r="AD36" s="33"/>
      <c r="AE36" s="33"/>
      <c r="AF36" s="2"/>
      <c r="AG36" s="32" t="s">
        <v>101</v>
      </c>
      <c r="AH36" s="33"/>
      <c r="AI36" s="33"/>
      <c r="AJ36" s="33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30" t="s">
        <v>70</v>
      </c>
      <c r="B37" s="6">
        <f t="shared" ref="B37:B40" si="25">IF(B19=0,0,(B19/100)*$B$51)</f>
        <v>0</v>
      </c>
      <c r="C37" s="2" t="s">
        <v>3</v>
      </c>
      <c r="D37" s="2"/>
      <c r="E37" s="17" t="s">
        <v>102</v>
      </c>
      <c r="F37" s="65">
        <f>(F21/((1-J14%)*J10))/B8</f>
        <v>0</v>
      </c>
      <c r="G37" s="2" t="s">
        <v>30</v>
      </c>
      <c r="H37" s="2"/>
      <c r="I37" s="17" t="s">
        <v>69</v>
      </c>
      <c r="J37" s="15">
        <f>F18/$B$8</f>
        <v>613.15677966101691</v>
      </c>
      <c r="K37" s="2" t="s">
        <v>49</v>
      </c>
      <c r="L37" s="18"/>
      <c r="M37" s="2"/>
      <c r="N37" s="12">
        <f t="shared" si="9"/>
        <v>0</v>
      </c>
      <c r="O37" s="12"/>
      <c r="P37" s="24">
        <f t="shared" si="1"/>
        <v>0</v>
      </c>
      <c r="Q37" s="25">
        <f t="shared" si="2"/>
        <v>0</v>
      </c>
      <c r="R37" s="25">
        <f t="shared" si="3"/>
        <v>0</v>
      </c>
      <c r="S37" s="25">
        <f t="shared" si="4"/>
        <v>0</v>
      </c>
      <c r="T37" s="25">
        <f t="shared" si="5"/>
        <v>0</v>
      </c>
      <c r="U37" s="25">
        <f t="shared" si="6"/>
        <v>0</v>
      </c>
      <c r="V37" s="25">
        <f t="shared" si="7"/>
        <v>0</v>
      </c>
      <c r="W37" s="24">
        <f t="shared" si="10"/>
        <v>0</v>
      </c>
      <c r="X37" s="20">
        <f t="shared" si="0"/>
        <v>0</v>
      </c>
      <c r="Y37" s="3"/>
      <c r="Z37" s="6"/>
      <c r="AA37" s="2"/>
      <c r="AB37" s="33" t="s">
        <v>79</v>
      </c>
      <c r="AC37" s="33" t="s">
        <v>103</v>
      </c>
      <c r="AD37" s="33" t="s">
        <v>23</v>
      </c>
      <c r="AE37" s="33" t="s">
        <v>81</v>
      </c>
      <c r="AF37" s="2"/>
      <c r="AG37" s="33" t="s">
        <v>79</v>
      </c>
      <c r="AH37" s="33" t="s">
        <v>104</v>
      </c>
      <c r="AI37" s="33" t="s">
        <v>23</v>
      </c>
      <c r="AJ37" s="33" t="s">
        <v>81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30" t="s">
        <v>72</v>
      </c>
      <c r="B38" s="6">
        <f t="shared" si="25"/>
        <v>0</v>
      </c>
      <c r="C38" s="2" t="s">
        <v>3</v>
      </c>
      <c r="D38" s="2"/>
      <c r="E38" s="17" t="s">
        <v>105</v>
      </c>
      <c r="F38" s="65">
        <f>F36*J17</f>
        <v>2.3766949152542374E-2</v>
      </c>
      <c r="G38" s="2" t="s">
        <v>4</v>
      </c>
      <c r="H38" s="2"/>
      <c r="I38" s="17" t="s">
        <v>63</v>
      </c>
      <c r="J38" s="15">
        <f>F16/$B$8</f>
        <v>0</v>
      </c>
      <c r="K38" s="2" t="s">
        <v>49</v>
      </c>
      <c r="L38" s="18"/>
      <c r="M38" s="2"/>
      <c r="N38" s="12">
        <f t="shared" si="9"/>
        <v>0</v>
      </c>
      <c r="O38" s="12"/>
      <c r="P38" s="24">
        <f t="shared" si="1"/>
        <v>0</v>
      </c>
      <c r="Q38" s="25">
        <f t="shared" si="2"/>
        <v>0</v>
      </c>
      <c r="R38" s="25">
        <f t="shared" si="3"/>
        <v>0</v>
      </c>
      <c r="S38" s="25">
        <f t="shared" si="4"/>
        <v>0</v>
      </c>
      <c r="T38" s="25">
        <f t="shared" si="5"/>
        <v>0</v>
      </c>
      <c r="U38" s="25">
        <f t="shared" si="6"/>
        <v>0</v>
      </c>
      <c r="V38" s="25">
        <f t="shared" si="7"/>
        <v>0</v>
      </c>
      <c r="W38" s="24">
        <f t="shared" si="10"/>
        <v>0</v>
      </c>
      <c r="X38" s="20">
        <f t="shared" si="0"/>
        <v>0</v>
      </c>
      <c r="Y38" s="3"/>
      <c r="Z38" s="6"/>
      <c r="AA38" s="2"/>
      <c r="AB38" s="33" t="s">
        <v>85</v>
      </c>
      <c r="AC38" s="37">
        <v>4410</v>
      </c>
      <c r="AD38" s="36">
        <f>X49</f>
        <v>35630.679336046873</v>
      </c>
      <c r="AE38" s="33"/>
      <c r="AF38" s="2"/>
      <c r="AG38" s="33" t="s">
        <v>85</v>
      </c>
      <c r="AH38" s="37">
        <v>18887</v>
      </c>
      <c r="AI38" s="36">
        <f>X49</f>
        <v>35630.679336046873</v>
      </c>
      <c r="AJ38" s="33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14" t="s">
        <v>73</v>
      </c>
      <c r="B39" s="6">
        <f t="shared" si="25"/>
        <v>1615.1935483870968</v>
      </c>
      <c r="C39" s="2" t="s">
        <v>3</v>
      </c>
      <c r="D39" s="2"/>
      <c r="E39" s="2"/>
      <c r="F39" s="2"/>
      <c r="G39" s="2"/>
      <c r="H39" s="2"/>
      <c r="I39" s="17" t="s">
        <v>48</v>
      </c>
      <c r="J39" s="57">
        <f>F19*F12/$B$8</f>
        <v>470.28629999999998</v>
      </c>
      <c r="K39" s="2" t="s">
        <v>49</v>
      </c>
      <c r="L39" s="18"/>
      <c r="M39" s="2"/>
      <c r="N39" s="12">
        <f t="shared" si="9"/>
        <v>0</v>
      </c>
      <c r="O39" s="12"/>
      <c r="P39" s="24">
        <f t="shared" si="1"/>
        <v>0</v>
      </c>
      <c r="Q39" s="25">
        <f t="shared" si="2"/>
        <v>0</v>
      </c>
      <c r="R39" s="25">
        <f t="shared" si="3"/>
        <v>0</v>
      </c>
      <c r="S39" s="25">
        <f t="shared" si="4"/>
        <v>0</v>
      </c>
      <c r="T39" s="25">
        <f t="shared" si="5"/>
        <v>0</v>
      </c>
      <c r="U39" s="25">
        <f t="shared" si="6"/>
        <v>0</v>
      </c>
      <c r="V39" s="25">
        <f t="shared" si="7"/>
        <v>0</v>
      </c>
      <c r="W39" s="24">
        <f t="shared" si="10"/>
        <v>0</v>
      </c>
      <c r="X39" s="20">
        <f t="shared" si="0"/>
        <v>0</v>
      </c>
      <c r="Y39" s="3"/>
      <c r="Z39" s="6"/>
      <c r="AA39" s="2"/>
      <c r="AB39" s="33">
        <f t="shared" ref="AB39:AB43" si="26">AB40-10</f>
        <v>-50</v>
      </c>
      <c r="AC39" s="37">
        <f t="shared" ref="AC39:AC49" si="27">$AC$38*(1+(AB39/100))</f>
        <v>2205</v>
      </c>
      <c r="AD39" s="36">
        <f t="dataTable" ref="AD39:AD49" dt2D="0" dtr="0" r1="B49" ca="1"/>
        <v>32286.781727369631</v>
      </c>
      <c r="AE39" s="40">
        <f>100*((AD39-$AD$44)/$AD$44)</f>
        <v>-9.3848831147439977</v>
      </c>
      <c r="AF39" s="2"/>
      <c r="AG39" s="33">
        <f t="shared" ref="AG39:AG43" si="28">AG40-10</f>
        <v>-50</v>
      </c>
      <c r="AH39" s="37">
        <f t="shared" ref="AH39:AH49" si="29">$AH$38*(1+(AG39/100))</f>
        <v>9443.5</v>
      </c>
      <c r="AI39" s="36">
        <f t="dataTable" ref="AI39:AI49" dt2D="0" dtr="0" r1="F12" ca="1"/>
        <v>29024.134728592238</v>
      </c>
      <c r="AJ39" s="40">
        <f t="shared" ref="AJ39:AJ49" si="30">100*((AI39-$AI$44)/$AI$44)</f>
        <v>-18.541730695465354</v>
      </c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14" t="s">
        <v>76</v>
      </c>
      <c r="B40" s="6">
        <f t="shared" si="25"/>
        <v>1292.1548387096775</v>
      </c>
      <c r="C40" s="2" t="s">
        <v>3</v>
      </c>
      <c r="D40" s="2"/>
      <c r="E40" s="17" t="s">
        <v>106</v>
      </c>
      <c r="F40" s="15">
        <f>F37*F12*J17</f>
        <v>0</v>
      </c>
      <c r="G40" s="2" t="s">
        <v>49</v>
      </c>
      <c r="H40" s="2"/>
      <c r="I40" s="2"/>
      <c r="J40" s="2"/>
      <c r="K40" s="2"/>
      <c r="L40" s="18"/>
      <c r="M40" s="2"/>
      <c r="N40" s="12">
        <f t="shared" si="9"/>
        <v>0</v>
      </c>
      <c r="O40" s="12"/>
      <c r="P40" s="24">
        <f t="shared" si="1"/>
        <v>0</v>
      </c>
      <c r="Q40" s="25">
        <f t="shared" si="2"/>
        <v>0</v>
      </c>
      <c r="R40" s="25">
        <f t="shared" si="3"/>
        <v>0</v>
      </c>
      <c r="S40" s="25">
        <f t="shared" si="4"/>
        <v>0</v>
      </c>
      <c r="T40" s="25">
        <f t="shared" si="5"/>
        <v>0</v>
      </c>
      <c r="U40" s="25">
        <f t="shared" si="6"/>
        <v>0</v>
      </c>
      <c r="V40" s="25">
        <f t="shared" si="7"/>
        <v>0</v>
      </c>
      <c r="W40" s="24">
        <f t="shared" si="10"/>
        <v>0</v>
      </c>
      <c r="X40" s="20">
        <f t="shared" si="0"/>
        <v>0</v>
      </c>
      <c r="Y40" s="3"/>
      <c r="Z40" s="6"/>
      <c r="AA40" s="2"/>
      <c r="AB40" s="33">
        <f t="shared" si="26"/>
        <v>-40</v>
      </c>
      <c r="AC40" s="37">
        <f t="shared" si="27"/>
        <v>2646</v>
      </c>
      <c r="AD40" s="36">
        <v>32955.561249105085</v>
      </c>
      <c r="AE40" s="40">
        <f t="shared" ref="AE40:AE49" si="31">100*((AD40-$AD$29)/$AD$29)</f>
        <v>-7.5079064917951825</v>
      </c>
      <c r="AF40" s="2"/>
      <c r="AG40" s="33">
        <f t="shared" si="28"/>
        <v>-40</v>
      </c>
      <c r="AH40" s="37">
        <f t="shared" si="29"/>
        <v>11332.199999999999</v>
      </c>
      <c r="AI40" s="36">
        <v>29748.471332773865</v>
      </c>
      <c r="AJ40" s="40">
        <f t="shared" si="30"/>
        <v>-16.508829224937319</v>
      </c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 t="s">
        <v>83</v>
      </c>
      <c r="B41" s="6">
        <f t="shared" ref="B41:B43" si="32">IF(B23=0,0,B23/$B$8)</f>
        <v>65.677966101694921</v>
      </c>
      <c r="C41" s="2" t="s">
        <v>3</v>
      </c>
      <c r="D41" s="2"/>
      <c r="E41" s="17" t="s">
        <v>107</v>
      </c>
      <c r="F41" s="7">
        <f>F38*F12</f>
        <v>448.88636864406783</v>
      </c>
      <c r="G41" s="2" t="s">
        <v>49</v>
      </c>
      <c r="H41" s="2"/>
      <c r="I41" s="2"/>
      <c r="J41" s="2"/>
      <c r="K41" s="2"/>
      <c r="L41" s="18"/>
      <c r="M41" s="2"/>
      <c r="N41" s="12">
        <f t="shared" si="9"/>
        <v>0</v>
      </c>
      <c r="O41" s="12"/>
      <c r="P41" s="24">
        <f t="shared" si="1"/>
        <v>0</v>
      </c>
      <c r="Q41" s="25">
        <f t="shared" si="2"/>
        <v>0</v>
      </c>
      <c r="R41" s="25">
        <f t="shared" si="3"/>
        <v>0</v>
      </c>
      <c r="S41" s="25">
        <f t="shared" si="4"/>
        <v>0</v>
      </c>
      <c r="T41" s="25">
        <f t="shared" si="5"/>
        <v>0</v>
      </c>
      <c r="U41" s="25">
        <f t="shared" si="6"/>
        <v>0</v>
      </c>
      <c r="V41" s="25">
        <f t="shared" si="7"/>
        <v>0</v>
      </c>
      <c r="W41" s="24">
        <f t="shared" si="10"/>
        <v>0</v>
      </c>
      <c r="X41" s="20">
        <f t="shared" si="0"/>
        <v>0</v>
      </c>
      <c r="Y41" s="3"/>
      <c r="Z41" s="6"/>
      <c r="AA41" s="2"/>
      <c r="AB41" s="33">
        <f t="shared" si="26"/>
        <v>-30</v>
      </c>
      <c r="AC41" s="37">
        <f t="shared" si="27"/>
        <v>3087</v>
      </c>
      <c r="AD41" s="36">
        <v>33624.340770840528</v>
      </c>
      <c r="AE41" s="40">
        <f t="shared" si="31"/>
        <v>-5.6309298688463967</v>
      </c>
      <c r="AF41" s="2"/>
      <c r="AG41" s="33">
        <f t="shared" si="28"/>
        <v>-30</v>
      </c>
      <c r="AH41" s="37">
        <f t="shared" si="29"/>
        <v>13220.9</v>
      </c>
      <c r="AI41" s="36">
        <v>30472.807936955498</v>
      </c>
      <c r="AJ41" s="40">
        <f t="shared" si="30"/>
        <v>-14.475927754409263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 t="s">
        <v>178</v>
      </c>
      <c r="B42" s="6">
        <f t="shared" si="32"/>
        <v>11.228813559322035</v>
      </c>
      <c r="C42" s="2" t="s">
        <v>3</v>
      </c>
      <c r="D42" s="2"/>
      <c r="E42" s="2"/>
      <c r="F42" s="2"/>
      <c r="G42" s="2"/>
      <c r="H42" s="2"/>
      <c r="I42" s="17"/>
      <c r="J42" s="57"/>
      <c r="K42" s="2"/>
      <c r="L42" s="18"/>
      <c r="M42" s="2"/>
      <c r="N42" s="12">
        <f t="shared" si="9"/>
        <v>0</v>
      </c>
      <c r="O42" s="12"/>
      <c r="P42" s="24">
        <f t="shared" si="1"/>
        <v>0</v>
      </c>
      <c r="Q42" s="25">
        <f t="shared" si="2"/>
        <v>0</v>
      </c>
      <c r="R42" s="25">
        <f t="shared" si="3"/>
        <v>0</v>
      </c>
      <c r="S42" s="25">
        <f t="shared" si="4"/>
        <v>0</v>
      </c>
      <c r="T42" s="25">
        <f t="shared" si="5"/>
        <v>0</v>
      </c>
      <c r="U42" s="25">
        <f t="shared" si="6"/>
        <v>0</v>
      </c>
      <c r="V42" s="25">
        <f t="shared" si="7"/>
        <v>0</v>
      </c>
      <c r="W42" s="24">
        <f t="shared" si="10"/>
        <v>0</v>
      </c>
      <c r="X42" s="20">
        <f t="shared" si="0"/>
        <v>0</v>
      </c>
      <c r="Y42" s="3"/>
      <c r="Z42" s="6"/>
      <c r="AA42" s="2"/>
      <c r="AB42" s="33">
        <f t="shared" si="26"/>
        <v>-20</v>
      </c>
      <c r="AC42" s="37">
        <f t="shared" si="27"/>
        <v>3528</v>
      </c>
      <c r="AD42" s="36">
        <v>34293.120292575972</v>
      </c>
      <c r="AE42" s="40">
        <f t="shared" si="31"/>
        <v>-3.7539532458976113</v>
      </c>
      <c r="AF42" s="2"/>
      <c r="AG42" s="33">
        <f t="shared" si="28"/>
        <v>-20</v>
      </c>
      <c r="AH42" s="37">
        <f t="shared" si="29"/>
        <v>15109.6</v>
      </c>
      <c r="AI42" s="36">
        <v>33904.501989251876</v>
      </c>
      <c r="AJ42" s="40">
        <f t="shared" si="30"/>
        <v>-4.8446377643118819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 t="s">
        <v>179</v>
      </c>
      <c r="B43" s="6">
        <f t="shared" si="32"/>
        <v>15.72033898305085</v>
      </c>
      <c r="C43" s="2" t="s">
        <v>3</v>
      </c>
      <c r="D43" s="2"/>
      <c r="E43" s="2"/>
      <c r="F43" s="2"/>
      <c r="G43" s="2"/>
      <c r="H43" s="2"/>
      <c r="I43" s="2"/>
      <c r="J43" s="2"/>
      <c r="K43" s="2"/>
      <c r="L43" s="18"/>
      <c r="M43" s="2"/>
      <c r="N43" s="12">
        <f t="shared" si="9"/>
        <v>0</v>
      </c>
      <c r="O43" s="12"/>
      <c r="P43" s="24">
        <f t="shared" si="1"/>
        <v>0</v>
      </c>
      <c r="Q43" s="25">
        <f t="shared" si="2"/>
        <v>0</v>
      </c>
      <c r="R43" s="25">
        <f t="shared" si="3"/>
        <v>0</v>
      </c>
      <c r="S43" s="25">
        <f t="shared" si="4"/>
        <v>0</v>
      </c>
      <c r="T43" s="25">
        <f t="shared" si="5"/>
        <v>0</v>
      </c>
      <c r="U43" s="25">
        <f t="shared" si="6"/>
        <v>0</v>
      </c>
      <c r="V43" s="25">
        <f t="shared" si="7"/>
        <v>0</v>
      </c>
      <c r="W43" s="24">
        <f t="shared" si="10"/>
        <v>0</v>
      </c>
      <c r="X43" s="20">
        <f t="shared" si="0"/>
        <v>0</v>
      </c>
      <c r="Y43" s="3"/>
      <c r="Z43" s="6"/>
      <c r="AA43" s="2"/>
      <c r="AB43" s="33">
        <f t="shared" si="26"/>
        <v>-10</v>
      </c>
      <c r="AC43" s="37">
        <f t="shared" si="27"/>
        <v>3969</v>
      </c>
      <c r="AD43" s="36">
        <v>34961.89981431143</v>
      </c>
      <c r="AE43" s="40">
        <f t="shared" si="31"/>
        <v>-1.8769766229487852</v>
      </c>
      <c r="AF43" s="2"/>
      <c r="AG43" s="33">
        <f t="shared" si="28"/>
        <v>-10</v>
      </c>
      <c r="AH43" s="37">
        <f t="shared" si="29"/>
        <v>16998.3</v>
      </c>
      <c r="AI43" s="36">
        <v>34764.206465839226</v>
      </c>
      <c r="AJ43" s="40">
        <f t="shared" si="30"/>
        <v>-2.4318168678054151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1" t="s">
        <v>163</v>
      </c>
      <c r="F44" s="2"/>
      <c r="G44" s="2"/>
      <c r="H44" s="2"/>
      <c r="I44" s="2"/>
      <c r="J44" s="2"/>
      <c r="K44" s="2"/>
      <c r="L44" s="18"/>
      <c r="M44" s="2"/>
      <c r="N44" s="12">
        <f t="shared" si="9"/>
        <v>0</v>
      </c>
      <c r="O44" s="12"/>
      <c r="P44" s="24">
        <f t="shared" si="1"/>
        <v>0</v>
      </c>
      <c r="Q44" s="25">
        <f t="shared" si="2"/>
        <v>0</v>
      </c>
      <c r="R44" s="25">
        <f t="shared" si="3"/>
        <v>0</v>
      </c>
      <c r="S44" s="25">
        <f t="shared" si="4"/>
        <v>0</v>
      </c>
      <c r="T44" s="25">
        <f t="shared" si="5"/>
        <v>0</v>
      </c>
      <c r="U44" s="25">
        <f t="shared" si="6"/>
        <v>0</v>
      </c>
      <c r="V44" s="25">
        <f t="shared" si="7"/>
        <v>0</v>
      </c>
      <c r="W44" s="24">
        <f t="shared" si="10"/>
        <v>0</v>
      </c>
      <c r="X44" s="20">
        <f t="shared" si="0"/>
        <v>0</v>
      </c>
      <c r="Y44" s="3"/>
      <c r="Z44" s="6"/>
      <c r="AA44" s="2"/>
      <c r="AB44" s="45">
        <v>0</v>
      </c>
      <c r="AC44" s="49">
        <f t="shared" si="27"/>
        <v>4410</v>
      </c>
      <c r="AD44" s="46">
        <v>35630.679336046873</v>
      </c>
      <c r="AE44" s="62">
        <f t="shared" si="31"/>
        <v>0</v>
      </c>
      <c r="AF44" s="2"/>
      <c r="AG44" s="45">
        <v>0</v>
      </c>
      <c r="AH44" s="49">
        <f t="shared" si="29"/>
        <v>18887</v>
      </c>
      <c r="AI44" s="46">
        <v>35630.679336046873</v>
      </c>
      <c r="AJ44" s="62">
        <f t="shared" si="30"/>
        <v>0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7" t="s">
        <v>108</v>
      </c>
      <c r="B45" s="3"/>
      <c r="C45" s="1"/>
      <c r="D45" s="2"/>
      <c r="E45" s="17" t="s">
        <v>164</v>
      </c>
      <c r="F45" s="97">
        <f>((1+(B14/100))*J9*J10)*(1+(B13%+B15%+B21%+B22%))</f>
        <v>6262.2</v>
      </c>
      <c r="G45" s="2" t="s">
        <v>3</v>
      </c>
      <c r="H45" s="2"/>
      <c r="I45" s="1"/>
      <c r="J45" s="2"/>
      <c r="K45" s="2"/>
      <c r="L45" s="18"/>
      <c r="M45" s="2"/>
      <c r="N45" s="12">
        <f t="shared" si="9"/>
        <v>0</v>
      </c>
      <c r="O45" s="12"/>
      <c r="P45" s="24">
        <f t="shared" si="1"/>
        <v>0</v>
      </c>
      <c r="Q45" s="25">
        <f t="shared" si="2"/>
        <v>0</v>
      </c>
      <c r="R45" s="25">
        <f t="shared" si="3"/>
        <v>0</v>
      </c>
      <c r="S45" s="25">
        <f t="shared" si="4"/>
        <v>0</v>
      </c>
      <c r="T45" s="25">
        <f t="shared" si="5"/>
        <v>0</v>
      </c>
      <c r="U45" s="25">
        <f t="shared" si="6"/>
        <v>0</v>
      </c>
      <c r="V45" s="25">
        <f t="shared" si="7"/>
        <v>0</v>
      </c>
      <c r="W45" s="24">
        <f t="shared" si="10"/>
        <v>0</v>
      </c>
      <c r="X45" s="20">
        <f t="shared" si="0"/>
        <v>0</v>
      </c>
      <c r="Y45" s="3"/>
      <c r="Z45" s="6"/>
      <c r="AA45" s="2"/>
      <c r="AB45" s="33">
        <f t="shared" ref="AB45:AB49" si="33">AB44+10</f>
        <v>10</v>
      </c>
      <c r="AC45" s="37">
        <f t="shared" si="27"/>
        <v>4851</v>
      </c>
      <c r="AD45" s="36">
        <v>36299.458857782331</v>
      </c>
      <c r="AE45" s="40">
        <f t="shared" si="31"/>
        <v>1.8769766229488263</v>
      </c>
      <c r="AF45" s="2"/>
      <c r="AG45" s="33">
        <f t="shared" ref="AG45:AG49" si="34">AG44+10</f>
        <v>10</v>
      </c>
      <c r="AH45" s="37">
        <f t="shared" si="29"/>
        <v>20775.7</v>
      </c>
      <c r="AI45" s="36">
        <v>36504.259019555837</v>
      </c>
      <c r="AJ45" s="40">
        <f t="shared" si="30"/>
        <v>2.4517626376693311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17" t="s">
        <v>197</v>
      </c>
      <c r="B46" s="6">
        <f>J8/B8</f>
        <v>11741.935483870968</v>
      </c>
      <c r="C46" s="2" t="s">
        <v>3</v>
      </c>
      <c r="D46" s="2"/>
      <c r="E46" s="2" t="s">
        <v>165</v>
      </c>
      <c r="F46" s="97">
        <f>((J22%)*F45)+(((1-J22%)*F45)*(1+(F22%*J21)))</f>
        <v>7432.6051799999996</v>
      </c>
      <c r="G46" s="2" t="s">
        <v>3</v>
      </c>
      <c r="H46" s="2"/>
      <c r="I46" s="17"/>
      <c r="J46" s="23"/>
      <c r="K46" s="2"/>
      <c r="L46" s="18"/>
      <c r="M46" s="2"/>
      <c r="N46" s="12">
        <f t="shared" si="9"/>
        <v>0</v>
      </c>
      <c r="O46" s="12"/>
      <c r="P46" s="24">
        <f t="shared" si="1"/>
        <v>0</v>
      </c>
      <c r="Q46" s="25">
        <f t="shared" si="2"/>
        <v>0</v>
      </c>
      <c r="R46" s="25">
        <f t="shared" si="3"/>
        <v>0</v>
      </c>
      <c r="S46" s="25">
        <f t="shared" si="4"/>
        <v>0</v>
      </c>
      <c r="T46" s="25">
        <f t="shared" si="5"/>
        <v>0</v>
      </c>
      <c r="U46" s="25">
        <f t="shared" si="6"/>
        <v>0</v>
      </c>
      <c r="V46" s="25">
        <f t="shared" si="7"/>
        <v>0</v>
      </c>
      <c r="W46" s="24">
        <f t="shared" si="10"/>
        <v>0</v>
      </c>
      <c r="X46" s="20">
        <f t="shared" si="0"/>
        <v>0</v>
      </c>
      <c r="Y46" s="3"/>
      <c r="Z46" s="6"/>
      <c r="AA46" s="2"/>
      <c r="AB46" s="33">
        <f t="shared" si="33"/>
        <v>20</v>
      </c>
      <c r="AC46" s="37">
        <f t="shared" si="27"/>
        <v>5292</v>
      </c>
      <c r="AD46" s="36">
        <v>36968.238379517774</v>
      </c>
      <c r="AE46" s="40">
        <f t="shared" si="31"/>
        <v>3.7539532458976113</v>
      </c>
      <c r="AF46" s="2"/>
      <c r="AG46" s="33">
        <f t="shared" si="34"/>
        <v>20</v>
      </c>
      <c r="AH46" s="37">
        <f t="shared" si="29"/>
        <v>22664.399999999998</v>
      </c>
      <c r="AI46" s="36">
        <v>37228.595623737463</v>
      </c>
      <c r="AJ46" s="40">
        <f t="shared" si="30"/>
        <v>4.4846641081973679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17" t="s">
        <v>109</v>
      </c>
      <c r="B47" s="72">
        <f>IF(J24="No",J9*J10,0)</f>
        <v>4410</v>
      </c>
      <c r="C47" s="2" t="s">
        <v>3</v>
      </c>
      <c r="D47" s="2"/>
      <c r="E47" s="2" t="s">
        <v>94</v>
      </c>
      <c r="F47" s="97">
        <f>J12*J11</f>
        <v>160800</v>
      </c>
      <c r="G47" s="2" t="s">
        <v>98</v>
      </c>
      <c r="H47" s="2"/>
      <c r="I47" s="2"/>
      <c r="J47" s="2"/>
      <c r="K47" s="2"/>
      <c r="L47" s="18"/>
      <c r="M47" s="2"/>
      <c r="N47" s="12">
        <f t="shared" si="9"/>
        <v>0</v>
      </c>
      <c r="O47" s="12"/>
      <c r="P47" s="24">
        <f t="shared" si="1"/>
        <v>0</v>
      </c>
      <c r="Q47" s="25">
        <f t="shared" si="2"/>
        <v>0</v>
      </c>
      <c r="R47" s="25">
        <f t="shared" si="3"/>
        <v>0</v>
      </c>
      <c r="S47" s="25">
        <f t="shared" si="4"/>
        <v>0</v>
      </c>
      <c r="T47" s="25">
        <f t="shared" si="5"/>
        <v>0</v>
      </c>
      <c r="U47" s="25">
        <f t="shared" si="6"/>
        <v>0</v>
      </c>
      <c r="V47" s="25">
        <f t="shared" si="7"/>
        <v>0</v>
      </c>
      <c r="W47" s="24">
        <f t="shared" si="10"/>
        <v>0</v>
      </c>
      <c r="X47" s="20">
        <f t="shared" si="0"/>
        <v>0</v>
      </c>
      <c r="Y47" s="3"/>
      <c r="Z47" s="6"/>
      <c r="AA47" s="2"/>
      <c r="AB47" s="33">
        <f t="shared" si="33"/>
        <v>30</v>
      </c>
      <c r="AC47" s="37">
        <f t="shared" si="27"/>
        <v>5733</v>
      </c>
      <c r="AD47" s="36">
        <v>37637.017901253217</v>
      </c>
      <c r="AE47" s="40">
        <f t="shared" si="31"/>
        <v>5.6309298688463967</v>
      </c>
      <c r="AF47" s="2"/>
      <c r="AG47" s="33">
        <f t="shared" si="34"/>
        <v>30</v>
      </c>
      <c r="AH47" s="37">
        <f t="shared" si="29"/>
        <v>24553.100000000002</v>
      </c>
      <c r="AI47" s="36">
        <v>38109.637461212769</v>
      </c>
      <c r="AJ47" s="40">
        <f t="shared" si="30"/>
        <v>6.9573698042236938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30" t="s">
        <v>110</v>
      </c>
      <c r="B48" s="50">
        <f>(1+(B14/100))*B46</f>
        <v>11741.935483870968</v>
      </c>
      <c r="C48" s="2" t="s">
        <v>3</v>
      </c>
      <c r="D48" s="2"/>
      <c r="E48" s="2" t="s">
        <v>166</v>
      </c>
      <c r="F48" s="98">
        <f>(F46/F47)*J25</f>
        <v>6.0089469738805967E-2</v>
      </c>
      <c r="G48" s="2" t="s">
        <v>4</v>
      </c>
      <c r="H48" s="2"/>
      <c r="I48" s="2"/>
      <c r="J48" s="2"/>
      <c r="K48" s="2"/>
      <c r="L48" s="18"/>
      <c r="M48" s="2"/>
      <c r="N48" s="12">
        <f t="shared" si="9"/>
        <v>0</v>
      </c>
      <c r="O48" s="12"/>
      <c r="P48" s="24">
        <f t="shared" si="1"/>
        <v>0</v>
      </c>
      <c r="Q48" s="25">
        <f t="shared" si="2"/>
        <v>0</v>
      </c>
      <c r="R48" s="25">
        <f t="shared" si="3"/>
        <v>0</v>
      </c>
      <c r="S48" s="25">
        <f t="shared" si="4"/>
        <v>0</v>
      </c>
      <c r="T48" s="25">
        <f t="shared" si="5"/>
        <v>0</v>
      </c>
      <c r="U48" s="25">
        <f t="shared" si="6"/>
        <v>0</v>
      </c>
      <c r="V48" s="25">
        <f t="shared" si="7"/>
        <v>0</v>
      </c>
      <c r="W48" s="24">
        <f t="shared" si="10"/>
        <v>0</v>
      </c>
      <c r="X48" s="20">
        <f t="shared" si="0"/>
        <v>0</v>
      </c>
      <c r="Y48" s="3"/>
      <c r="Z48" s="6"/>
      <c r="AA48" s="2"/>
      <c r="AB48" s="33">
        <f t="shared" si="33"/>
        <v>40</v>
      </c>
      <c r="AC48" s="37">
        <f t="shared" si="27"/>
        <v>6174</v>
      </c>
      <c r="AD48" s="36">
        <v>38305.797422988675</v>
      </c>
      <c r="AE48" s="40">
        <f t="shared" si="31"/>
        <v>7.5079064917952225</v>
      </c>
      <c r="AF48" s="2"/>
      <c r="AG48" s="33">
        <f t="shared" si="34"/>
        <v>40</v>
      </c>
      <c r="AH48" s="37">
        <f t="shared" si="29"/>
        <v>26441.8</v>
      </c>
      <c r="AI48" s="36">
        <v>38833.974065394403</v>
      </c>
      <c r="AJ48" s="40">
        <f t="shared" si="30"/>
        <v>8.9902712747517519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30" t="s">
        <v>111</v>
      </c>
      <c r="B49" s="5">
        <f>(1+(B14/100))*B47</f>
        <v>4410</v>
      </c>
      <c r="C49" s="2" t="s">
        <v>3</v>
      </c>
      <c r="D49" s="2"/>
      <c r="E49" s="2" t="s">
        <v>167</v>
      </c>
      <c r="F49" s="6">
        <f>J26*365</f>
        <v>54750</v>
      </c>
      <c r="G49" s="2" t="s">
        <v>43</v>
      </c>
      <c r="H49" s="2"/>
      <c r="I49" s="2"/>
      <c r="J49" s="2"/>
      <c r="K49" s="2"/>
      <c r="L49" s="18"/>
      <c r="M49" s="2"/>
      <c r="N49" s="13" t="s">
        <v>112</v>
      </c>
      <c r="O49" s="20">
        <f t="shared" ref="O49:X49" si="35">SUM(O8:O48)</f>
        <v>6748.5211262985231</v>
      </c>
      <c r="P49" s="20">
        <f t="shared" si="35"/>
        <v>17275.372134150442</v>
      </c>
      <c r="Q49" s="20">
        <f t="shared" si="35"/>
        <v>3611.9398923891672</v>
      </c>
      <c r="R49" s="20">
        <f t="shared" si="35"/>
        <v>0</v>
      </c>
      <c r="S49" s="20">
        <f t="shared" si="35"/>
        <v>8556.8133001255428</v>
      </c>
      <c r="T49" s="20">
        <f t="shared" si="35"/>
        <v>0</v>
      </c>
      <c r="U49" s="20">
        <f t="shared" si="35"/>
        <v>2984.8615865465104</v>
      </c>
      <c r="V49" s="20">
        <f t="shared" si="35"/>
        <v>0</v>
      </c>
      <c r="W49" s="20">
        <f t="shared" si="35"/>
        <v>-3546.8287034633045</v>
      </c>
      <c r="X49" s="20">
        <f t="shared" si="35"/>
        <v>35630.679336046873</v>
      </c>
      <c r="Y49" s="3"/>
      <c r="Z49" s="3"/>
      <c r="AA49" s="2"/>
      <c r="AB49" s="33">
        <f t="shared" si="33"/>
        <v>50</v>
      </c>
      <c r="AC49" s="37">
        <f t="shared" si="27"/>
        <v>6615</v>
      </c>
      <c r="AD49" s="36">
        <v>38974.576944724118</v>
      </c>
      <c r="AE49" s="40">
        <f t="shared" si="31"/>
        <v>9.3848831147440084</v>
      </c>
      <c r="AF49" s="2"/>
      <c r="AG49" s="33">
        <f t="shared" si="34"/>
        <v>50</v>
      </c>
      <c r="AH49" s="37">
        <f t="shared" si="29"/>
        <v>28330.5</v>
      </c>
      <c r="AI49" s="36">
        <v>42430.208612649141</v>
      </c>
      <c r="AJ49" s="40">
        <f t="shared" si="30"/>
        <v>19.083355701622327</v>
      </c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 t="s">
        <v>113</v>
      </c>
      <c r="B50" s="50">
        <f>B48+B49</f>
        <v>16151.935483870968</v>
      </c>
      <c r="C50" s="2" t="s">
        <v>3</v>
      </c>
      <c r="D50" s="2"/>
      <c r="E50" s="2" t="s">
        <v>168</v>
      </c>
      <c r="F50" s="5">
        <f>F48*F49</f>
        <v>3289.8984681996267</v>
      </c>
      <c r="G50" s="99" t="s">
        <v>49</v>
      </c>
      <c r="H50" s="2"/>
      <c r="I50" s="2"/>
      <c r="J50" s="2"/>
      <c r="K50" s="2"/>
      <c r="L50" s="18"/>
      <c r="M50" s="2"/>
      <c r="N50" s="2"/>
      <c r="O50" s="2"/>
      <c r="P50" s="6"/>
      <c r="Q50" s="2"/>
      <c r="R50" s="2"/>
      <c r="S50" s="2"/>
      <c r="T50" s="2"/>
      <c r="U50" s="2"/>
      <c r="V50" s="2"/>
      <c r="W50" s="2"/>
      <c r="X50" s="50"/>
      <c r="Y50" s="50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 t="s">
        <v>114</v>
      </c>
      <c r="B51" s="50">
        <f>(1+(B15/100))*B50</f>
        <v>16151.935483870968</v>
      </c>
      <c r="C51" s="2" t="s">
        <v>3</v>
      </c>
      <c r="D51" s="2"/>
      <c r="E51" s="2" t="s">
        <v>169</v>
      </c>
      <c r="F51" s="100">
        <f>IF(F12&gt;F49,(F12-F49)*F48,0)</f>
        <v>0</v>
      </c>
      <c r="G51" s="99" t="s">
        <v>49</v>
      </c>
      <c r="H51" s="2"/>
      <c r="I51" s="2"/>
      <c r="J51" s="2"/>
      <c r="K51" s="2"/>
      <c r="L51" s="18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32" t="s">
        <v>48</v>
      </c>
      <c r="AC51" s="33"/>
      <c r="AD51" s="33"/>
      <c r="AE51" s="33"/>
      <c r="AF51" s="2"/>
      <c r="AG51" s="32" t="s">
        <v>159</v>
      </c>
      <c r="AH51" s="33"/>
      <c r="AI51" s="33"/>
      <c r="AJ51" s="33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30" t="s">
        <v>115</v>
      </c>
      <c r="B52" s="6">
        <f>SUM(B33:B41)+SUM(B51)</f>
        <v>23024.731437944232</v>
      </c>
      <c r="C52" s="2" t="s">
        <v>3</v>
      </c>
      <c r="D52" s="2"/>
      <c r="E52" s="2"/>
      <c r="F52" s="2"/>
      <c r="G52" s="2"/>
      <c r="H52" s="2"/>
      <c r="I52" s="2"/>
      <c r="J52" s="2"/>
      <c r="K52" s="2"/>
      <c r="L52" s="18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33" t="s">
        <v>79</v>
      </c>
      <c r="AC52" s="33" t="s">
        <v>138</v>
      </c>
      <c r="AD52" s="33" t="s">
        <v>23</v>
      </c>
      <c r="AE52" s="33" t="s">
        <v>81</v>
      </c>
      <c r="AF52" s="2"/>
      <c r="AG52" s="33" t="s">
        <v>79</v>
      </c>
      <c r="AH52" s="33" t="s">
        <v>170</v>
      </c>
      <c r="AI52" s="33" t="s">
        <v>23</v>
      </c>
      <c r="AJ52" s="33" t="s">
        <v>81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30" t="s">
        <v>116</v>
      </c>
      <c r="B53" s="6">
        <f>SUM(B31:B32)</f>
        <v>-529.66101694915255</v>
      </c>
      <c r="C53" s="2" t="s">
        <v>3</v>
      </c>
      <c r="D53" s="2"/>
      <c r="E53" s="2"/>
      <c r="F53" s="2"/>
      <c r="G53" s="2"/>
      <c r="H53" s="2"/>
      <c r="I53" s="2"/>
      <c r="J53" s="2"/>
      <c r="K53" s="2"/>
      <c r="L53" s="18"/>
      <c r="M53" s="2"/>
      <c r="N53" s="2"/>
      <c r="O53" s="1"/>
      <c r="P53" s="1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33" t="s">
        <v>85</v>
      </c>
      <c r="AC53" s="37">
        <v>470.28629999999998</v>
      </c>
      <c r="AD53" s="36">
        <f>X49</f>
        <v>35630.679336046873</v>
      </c>
      <c r="AE53" s="33"/>
      <c r="AF53" s="2"/>
      <c r="AG53" s="33" t="s">
        <v>85</v>
      </c>
      <c r="AH53" s="37">
        <v>150</v>
      </c>
      <c r="AI53" s="36">
        <f>X49</f>
        <v>35630.679336046873</v>
      </c>
      <c r="AJ53" s="33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30" t="s">
        <v>172</v>
      </c>
      <c r="B54" s="6">
        <f>SUM(B52:B53)</f>
        <v>22495.070420995078</v>
      </c>
      <c r="C54" s="2" t="s">
        <v>3</v>
      </c>
      <c r="D54" s="2"/>
      <c r="E54" s="2"/>
      <c r="F54" s="2"/>
      <c r="G54" s="2"/>
      <c r="H54" s="2"/>
      <c r="I54" s="2"/>
      <c r="J54" s="2"/>
      <c r="K54" s="2"/>
      <c r="L54" s="18"/>
      <c r="M54" s="2"/>
      <c r="N54" s="51"/>
      <c r="O54" s="52" t="s">
        <v>118</v>
      </c>
      <c r="P54" s="53" t="str">
        <f>B1</f>
        <v>Malaysia</v>
      </c>
      <c r="Q54" s="51"/>
      <c r="R54" s="51"/>
      <c r="S54" s="51"/>
      <c r="T54" s="51"/>
      <c r="U54" s="51"/>
      <c r="V54" s="54"/>
      <c r="W54" s="2"/>
      <c r="X54" s="7"/>
      <c r="Y54" s="7"/>
      <c r="Z54" s="54"/>
      <c r="AA54" s="7"/>
      <c r="AB54" s="33">
        <f t="shared" ref="AB54:AB58" si="36">AB55-10</f>
        <v>-50</v>
      </c>
      <c r="AC54" s="37">
        <f t="shared" ref="AC54:AC64" si="37">$AC$53*(1+(AB54/100))</f>
        <v>235.14314999999999</v>
      </c>
      <c r="AD54" s="36">
        <f t="dataTable" ref="AD54:AD64" dt2D="0" dtr="0" r1="J39" ca="1"/>
        <v>33814.966261333342</v>
      </c>
      <c r="AE54" s="40">
        <f t="shared" ref="AE54:AE64" si="38">100*((AD54-$AD$59)/$AD$59)</f>
        <v>-5.0959260630111221</v>
      </c>
      <c r="AF54" s="2"/>
      <c r="AG54" s="33">
        <f t="shared" ref="AG54:AG56" si="39">AG55-20</f>
        <v>-100</v>
      </c>
      <c r="AH54" s="37">
        <f>$AH$53*(1+(AG54/100))</f>
        <v>0</v>
      </c>
      <c r="AI54" s="36">
        <f t="dataTable" ref="AI54:AI64" dt2D="0" dtr="0" r1="J26" ca="1"/>
        <v>35630.679336046873</v>
      </c>
      <c r="AJ54" s="40">
        <f>100*((AI54-$AI$59)/$AI$59)</f>
        <v>0</v>
      </c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17" t="s">
        <v>71</v>
      </c>
      <c r="B55" s="6">
        <f>J18/B8</f>
        <v>0</v>
      </c>
      <c r="C55" s="2" t="s">
        <v>3</v>
      </c>
      <c r="D55" s="2"/>
      <c r="E55" s="2"/>
      <c r="F55" s="2"/>
      <c r="G55" s="2"/>
      <c r="H55" s="2"/>
      <c r="I55" s="2"/>
      <c r="J55" s="2"/>
      <c r="K55" s="2"/>
      <c r="L55" s="18"/>
      <c r="M55" s="2"/>
      <c r="N55" s="2"/>
      <c r="O55" s="2" t="s">
        <v>119</v>
      </c>
      <c r="P55" s="50">
        <f>SUM(O49:P49)</f>
        <v>24023.893260448967</v>
      </c>
      <c r="Q55" s="2" t="s">
        <v>3</v>
      </c>
      <c r="R55" s="55">
        <f t="shared" ref="R55:R59" si="40">P55/$J$33</f>
        <v>0.1271980370649069</v>
      </c>
      <c r="S55" s="2" t="s">
        <v>4</v>
      </c>
      <c r="T55" s="2"/>
      <c r="U55" s="2"/>
      <c r="V55" s="54"/>
      <c r="W55" s="2"/>
      <c r="X55" s="7"/>
      <c r="Y55" s="7"/>
      <c r="Z55" s="54"/>
      <c r="AA55" s="7"/>
      <c r="AB55" s="33">
        <f t="shared" si="36"/>
        <v>-40</v>
      </c>
      <c r="AC55" s="37">
        <f t="shared" si="37"/>
        <v>282.17177999999996</v>
      </c>
      <c r="AD55" s="36">
        <v>34178.108876276048</v>
      </c>
      <c r="AE55" s="40">
        <f t="shared" si="38"/>
        <v>-4.0767408504088971</v>
      </c>
      <c r="AF55" s="2"/>
      <c r="AG55" s="33">
        <f t="shared" si="39"/>
        <v>-80</v>
      </c>
      <c r="AH55" s="37">
        <f t="shared" ref="AH55:AH64" si="41">$AH$53*(1+(AG55/100))</f>
        <v>29.999999999999993</v>
      </c>
      <c r="AI55" s="36">
        <v>35630.679336046873</v>
      </c>
      <c r="AJ55" s="40">
        <f t="shared" ref="AJ55:AJ64" si="42">100*((AI55-$AI$59)/$AI$59)</f>
        <v>0</v>
      </c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 t="s">
        <v>180</v>
      </c>
      <c r="B56" s="6">
        <f>SUM(B42:B43)</f>
        <v>26.949152542372886</v>
      </c>
      <c r="C56" s="2" t="s">
        <v>3</v>
      </c>
      <c r="D56" s="2"/>
      <c r="E56" s="2"/>
      <c r="F56" s="2"/>
      <c r="G56" s="2"/>
      <c r="H56" s="2"/>
      <c r="I56" s="2"/>
      <c r="J56" s="2"/>
      <c r="K56" s="2"/>
      <c r="L56" s="18"/>
      <c r="M56" s="2"/>
      <c r="N56" s="2"/>
      <c r="O56" s="2" t="s">
        <v>99</v>
      </c>
      <c r="P56" s="50">
        <f>SUM(Q49:R49)</f>
        <v>3611.9398923891672</v>
      </c>
      <c r="Q56" s="2" t="s">
        <v>3</v>
      </c>
      <c r="R56" s="55">
        <f t="shared" si="40"/>
        <v>1.9123947119125149E-2</v>
      </c>
      <c r="S56" s="2" t="s">
        <v>4</v>
      </c>
      <c r="T56" s="2"/>
      <c r="U56" s="2"/>
      <c r="V56" s="54"/>
      <c r="W56" s="2"/>
      <c r="X56" s="7"/>
      <c r="Y56" s="7"/>
      <c r="Z56" s="54"/>
      <c r="AA56" s="7"/>
      <c r="AB56" s="33">
        <f t="shared" si="36"/>
        <v>-30</v>
      </c>
      <c r="AC56" s="37">
        <f t="shared" si="37"/>
        <v>329.20040999999998</v>
      </c>
      <c r="AD56" s="36">
        <v>34541.251491218762</v>
      </c>
      <c r="AE56" s="40">
        <f t="shared" si="38"/>
        <v>-3.0575556378066526</v>
      </c>
      <c r="AF56" s="2"/>
      <c r="AG56" s="33">
        <f t="shared" si="39"/>
        <v>-60</v>
      </c>
      <c r="AH56" s="37">
        <f t="shared" si="41"/>
        <v>60</v>
      </c>
      <c r="AI56" s="36">
        <v>35630.679336046873</v>
      </c>
      <c r="AJ56" s="40">
        <f t="shared" si="42"/>
        <v>0</v>
      </c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17" t="s">
        <v>120</v>
      </c>
      <c r="B57" s="6">
        <f>SUM(B54:B56)</f>
        <v>22522.019573537451</v>
      </c>
      <c r="C57" s="2" t="s">
        <v>3</v>
      </c>
      <c r="D57" s="2"/>
      <c r="E57" s="2"/>
      <c r="F57" s="2"/>
      <c r="G57" s="2"/>
      <c r="H57" s="2"/>
      <c r="I57" s="2"/>
      <c r="J57" s="2"/>
      <c r="K57" s="2"/>
      <c r="L57" s="18"/>
      <c r="M57" s="2"/>
      <c r="N57" s="2"/>
      <c r="O57" s="2" t="s">
        <v>121</v>
      </c>
      <c r="P57" s="50">
        <f>SUM(S49:T49)</f>
        <v>8556.8133001255428</v>
      </c>
      <c r="Q57" s="2" t="s">
        <v>3</v>
      </c>
      <c r="R57" s="55">
        <f t="shared" si="40"/>
        <v>4.5305306825464832E-2</v>
      </c>
      <c r="S57" s="2" t="s">
        <v>4</v>
      </c>
      <c r="T57" s="2"/>
      <c r="U57" s="2"/>
      <c r="V57" s="54"/>
      <c r="W57" s="2"/>
      <c r="X57" s="7"/>
      <c r="Y57" s="7"/>
      <c r="Z57" s="54"/>
      <c r="AA57" s="7"/>
      <c r="AB57" s="33">
        <f t="shared" si="36"/>
        <v>-20</v>
      </c>
      <c r="AC57" s="37">
        <f t="shared" si="37"/>
        <v>376.22904</v>
      </c>
      <c r="AD57" s="36">
        <v>34904.394106161468</v>
      </c>
      <c r="AE57" s="40">
        <f t="shared" si="38"/>
        <v>-2.0383704252044286</v>
      </c>
      <c r="AF57" s="2"/>
      <c r="AG57" s="33">
        <f>AG58-20</f>
        <v>-40</v>
      </c>
      <c r="AH57" s="37">
        <f t="shared" si="41"/>
        <v>90</v>
      </c>
      <c r="AI57" s="36">
        <v>35630.679336046873</v>
      </c>
      <c r="AJ57" s="40">
        <f t="shared" si="42"/>
        <v>0</v>
      </c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4"/>
      <c r="M58" s="2"/>
      <c r="N58" s="2"/>
      <c r="O58" s="2" t="s">
        <v>122</v>
      </c>
      <c r="P58" s="50">
        <f>SUM(U49:V49)</f>
        <v>2984.8615865465104</v>
      </c>
      <c r="Q58" s="2" t="s">
        <v>3</v>
      </c>
      <c r="R58" s="55">
        <f t="shared" si="40"/>
        <v>1.5803788778241703E-2</v>
      </c>
      <c r="S58" s="2" t="s">
        <v>4</v>
      </c>
      <c r="T58" s="2"/>
      <c r="U58" s="2"/>
      <c r="V58" s="54"/>
      <c r="W58" s="2"/>
      <c r="X58" s="7"/>
      <c r="Y58" s="7"/>
      <c r="Z58" s="54"/>
      <c r="AA58" s="7"/>
      <c r="AB58" s="33">
        <f t="shared" si="36"/>
        <v>-10</v>
      </c>
      <c r="AC58" s="37">
        <f t="shared" si="37"/>
        <v>423.25767000000002</v>
      </c>
      <c r="AD58" s="36">
        <v>35267.536721104174</v>
      </c>
      <c r="AE58" s="40">
        <f t="shared" si="38"/>
        <v>-1.0191852126022038</v>
      </c>
      <c r="AF58" s="2"/>
      <c r="AG58" s="33">
        <f>AG59-20</f>
        <v>-20</v>
      </c>
      <c r="AH58" s="37">
        <f t="shared" si="41"/>
        <v>120</v>
      </c>
      <c r="AI58" s="36">
        <v>35630.679336046873</v>
      </c>
      <c r="AJ58" s="40">
        <f t="shared" si="42"/>
        <v>0</v>
      </c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 t="s">
        <v>124</v>
      </c>
      <c r="P59" s="50">
        <f>W49</f>
        <v>-3546.8287034633045</v>
      </c>
      <c r="Q59" s="2" t="s">
        <v>3</v>
      </c>
      <c r="R59" s="55">
        <f t="shared" si="40"/>
        <v>-1.877920635073492E-2</v>
      </c>
      <c r="S59" s="2" t="s">
        <v>4</v>
      </c>
      <c r="T59" s="2"/>
      <c r="U59" s="2"/>
      <c r="V59" s="54"/>
      <c r="W59" s="2"/>
      <c r="X59" s="7"/>
      <c r="Y59" s="7"/>
      <c r="Z59" s="54"/>
      <c r="AA59" s="7"/>
      <c r="AB59" s="45">
        <v>0</v>
      </c>
      <c r="AC59" s="49">
        <f t="shared" si="37"/>
        <v>470.28629999999998</v>
      </c>
      <c r="AD59" s="46">
        <v>35630.679336046873</v>
      </c>
      <c r="AE59" s="87">
        <f t="shared" si="38"/>
        <v>0</v>
      </c>
      <c r="AF59" s="2"/>
      <c r="AG59" s="45">
        <v>0</v>
      </c>
      <c r="AH59" s="88">
        <f t="shared" si="41"/>
        <v>150</v>
      </c>
      <c r="AI59" s="46">
        <v>35630.679336046873</v>
      </c>
      <c r="AJ59" s="87">
        <f t="shared" si="42"/>
        <v>0</v>
      </c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 t="s">
        <v>123</v>
      </c>
      <c r="B60" s="2">
        <f>B52*B8</f>
        <v>108676.73238709677</v>
      </c>
      <c r="C60" s="2" t="s">
        <v>28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 t="s">
        <v>2</v>
      </c>
      <c r="P60" s="3">
        <f>SUM(P55:P59)</f>
        <v>35630.679336046887</v>
      </c>
      <c r="Q60" s="1" t="s">
        <v>3</v>
      </c>
      <c r="R60" s="57">
        <f>SUM(R55:R59)</f>
        <v>0.18865187343700368</v>
      </c>
      <c r="S60" s="1" t="s">
        <v>4</v>
      </c>
      <c r="T60" s="1"/>
      <c r="U60" s="2"/>
      <c r="V60" s="54"/>
      <c r="W60" s="2"/>
      <c r="X60" s="7"/>
      <c r="Y60" s="7"/>
      <c r="Z60" s="54"/>
      <c r="AA60" s="7"/>
      <c r="AB60" s="33">
        <f t="shared" ref="AB60:AB64" si="43">AB59+10</f>
        <v>10</v>
      </c>
      <c r="AC60" s="37">
        <f t="shared" si="37"/>
        <v>517.31493</v>
      </c>
      <c r="AD60" s="36">
        <v>35993.821950989586</v>
      </c>
      <c r="AE60" s="40">
        <f t="shared" si="38"/>
        <v>1.0191852126022447</v>
      </c>
      <c r="AF60" s="2"/>
      <c r="AG60" s="33">
        <f>AG59+20</f>
        <v>20</v>
      </c>
      <c r="AH60" s="37">
        <f t="shared" si="41"/>
        <v>180</v>
      </c>
      <c r="AI60" s="36">
        <v>35630.679336046873</v>
      </c>
      <c r="AJ60" s="40">
        <f t="shared" si="42"/>
        <v>0</v>
      </c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54"/>
      <c r="W61" s="2"/>
      <c r="X61" s="7"/>
      <c r="Y61" s="7"/>
      <c r="Z61" s="54"/>
      <c r="AA61" s="7"/>
      <c r="AB61" s="33">
        <f t="shared" si="43"/>
        <v>20</v>
      </c>
      <c r="AC61" s="37">
        <f t="shared" si="37"/>
        <v>564.34355999999991</v>
      </c>
      <c r="AD61" s="36">
        <v>36356.964565932292</v>
      </c>
      <c r="AE61" s="40">
        <f t="shared" si="38"/>
        <v>2.038370425204469</v>
      </c>
      <c r="AF61" s="2"/>
      <c r="AG61" s="33">
        <f t="shared" ref="AG61:AG64" si="44">AG60+20</f>
        <v>40</v>
      </c>
      <c r="AH61" s="37">
        <f t="shared" si="41"/>
        <v>210</v>
      </c>
      <c r="AI61" s="36">
        <v>35630.679336046873</v>
      </c>
      <c r="AJ61" s="40">
        <f t="shared" si="42"/>
        <v>0</v>
      </c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54"/>
      <c r="W62" s="2"/>
      <c r="X62" s="7"/>
      <c r="Y62" s="7"/>
      <c r="Z62" s="54"/>
      <c r="AA62" s="7"/>
      <c r="AB62" s="33">
        <f t="shared" si="43"/>
        <v>30</v>
      </c>
      <c r="AC62" s="37">
        <f t="shared" si="37"/>
        <v>611.37219000000005</v>
      </c>
      <c r="AD62" s="36">
        <v>36720.107180875013</v>
      </c>
      <c r="AE62" s="40">
        <f t="shared" si="38"/>
        <v>3.0575556378067343</v>
      </c>
      <c r="AF62" s="2"/>
      <c r="AG62" s="33">
        <f t="shared" si="44"/>
        <v>60</v>
      </c>
      <c r="AH62" s="37">
        <f t="shared" si="41"/>
        <v>240</v>
      </c>
      <c r="AI62" s="36">
        <v>35630.679336046873</v>
      </c>
      <c r="AJ62" s="40">
        <f t="shared" si="42"/>
        <v>0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54"/>
      <c r="W63" s="2"/>
      <c r="X63" s="7"/>
      <c r="Y63" s="7"/>
      <c r="Z63" s="54"/>
      <c r="AA63" s="7"/>
      <c r="AB63" s="33">
        <f t="shared" si="43"/>
        <v>40</v>
      </c>
      <c r="AC63" s="37">
        <f t="shared" si="37"/>
        <v>658.40081999999995</v>
      </c>
      <c r="AD63" s="36">
        <v>37083.249795817712</v>
      </c>
      <c r="AE63" s="40">
        <f t="shared" si="38"/>
        <v>4.076740850408938</v>
      </c>
      <c r="AF63" s="2"/>
      <c r="AG63" s="33">
        <f t="shared" si="44"/>
        <v>80</v>
      </c>
      <c r="AH63" s="37">
        <f t="shared" si="41"/>
        <v>270</v>
      </c>
      <c r="AI63" s="36">
        <v>35630.679336046873</v>
      </c>
      <c r="AJ63" s="40">
        <f t="shared" si="42"/>
        <v>0</v>
      </c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54"/>
      <c r="W64" s="2"/>
      <c r="X64" s="7"/>
      <c r="Y64" s="7"/>
      <c r="Z64" s="54"/>
      <c r="AA64" s="7"/>
      <c r="AB64" s="33">
        <f t="shared" si="43"/>
        <v>50</v>
      </c>
      <c r="AC64" s="37">
        <f t="shared" si="37"/>
        <v>705.42944999999997</v>
      </c>
      <c r="AD64" s="36">
        <v>37446.392410760433</v>
      </c>
      <c r="AE64" s="40">
        <f t="shared" si="38"/>
        <v>5.0959260630112029</v>
      </c>
      <c r="AF64" s="2"/>
      <c r="AG64" s="33">
        <f t="shared" si="44"/>
        <v>100</v>
      </c>
      <c r="AH64" s="37">
        <f t="shared" si="41"/>
        <v>300</v>
      </c>
      <c r="AI64" s="36">
        <v>35630.679336046873</v>
      </c>
      <c r="AJ64" s="40">
        <f t="shared" si="42"/>
        <v>0</v>
      </c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54"/>
      <c r="W65" s="2"/>
      <c r="X65" s="7"/>
      <c r="Y65" s="7"/>
      <c r="Z65" s="54"/>
      <c r="AA65" s="7"/>
      <c r="AB65" s="2"/>
      <c r="AC65" s="2"/>
      <c r="AD65" s="2"/>
      <c r="AE65" s="2"/>
      <c r="AF65" s="2"/>
      <c r="AG65" s="2"/>
      <c r="AH65" s="23"/>
      <c r="AI65" s="6"/>
      <c r="AJ65" s="56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54"/>
      <c r="W66" s="2"/>
      <c r="X66" s="7"/>
      <c r="Y66" s="7"/>
      <c r="Z66" s="54"/>
      <c r="AA66" s="7"/>
      <c r="AB66" s="32" t="s">
        <v>196</v>
      </c>
      <c r="AC66" s="33"/>
      <c r="AD66" s="33"/>
      <c r="AE66" s="33"/>
      <c r="AF66" s="2"/>
      <c r="AG66" s="2"/>
      <c r="AH66" s="23"/>
      <c r="AI66" s="6"/>
      <c r="AJ66" s="56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54"/>
      <c r="W67" s="2"/>
      <c r="X67" s="7"/>
      <c r="Y67" s="7"/>
      <c r="Z67" s="54"/>
      <c r="AA67" s="7"/>
      <c r="AB67" s="33" t="s">
        <v>79</v>
      </c>
      <c r="AC67" s="33" t="s">
        <v>196</v>
      </c>
      <c r="AD67" s="33" t="s">
        <v>23</v>
      </c>
      <c r="AE67" s="33" t="s">
        <v>81</v>
      </c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54"/>
      <c r="W68" s="2"/>
      <c r="X68" s="7"/>
      <c r="Y68" s="7"/>
      <c r="Z68" s="54"/>
      <c r="AA68" s="7"/>
      <c r="AB68" s="33" t="s">
        <v>85</v>
      </c>
      <c r="AC68" s="35">
        <v>0.14199999999999999</v>
      </c>
      <c r="AD68" s="36">
        <f>X49</f>
        <v>35630.679336046873</v>
      </c>
      <c r="AE68" s="33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58"/>
      <c r="Y69" s="58"/>
      <c r="Z69" s="2"/>
      <c r="AA69" s="58"/>
      <c r="AB69" s="33">
        <f t="shared" ref="AB69:AB73" si="45">AB70-10</f>
        <v>-50</v>
      </c>
      <c r="AC69" s="35">
        <f>$AC$68*(1+(-AB69/100))</f>
        <v>0.21299999999999997</v>
      </c>
      <c r="AD69" s="36">
        <f t="dataTable" ref="AD69:AD79" dt2D="0" dtr="0" r1="J17" ca="1"/>
        <v>37436.649282241458</v>
      </c>
      <c r="AE69" s="40">
        <f>100*((AD69-$AD$74)/$AD$74)</f>
        <v>5.0685812896290212</v>
      </c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33">
        <f t="shared" si="45"/>
        <v>-40</v>
      </c>
      <c r="AC70" s="35">
        <f t="shared" ref="AC70:AC79" si="46">$AC$68*(1+(-AB70/100))</f>
        <v>0.19879999999999998</v>
      </c>
      <c r="AD70" s="36">
        <v>37075.455293002553</v>
      </c>
      <c r="AE70" s="40">
        <f t="shared" ref="AE70:AE79" si="47">100*((AD70-$AD$74)/$AD$74)</f>
        <v>4.0548650317032493</v>
      </c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33">
        <f t="shared" si="45"/>
        <v>-30</v>
      </c>
      <c r="AC71" s="35">
        <f t="shared" si="46"/>
        <v>0.18459999999999999</v>
      </c>
      <c r="AD71" s="36">
        <v>36714.261303763618</v>
      </c>
      <c r="AE71" s="40">
        <f t="shared" si="47"/>
        <v>3.0411487737773961</v>
      </c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33">
        <f t="shared" si="45"/>
        <v>-20</v>
      </c>
      <c r="AC72" s="35">
        <f t="shared" si="46"/>
        <v>0.17039999999999997</v>
      </c>
      <c r="AD72" s="36">
        <v>36353.067314524713</v>
      </c>
      <c r="AE72" s="40">
        <f t="shared" si="47"/>
        <v>2.0274325158516247</v>
      </c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33">
        <f t="shared" si="45"/>
        <v>-10</v>
      </c>
      <c r="AC73" s="35">
        <f t="shared" si="46"/>
        <v>0.15620000000000001</v>
      </c>
      <c r="AD73" s="36">
        <v>35991.873325285793</v>
      </c>
      <c r="AE73" s="40">
        <f t="shared" si="47"/>
        <v>1.0137162579258123</v>
      </c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45">
        <v>0</v>
      </c>
      <c r="AC74" s="85">
        <f t="shared" si="46"/>
        <v>0.14199999999999999</v>
      </c>
      <c r="AD74" s="46">
        <v>35630.679336046873</v>
      </c>
      <c r="AE74" s="87">
        <f t="shared" si="47"/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33">
        <f t="shared" ref="AB75:AB79" si="48">AB74+10</f>
        <v>10</v>
      </c>
      <c r="AC75" s="35">
        <f t="shared" si="46"/>
        <v>0.1278</v>
      </c>
      <c r="AD75" s="36">
        <v>35269.485346807975</v>
      </c>
      <c r="AE75" s="40">
        <f t="shared" si="47"/>
        <v>-1.0137162579257513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33">
        <f t="shared" si="48"/>
        <v>20</v>
      </c>
      <c r="AC76" s="35">
        <f t="shared" si="46"/>
        <v>0.11359999999999999</v>
      </c>
      <c r="AD76" s="36">
        <v>34908.291357569047</v>
      </c>
      <c r="AE76" s="40">
        <f t="shared" si="47"/>
        <v>-2.0274325158515838</v>
      </c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33">
        <f t="shared" si="48"/>
        <v>30</v>
      </c>
      <c r="AC77" s="35">
        <f t="shared" si="46"/>
        <v>9.9399999999999988E-2</v>
      </c>
      <c r="AD77" s="36">
        <v>34547.097368330134</v>
      </c>
      <c r="AE77" s="40">
        <f t="shared" si="47"/>
        <v>-3.0411487737773757</v>
      </c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33">
        <f t="shared" si="48"/>
        <v>40</v>
      </c>
      <c r="AC78" s="35">
        <f t="shared" si="46"/>
        <v>8.5199999999999984E-2</v>
      </c>
      <c r="AD78" s="36">
        <v>34185.903379091214</v>
      </c>
      <c r="AE78" s="40">
        <f t="shared" si="47"/>
        <v>-4.054865031703188</v>
      </c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33">
        <f t="shared" si="48"/>
        <v>50</v>
      </c>
      <c r="AC79" s="35">
        <f t="shared" si="46"/>
        <v>7.0999999999999994E-2</v>
      </c>
      <c r="AD79" s="36">
        <v>33824.709389852294</v>
      </c>
      <c r="AE79" s="40">
        <f t="shared" si="47"/>
        <v>-5.0685812896290008</v>
      </c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  <row r="997" spans="1:51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</row>
    <row r="998" spans="1:51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</row>
    <row r="999" spans="1:51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</row>
    <row r="1000" spans="1:51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</row>
  </sheetData>
  <pageMargins left="0.7" right="0.7" top="0.75" bottom="0.75" header="0" footer="0"/>
  <pageSetup orientation="landscape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74B725-3AD3-4CBD-82CC-2DD17ADA6801}">
          <x14:formula1>
            <xm:f>Description!$A$18:$A$19</xm:f>
          </x14:formula1>
          <xm:sqref>J24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A1:AO1000"/>
  <sheetViews>
    <sheetView topLeftCell="B7" zoomScale="85" zoomScaleNormal="85" workbookViewId="0">
      <selection activeCell="J8" sqref="J8:J16"/>
    </sheetView>
  </sheetViews>
  <sheetFormatPr defaultColWidth="14.42578125" defaultRowHeight="15" customHeight="1" x14ac:dyDescent="0.25"/>
  <cols>
    <col min="1" max="1" width="52.7109375" customWidth="1"/>
    <col min="2" max="2" width="17.42578125" customWidth="1"/>
    <col min="3" max="3" width="16.28515625" customWidth="1"/>
    <col min="4" max="4" width="8.85546875" customWidth="1"/>
    <col min="5" max="5" width="48" customWidth="1"/>
    <col min="6" max="6" width="14.28515625" customWidth="1"/>
    <col min="7" max="7" width="8.85546875" customWidth="1"/>
    <col min="8" max="8" width="19.28515625" customWidth="1"/>
    <col min="9" max="9" width="37.85546875" customWidth="1"/>
    <col min="10" max="10" width="17.4257812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16.42578125" customWidth="1"/>
    <col min="19" max="19" width="16" customWidth="1"/>
    <col min="20" max="20" width="22" customWidth="1"/>
    <col min="21" max="21" width="23.85546875" customWidth="1"/>
    <col min="22" max="22" width="12.7109375" customWidth="1"/>
    <col min="23" max="23" width="19.42578125" customWidth="1"/>
    <col min="24" max="24" width="13.42578125" customWidth="1"/>
    <col min="25" max="25" width="8.85546875" customWidth="1"/>
    <col min="26" max="26" width="20.140625" customWidth="1"/>
    <col min="27" max="27" width="25" customWidth="1"/>
    <col min="28" max="28" width="12.85546875" customWidth="1"/>
    <col min="29" max="29" width="19" customWidth="1"/>
    <col min="30" max="30" width="4.7109375" customWidth="1"/>
    <col min="31" max="31" width="20.140625" customWidth="1"/>
    <col min="32" max="32" width="19.28515625" customWidth="1"/>
    <col min="33" max="33" width="11.28515625" customWidth="1"/>
    <col min="34" max="34" width="17.85546875" customWidth="1"/>
  </cols>
  <sheetData>
    <row r="1" spans="1:34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5">
      <c r="A2" s="1" t="s">
        <v>2</v>
      </c>
      <c r="B2" s="3">
        <f>U49</f>
        <v>19325.609108332195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2"/>
      <c r="B3" s="4">
        <f>B2/F40</f>
        <v>0.10232228044862707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" t="s">
        <v>7</v>
      </c>
      <c r="AA4" s="2"/>
      <c r="AB4" s="2"/>
      <c r="AC4" s="2"/>
      <c r="AD4" s="2"/>
      <c r="AE4" s="2"/>
      <c r="AF4" s="2"/>
      <c r="AG4" s="2"/>
      <c r="AH4" s="2"/>
    </row>
    <row r="5" spans="1:34" x14ac:dyDescent="0.25">
      <c r="A5" s="2" t="s">
        <v>8</v>
      </c>
      <c r="B5" s="6">
        <v>10</v>
      </c>
      <c r="C5" s="2" t="s">
        <v>9</v>
      </c>
      <c r="D5" s="2"/>
      <c r="E5" s="2"/>
      <c r="F5" s="2"/>
      <c r="G5" s="2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5">
      <c r="A7" s="8" t="s">
        <v>11</v>
      </c>
      <c r="B7" s="9"/>
      <c r="C7" s="9"/>
      <c r="D7" s="9"/>
      <c r="E7" s="9"/>
      <c r="F7" s="9"/>
      <c r="G7" s="9"/>
      <c r="H7" s="10"/>
      <c r="I7" s="11" t="s">
        <v>12</v>
      </c>
      <c r="J7" s="9"/>
      <c r="K7" s="9"/>
      <c r="L7" s="10"/>
      <c r="M7" s="2"/>
      <c r="N7" s="12" t="s">
        <v>13</v>
      </c>
      <c r="O7" s="12" t="s">
        <v>14</v>
      </c>
      <c r="P7" s="12" t="s">
        <v>15</v>
      </c>
      <c r="Q7" s="12" t="s">
        <v>125</v>
      </c>
      <c r="R7" s="12" t="s">
        <v>126</v>
      </c>
      <c r="S7" s="12" t="s">
        <v>19</v>
      </c>
      <c r="T7" s="12" t="s">
        <v>22</v>
      </c>
      <c r="U7" s="13" t="s">
        <v>23</v>
      </c>
      <c r="V7" s="1"/>
      <c r="W7" s="2"/>
      <c r="X7" s="2"/>
      <c r="Y7" s="2"/>
      <c r="Z7" s="2" t="s">
        <v>24</v>
      </c>
      <c r="AA7" s="2"/>
      <c r="AB7" s="2"/>
      <c r="AC7" s="2"/>
      <c r="AD7" s="2"/>
      <c r="AE7" s="2"/>
      <c r="AF7" s="2"/>
      <c r="AG7" s="2"/>
      <c r="AH7" s="2"/>
    </row>
    <row r="8" spans="1:34" x14ac:dyDescent="0.25">
      <c r="A8" s="14" t="s">
        <v>25</v>
      </c>
      <c r="B8" s="15">
        <v>4.72</v>
      </c>
      <c r="C8" s="2" t="s">
        <v>26</v>
      </c>
      <c r="D8" s="2"/>
      <c r="E8" s="2"/>
      <c r="F8" s="2"/>
      <c r="G8" s="2"/>
      <c r="H8" s="16"/>
      <c r="I8" s="17" t="s">
        <v>197</v>
      </c>
      <c r="J8" s="6">
        <v>21925.16129032258</v>
      </c>
      <c r="K8" s="2" t="s">
        <v>28</v>
      </c>
      <c r="L8" s="18"/>
      <c r="M8" s="2"/>
      <c r="N8" s="12">
        <v>0</v>
      </c>
      <c r="O8" s="19">
        <f>F31</f>
        <v>2607.2699835975941</v>
      </c>
      <c r="P8" s="12"/>
      <c r="Q8" s="12"/>
      <c r="R8" s="12"/>
      <c r="S8" s="12"/>
      <c r="T8" s="12"/>
      <c r="U8" s="20">
        <f t="shared" ref="U8:U48" si="0">SUM(O8:T8)</f>
        <v>2607.2699835975941</v>
      </c>
      <c r="V8" s="3"/>
      <c r="W8" s="6"/>
      <c r="X8" s="2"/>
      <c r="Y8" s="2"/>
      <c r="Z8" s="21" t="s">
        <v>181</v>
      </c>
      <c r="AA8" s="22">
        <f>F36</f>
        <v>0.43432203389830509</v>
      </c>
      <c r="AB8" s="21" t="s">
        <v>128</v>
      </c>
      <c r="AC8" s="2"/>
      <c r="AD8" s="2"/>
      <c r="AE8" s="2"/>
      <c r="AF8" s="2"/>
      <c r="AG8" s="2"/>
      <c r="AH8" s="2"/>
    </row>
    <row r="9" spans="1:34" x14ac:dyDescent="0.25">
      <c r="A9" s="14"/>
      <c r="B9" s="2"/>
      <c r="C9" s="2"/>
      <c r="D9" s="2"/>
      <c r="E9" s="2"/>
      <c r="F9" s="23"/>
      <c r="G9" s="2"/>
      <c r="H9" s="16"/>
      <c r="I9" s="17" t="s">
        <v>129</v>
      </c>
      <c r="J9" s="15">
        <v>7.2499999999999995E-2</v>
      </c>
      <c r="K9" s="2" t="s">
        <v>130</v>
      </c>
      <c r="L9" s="18"/>
      <c r="M9" s="2"/>
      <c r="N9" s="12">
        <v>1</v>
      </c>
      <c r="O9" s="12"/>
      <c r="P9" s="24">
        <f t="shared" ref="P9:P48" si="1">IF(N9&gt;0,IF(N9&lt;=$J$15,(($F$32+$F$33)/$J$15)/((1+($F$11/100))^N9),0),0)</f>
        <v>1468.1826974302896</v>
      </c>
      <c r="Q9" s="25">
        <f t="shared" ref="Q9:Q48" si="2">IF(N9&gt;0,($F$38*((1+($F$14/100))^(N9-1)))/((1+($F$11/100))^N9),0)</f>
        <v>566.40039850686037</v>
      </c>
      <c r="R9" s="25">
        <f t="shared" ref="R9:R48" si="3">IF(N9&gt;0,$J$30/((1+($F$11/100))^N9),0)</f>
        <v>820.29334624697333</v>
      </c>
      <c r="S9" s="25">
        <f t="shared" ref="S9:S48" si="4">IF(N9&gt;0,($F$16/$B$8)/((1+($F$11/100))^N9),0)</f>
        <v>47.699757869249396</v>
      </c>
      <c r="T9" s="24">
        <f t="shared" ref="T9:T48" si="5">IF(N9=$B$5,((((1-$J$11/100)^N9)*$B$48)/((1+($F$11/100))^N9))*-1,0)</f>
        <v>0</v>
      </c>
      <c r="U9" s="20">
        <f t="shared" si="0"/>
        <v>2902.5762000533728</v>
      </c>
      <c r="V9" s="3"/>
      <c r="W9" s="6"/>
      <c r="X9" s="2"/>
      <c r="Y9" s="2"/>
      <c r="Z9" s="21" t="s">
        <v>172</v>
      </c>
      <c r="AA9" s="28">
        <f>B51</f>
        <v>8663.9507927829418</v>
      </c>
      <c r="AB9" s="21" t="s">
        <v>3</v>
      </c>
      <c r="AC9" s="2"/>
      <c r="AD9" s="6"/>
      <c r="AE9" s="2"/>
      <c r="AF9" s="2"/>
      <c r="AG9" s="2"/>
      <c r="AH9" s="2"/>
    </row>
    <row r="10" spans="1:34" x14ac:dyDescent="0.25">
      <c r="A10" s="27" t="s">
        <v>33</v>
      </c>
      <c r="B10" s="2"/>
      <c r="C10" s="2"/>
      <c r="D10" s="2"/>
      <c r="E10" s="1" t="s">
        <v>34</v>
      </c>
      <c r="F10" s="2"/>
      <c r="G10" s="2"/>
      <c r="H10" s="18"/>
      <c r="I10" s="17" t="s">
        <v>52</v>
      </c>
      <c r="J10" s="2">
        <v>30</v>
      </c>
      <c r="K10" s="2" t="s">
        <v>53</v>
      </c>
      <c r="L10" s="18"/>
      <c r="M10" s="2"/>
      <c r="N10" s="12">
        <f t="shared" ref="N10:N48" si="6">IF((N9+1)&gt;$B$5,,IF(N9=0,,N9+1))</f>
        <v>2</v>
      </c>
      <c r="O10" s="12"/>
      <c r="P10" s="24">
        <f t="shared" si="1"/>
        <v>1398.2692356478949</v>
      </c>
      <c r="Q10" s="25">
        <f t="shared" si="2"/>
        <v>544.82324046850374</v>
      </c>
      <c r="R10" s="25">
        <f t="shared" si="3"/>
        <v>781.23175833045082</v>
      </c>
      <c r="S10" s="25">
        <f t="shared" si="4"/>
        <v>45.428340827856566</v>
      </c>
      <c r="T10" s="24">
        <f t="shared" si="5"/>
        <v>0</v>
      </c>
      <c r="U10" s="20">
        <f t="shared" si="0"/>
        <v>2769.752575274706</v>
      </c>
      <c r="V10" s="3"/>
      <c r="W10" s="6"/>
      <c r="X10" s="2"/>
      <c r="Y10" s="2"/>
      <c r="Z10" s="21" t="s">
        <v>42</v>
      </c>
      <c r="AA10" s="29">
        <f>F12</f>
        <v>18887</v>
      </c>
      <c r="AB10" s="21" t="s">
        <v>43</v>
      </c>
      <c r="AC10" s="2"/>
      <c r="AD10" s="6"/>
      <c r="AE10" s="2"/>
      <c r="AF10" s="2"/>
      <c r="AG10" s="2"/>
      <c r="AH10" s="2"/>
    </row>
    <row r="11" spans="1:34" x14ac:dyDescent="0.25">
      <c r="A11" s="30" t="s">
        <v>131</v>
      </c>
      <c r="B11" s="2">
        <v>0</v>
      </c>
      <c r="C11" s="2" t="s">
        <v>28</v>
      </c>
      <c r="D11" s="2"/>
      <c r="E11" s="17" t="s">
        <v>38</v>
      </c>
      <c r="F11" s="2">
        <v>5</v>
      </c>
      <c r="G11" s="2" t="s">
        <v>39</v>
      </c>
      <c r="H11" s="18"/>
      <c r="I11" s="17" t="s">
        <v>61</v>
      </c>
      <c r="J11" s="2">
        <v>7.08</v>
      </c>
      <c r="K11" s="2" t="s">
        <v>62</v>
      </c>
      <c r="L11" s="18"/>
      <c r="M11" s="2"/>
      <c r="N11" s="12">
        <f t="shared" si="6"/>
        <v>3</v>
      </c>
      <c r="O11" s="12"/>
      <c r="P11" s="24">
        <f t="shared" si="1"/>
        <v>1331.6849863313284</v>
      </c>
      <c r="Q11" s="25">
        <f t="shared" si="2"/>
        <v>524.06806940303693</v>
      </c>
      <c r="R11" s="25">
        <f t="shared" si="3"/>
        <v>744.03024602900075</v>
      </c>
      <c r="S11" s="25">
        <f t="shared" si="4"/>
        <v>43.265086502720536</v>
      </c>
      <c r="T11" s="24">
        <f t="shared" si="5"/>
        <v>0</v>
      </c>
      <c r="U11" s="20">
        <f t="shared" si="0"/>
        <v>2643.0483882660865</v>
      </c>
      <c r="V11" s="3"/>
      <c r="W11" s="6"/>
      <c r="X11" s="2"/>
      <c r="Y11" s="2"/>
      <c r="Z11" s="31" t="s">
        <v>48</v>
      </c>
      <c r="AA11" s="29">
        <f>J34</f>
        <v>596.82920000000001</v>
      </c>
      <c r="AB11" s="21" t="s">
        <v>49</v>
      </c>
      <c r="AC11" s="2"/>
      <c r="AD11" s="6"/>
      <c r="AE11" s="2"/>
      <c r="AF11" s="2"/>
      <c r="AG11" s="2"/>
      <c r="AH11" s="2"/>
    </row>
    <row r="12" spans="1:34" x14ac:dyDescent="0.25">
      <c r="A12" s="30" t="s">
        <v>44</v>
      </c>
      <c r="B12" s="2">
        <v>0</v>
      </c>
      <c r="C12" s="2" t="s">
        <v>39</v>
      </c>
      <c r="D12" s="2"/>
      <c r="E12" s="17" t="s">
        <v>45</v>
      </c>
      <c r="F12" s="6">
        <v>18887</v>
      </c>
      <c r="G12" s="2" t="s">
        <v>43</v>
      </c>
      <c r="H12" s="18"/>
      <c r="I12" s="2"/>
      <c r="J12" s="2"/>
      <c r="K12" s="2"/>
      <c r="L12" s="18"/>
      <c r="M12" s="2"/>
      <c r="N12" s="12">
        <f t="shared" si="6"/>
        <v>4</v>
      </c>
      <c r="O12" s="12"/>
      <c r="P12" s="24">
        <f t="shared" si="1"/>
        <v>1268.2714155536462</v>
      </c>
      <c r="Q12" s="25">
        <f t="shared" si="2"/>
        <v>504.10357152101648</v>
      </c>
      <c r="R12" s="25">
        <f t="shared" si="3"/>
        <v>708.60023431333411</v>
      </c>
      <c r="S12" s="25">
        <f t="shared" si="4"/>
        <v>41.204844288305281</v>
      </c>
      <c r="T12" s="24">
        <f t="shared" si="5"/>
        <v>0</v>
      </c>
      <c r="U12" s="20">
        <f t="shared" si="0"/>
        <v>2522.1800656763016</v>
      </c>
      <c r="V12" s="3"/>
      <c r="W12" s="6"/>
      <c r="X12" s="2"/>
      <c r="Y12" s="2"/>
      <c r="Z12" s="118" t="s">
        <v>196</v>
      </c>
      <c r="AA12" s="119">
        <f>J9</f>
        <v>7.2499999999999995E-2</v>
      </c>
      <c r="AB12" s="118" t="s">
        <v>130</v>
      </c>
      <c r="AC12" s="2"/>
      <c r="AD12" s="6"/>
      <c r="AE12" s="2"/>
      <c r="AF12" s="2"/>
      <c r="AG12" s="2"/>
      <c r="AH12" s="2"/>
    </row>
    <row r="13" spans="1:34" x14ac:dyDescent="0.25">
      <c r="A13" s="2" t="s">
        <v>50</v>
      </c>
      <c r="B13" s="2">
        <v>24</v>
      </c>
      <c r="C13" s="2" t="s">
        <v>39</v>
      </c>
      <c r="D13" s="2"/>
      <c r="E13" s="17" t="s">
        <v>127</v>
      </c>
      <c r="F13" s="15">
        <v>2.0499999999999998</v>
      </c>
      <c r="G13" s="2" t="s">
        <v>132</v>
      </c>
      <c r="H13" s="18"/>
      <c r="I13" s="17"/>
      <c r="J13" s="6"/>
      <c r="K13" s="2"/>
      <c r="L13" s="18"/>
      <c r="M13" s="2"/>
      <c r="N13" s="12">
        <f t="shared" si="6"/>
        <v>5</v>
      </c>
      <c r="O13" s="12"/>
      <c r="P13" s="24">
        <f t="shared" si="1"/>
        <v>1207.8775386225202</v>
      </c>
      <c r="Q13" s="25">
        <f t="shared" si="2"/>
        <v>484.89962593926344</v>
      </c>
      <c r="R13" s="25">
        <f t="shared" si="3"/>
        <v>674.857366012699</v>
      </c>
      <c r="S13" s="25">
        <f t="shared" si="4"/>
        <v>39.242708846005023</v>
      </c>
      <c r="T13" s="24">
        <f t="shared" si="5"/>
        <v>0</v>
      </c>
      <c r="U13" s="20">
        <f t="shared" si="0"/>
        <v>2406.8772394204875</v>
      </c>
      <c r="V13" s="3"/>
      <c r="W13" s="6"/>
      <c r="X13" s="2"/>
      <c r="Y13" s="2"/>
      <c r="Z13" s="2"/>
      <c r="AA13" s="2"/>
      <c r="AB13" s="2"/>
      <c r="AC13" s="2"/>
      <c r="AD13" s="6"/>
      <c r="AE13" s="2"/>
      <c r="AF13" s="2"/>
      <c r="AG13" s="2"/>
      <c r="AH13" s="2"/>
    </row>
    <row r="14" spans="1:34" x14ac:dyDescent="0.25">
      <c r="A14" s="30" t="s">
        <v>54</v>
      </c>
      <c r="B14" s="2">
        <v>30</v>
      </c>
      <c r="C14" s="2" t="s">
        <v>39</v>
      </c>
      <c r="D14" s="2"/>
      <c r="E14" s="17" t="s">
        <v>133</v>
      </c>
      <c r="F14" s="2">
        <v>1</v>
      </c>
      <c r="G14" s="2" t="s">
        <v>56</v>
      </c>
      <c r="H14" s="18"/>
      <c r="I14" s="1" t="s">
        <v>78</v>
      </c>
      <c r="J14" s="2"/>
      <c r="K14" s="2"/>
      <c r="L14" s="18"/>
      <c r="M14" s="2"/>
      <c r="N14" s="12">
        <f t="shared" si="6"/>
        <v>6</v>
      </c>
      <c r="O14" s="12"/>
      <c r="P14" s="24">
        <f t="shared" si="1"/>
        <v>0</v>
      </c>
      <c r="Q14" s="25">
        <f t="shared" si="2"/>
        <v>466.4272592368153</v>
      </c>
      <c r="R14" s="25">
        <f t="shared" si="3"/>
        <v>642.7213009644754</v>
      </c>
      <c r="S14" s="25">
        <f t="shared" si="4"/>
        <v>37.374008424766693</v>
      </c>
      <c r="T14" s="24">
        <f t="shared" si="5"/>
        <v>0</v>
      </c>
      <c r="U14" s="20">
        <f t="shared" si="0"/>
        <v>1146.5225686260576</v>
      </c>
      <c r="V14" s="3"/>
      <c r="W14" s="6"/>
      <c r="X14" s="2"/>
      <c r="Y14" s="2"/>
      <c r="Z14" s="2"/>
      <c r="AA14" s="2"/>
      <c r="AB14" s="2"/>
      <c r="AC14" s="2"/>
      <c r="AD14" s="6"/>
      <c r="AE14" s="2"/>
      <c r="AF14" s="2"/>
      <c r="AG14" s="2"/>
      <c r="AH14" s="2"/>
    </row>
    <row r="15" spans="1:34" x14ac:dyDescent="0.25">
      <c r="A15" s="2" t="s">
        <v>134</v>
      </c>
      <c r="B15" s="2">
        <v>0</v>
      </c>
      <c r="C15" s="2" t="s">
        <v>39</v>
      </c>
      <c r="D15" s="2"/>
      <c r="E15" s="17" t="s">
        <v>63</v>
      </c>
      <c r="F15" s="2">
        <v>0</v>
      </c>
      <c r="G15" s="2" t="s">
        <v>60</v>
      </c>
      <c r="H15" s="18"/>
      <c r="I15" s="17" t="s">
        <v>84</v>
      </c>
      <c r="J15" s="2">
        <v>5</v>
      </c>
      <c r="K15" s="2" t="s">
        <v>53</v>
      </c>
      <c r="L15" s="18"/>
      <c r="M15" s="2"/>
      <c r="N15" s="12">
        <f t="shared" si="6"/>
        <v>7</v>
      </c>
      <c r="O15" s="12"/>
      <c r="P15" s="24">
        <f t="shared" si="1"/>
        <v>0</v>
      </c>
      <c r="Q15" s="25">
        <f t="shared" si="2"/>
        <v>448.6586017420795</v>
      </c>
      <c r="R15" s="25">
        <f t="shared" si="3"/>
        <v>612.1155247280717</v>
      </c>
      <c r="S15" s="25">
        <f t="shared" si="4"/>
        <v>35.594293737873038</v>
      </c>
      <c r="T15" s="24">
        <f t="shared" si="5"/>
        <v>0</v>
      </c>
      <c r="U15" s="20">
        <f t="shared" si="0"/>
        <v>1096.3684202080242</v>
      </c>
      <c r="V15" s="3"/>
      <c r="W15" s="6"/>
      <c r="X15" s="2"/>
      <c r="Y15" s="2"/>
      <c r="Z15" s="2"/>
      <c r="AA15" s="2"/>
      <c r="AB15" s="2"/>
      <c r="AC15" s="2"/>
      <c r="AD15" s="6"/>
      <c r="AE15" s="2"/>
      <c r="AF15" s="2"/>
      <c r="AG15" s="2"/>
      <c r="AH15" s="2"/>
    </row>
    <row r="16" spans="1:34" x14ac:dyDescent="0.25">
      <c r="A16" s="30" t="s">
        <v>183</v>
      </c>
      <c r="B16" s="2">
        <v>110</v>
      </c>
      <c r="C16" s="2" t="s">
        <v>28</v>
      </c>
      <c r="D16" s="2"/>
      <c r="E16" s="17" t="s">
        <v>65</v>
      </c>
      <c r="F16" s="2">
        <v>236.4</v>
      </c>
      <c r="G16" s="2" t="s">
        <v>60</v>
      </c>
      <c r="H16" s="18"/>
      <c r="I16" s="17" t="s">
        <v>87</v>
      </c>
      <c r="J16" s="2">
        <v>30</v>
      </c>
      <c r="K16" s="2" t="s">
        <v>88</v>
      </c>
      <c r="L16" s="18"/>
      <c r="M16" s="2"/>
      <c r="N16" s="12">
        <f t="shared" si="6"/>
        <v>8</v>
      </c>
      <c r="O16" s="12"/>
      <c r="P16" s="24">
        <f t="shared" si="1"/>
        <v>0</v>
      </c>
      <c r="Q16" s="25">
        <f t="shared" si="2"/>
        <v>431.56684548523828</v>
      </c>
      <c r="R16" s="25">
        <f t="shared" si="3"/>
        <v>582.96716640768739</v>
      </c>
      <c r="S16" s="25">
        <f t="shared" si="4"/>
        <v>33.899327369402897</v>
      </c>
      <c r="T16" s="24">
        <f t="shared" si="5"/>
        <v>0</v>
      </c>
      <c r="U16" s="20">
        <f t="shared" si="0"/>
        <v>1048.4333392623287</v>
      </c>
      <c r="V16" s="3"/>
      <c r="W16" s="6"/>
      <c r="X16" s="2"/>
      <c r="Y16" s="2"/>
      <c r="Z16" s="2"/>
      <c r="AA16" s="2"/>
      <c r="AB16" s="2"/>
      <c r="AC16" s="2"/>
      <c r="AD16" s="6"/>
      <c r="AE16" s="2"/>
      <c r="AF16" s="2"/>
      <c r="AG16" s="2"/>
      <c r="AH16" s="2"/>
    </row>
    <row r="17" spans="1:41" x14ac:dyDescent="0.25">
      <c r="A17" s="30" t="s">
        <v>184</v>
      </c>
      <c r="B17" s="2">
        <v>0</v>
      </c>
      <c r="C17" s="2" t="s">
        <v>39</v>
      </c>
      <c r="D17" s="2"/>
      <c r="E17" s="17" t="s">
        <v>69</v>
      </c>
      <c r="F17" s="6">
        <v>1131.74</v>
      </c>
      <c r="G17" s="2" t="s">
        <v>60</v>
      </c>
      <c r="H17" s="18"/>
      <c r="I17" s="2"/>
      <c r="J17" s="2"/>
      <c r="K17" s="2"/>
      <c r="L17" s="18"/>
      <c r="M17" s="2"/>
      <c r="N17" s="12">
        <f t="shared" si="6"/>
        <v>9</v>
      </c>
      <c r="O17" s="12"/>
      <c r="P17" s="24">
        <f t="shared" si="1"/>
        <v>0</v>
      </c>
      <c r="Q17" s="25">
        <f t="shared" si="2"/>
        <v>415.1262037524674</v>
      </c>
      <c r="R17" s="25">
        <f t="shared" si="3"/>
        <v>555.20682515017847</v>
      </c>
      <c r="S17" s="25">
        <f t="shared" si="4"/>
        <v>32.285073685145612</v>
      </c>
      <c r="T17" s="24">
        <f t="shared" si="5"/>
        <v>0</v>
      </c>
      <c r="U17" s="20">
        <f t="shared" si="0"/>
        <v>1002.6181025877914</v>
      </c>
      <c r="V17" s="3"/>
      <c r="W17" s="6"/>
      <c r="X17" s="2"/>
      <c r="Y17" s="2"/>
      <c r="Z17" s="2"/>
      <c r="AA17" s="2"/>
      <c r="AB17" s="2"/>
      <c r="AC17" s="2"/>
      <c r="AD17" s="6"/>
      <c r="AE17" s="2"/>
      <c r="AF17" s="2"/>
      <c r="AG17" s="2"/>
      <c r="AH17" s="2"/>
    </row>
    <row r="18" spans="1:41" x14ac:dyDescent="0.25">
      <c r="A18" s="30" t="s">
        <v>68</v>
      </c>
      <c r="B18" s="2">
        <v>0</v>
      </c>
      <c r="C18" s="2" t="s">
        <v>39</v>
      </c>
      <c r="D18" s="2"/>
      <c r="E18" s="17" t="s">
        <v>48</v>
      </c>
      <c r="F18" s="7">
        <v>0.14915200000000001</v>
      </c>
      <c r="G18" s="2" t="s">
        <v>153</v>
      </c>
      <c r="H18" s="18"/>
      <c r="I18" s="17"/>
      <c r="J18" s="2"/>
      <c r="K18" s="2"/>
      <c r="L18" s="18"/>
      <c r="M18" s="2"/>
      <c r="N18" s="12">
        <f t="shared" si="6"/>
        <v>10</v>
      </c>
      <c r="O18" s="12"/>
      <c r="P18" s="24">
        <f t="shared" si="1"/>
        <v>0</v>
      </c>
      <c r="Q18" s="25">
        <f t="shared" si="2"/>
        <v>399.31187218094487</v>
      </c>
      <c r="R18" s="25">
        <f t="shared" si="3"/>
        <v>528.7684049049318</v>
      </c>
      <c r="S18" s="25">
        <f t="shared" si="4"/>
        <v>30.747689223948203</v>
      </c>
      <c r="T18" s="24">
        <f t="shared" si="5"/>
        <v>-1778.8657409503862</v>
      </c>
      <c r="U18" s="20">
        <f t="shared" si="0"/>
        <v>-820.03777464056134</v>
      </c>
      <c r="V18" s="3"/>
      <c r="W18" s="6"/>
      <c r="X18" s="2"/>
      <c r="Y18" s="2"/>
      <c r="Z18" s="2"/>
      <c r="AA18" s="2"/>
      <c r="AB18" s="2"/>
      <c r="AC18" s="2"/>
      <c r="AD18" s="6"/>
      <c r="AE18" s="2"/>
      <c r="AF18" s="2"/>
      <c r="AG18" s="2"/>
      <c r="AH18" s="2"/>
    </row>
    <row r="19" spans="1:41" x14ac:dyDescent="0.25">
      <c r="A19" s="30" t="s">
        <v>70</v>
      </c>
      <c r="B19" s="2">
        <v>0</v>
      </c>
      <c r="C19" s="2" t="s">
        <v>39</v>
      </c>
      <c r="D19" s="2"/>
      <c r="E19" s="2" t="s">
        <v>177</v>
      </c>
      <c r="F19" s="60">
        <f>58.3*2</f>
        <v>116.6</v>
      </c>
      <c r="G19" s="2" t="s">
        <v>60</v>
      </c>
      <c r="H19" s="18"/>
      <c r="I19" s="2"/>
      <c r="J19" s="2"/>
      <c r="K19" s="2"/>
      <c r="L19" s="18"/>
      <c r="M19" s="2"/>
      <c r="N19" s="12">
        <f t="shared" si="6"/>
        <v>0</v>
      </c>
      <c r="O19" s="12"/>
      <c r="P19" s="24">
        <f t="shared" si="1"/>
        <v>0</v>
      </c>
      <c r="Q19" s="25">
        <f t="shared" si="2"/>
        <v>0</v>
      </c>
      <c r="R19" s="25">
        <f t="shared" si="3"/>
        <v>0</v>
      </c>
      <c r="S19" s="25">
        <f t="shared" si="4"/>
        <v>0</v>
      </c>
      <c r="T19" s="24">
        <f t="shared" si="5"/>
        <v>0</v>
      </c>
      <c r="U19" s="20">
        <f t="shared" si="0"/>
        <v>0</v>
      </c>
      <c r="V19" s="3"/>
      <c r="W19" s="6"/>
      <c r="X19" s="2"/>
      <c r="Y19" s="2"/>
      <c r="Z19" s="2"/>
      <c r="AA19" s="2"/>
      <c r="AB19" s="2"/>
      <c r="AC19" s="2"/>
      <c r="AD19" s="6"/>
      <c r="AE19" s="2"/>
      <c r="AF19" s="2"/>
      <c r="AG19" s="2"/>
      <c r="AH19" s="2"/>
    </row>
    <row r="20" spans="1:41" x14ac:dyDescent="0.25">
      <c r="A20" s="30" t="s">
        <v>72</v>
      </c>
      <c r="B20" s="2">
        <v>0</v>
      </c>
      <c r="C20" s="2" t="s">
        <v>39</v>
      </c>
      <c r="D20" s="2"/>
      <c r="E20" s="17" t="s">
        <v>77</v>
      </c>
      <c r="F20" s="2">
        <v>5.34</v>
      </c>
      <c r="G20" s="2" t="s">
        <v>62</v>
      </c>
      <c r="H20" s="18"/>
      <c r="I20" s="2"/>
      <c r="J20" s="2"/>
      <c r="K20" s="2"/>
      <c r="L20" s="18"/>
      <c r="M20" s="2"/>
      <c r="N20" s="12">
        <f t="shared" si="6"/>
        <v>0</v>
      </c>
      <c r="O20" s="12"/>
      <c r="P20" s="24">
        <f t="shared" si="1"/>
        <v>0</v>
      </c>
      <c r="Q20" s="25">
        <f t="shared" si="2"/>
        <v>0</v>
      </c>
      <c r="R20" s="25">
        <f t="shared" si="3"/>
        <v>0</v>
      </c>
      <c r="S20" s="25">
        <f t="shared" si="4"/>
        <v>0</v>
      </c>
      <c r="T20" s="24">
        <f t="shared" si="5"/>
        <v>0</v>
      </c>
      <c r="U20" s="20">
        <f t="shared" si="0"/>
        <v>0</v>
      </c>
      <c r="V20" s="3"/>
      <c r="W20" s="6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41" ht="15.75" customHeight="1" x14ac:dyDescent="0.25">
      <c r="A21" s="14" t="s">
        <v>73</v>
      </c>
      <c r="B21" s="2">
        <v>10</v>
      </c>
      <c r="C21" s="2" t="s">
        <v>39</v>
      </c>
      <c r="D21" s="2"/>
      <c r="E21" s="2"/>
      <c r="F21" s="2"/>
      <c r="G21" s="2"/>
      <c r="H21" s="18"/>
      <c r="I21" s="2"/>
      <c r="J21" s="2"/>
      <c r="K21" s="2"/>
      <c r="L21" s="18"/>
      <c r="M21" s="2"/>
      <c r="N21" s="12">
        <f t="shared" si="6"/>
        <v>0</v>
      </c>
      <c r="O21" s="12"/>
      <c r="P21" s="24">
        <f t="shared" si="1"/>
        <v>0</v>
      </c>
      <c r="Q21" s="25">
        <f t="shared" si="2"/>
        <v>0</v>
      </c>
      <c r="R21" s="25">
        <f t="shared" si="3"/>
        <v>0</v>
      </c>
      <c r="S21" s="25">
        <f t="shared" si="4"/>
        <v>0</v>
      </c>
      <c r="T21" s="24">
        <f t="shared" si="5"/>
        <v>0</v>
      </c>
      <c r="U21" s="20">
        <f t="shared" si="0"/>
        <v>0</v>
      </c>
      <c r="V21" s="3"/>
      <c r="W21" s="6"/>
      <c r="X21" s="2"/>
      <c r="Y21" s="2"/>
      <c r="Z21" s="32" t="s">
        <v>127</v>
      </c>
      <c r="AA21" s="33"/>
      <c r="AB21" s="33"/>
      <c r="AC21" s="33"/>
      <c r="AD21" s="2"/>
      <c r="AE21" s="32" t="s">
        <v>27</v>
      </c>
      <c r="AF21" s="33"/>
      <c r="AG21" s="33"/>
      <c r="AH21" s="33"/>
      <c r="AJ21" s="112" t="s">
        <v>187</v>
      </c>
      <c r="AK21" s="112" t="s">
        <v>188</v>
      </c>
      <c r="AL21" s="112" t="s">
        <v>194</v>
      </c>
      <c r="AM21" s="112" t="s">
        <v>191</v>
      </c>
      <c r="AN21" s="112" t="s">
        <v>190</v>
      </c>
      <c r="AO21" s="117" t="str">
        <f>Z51</f>
        <v>Energy Efficiency</v>
      </c>
    </row>
    <row r="22" spans="1:41" ht="15.75" customHeight="1" x14ac:dyDescent="0.25">
      <c r="A22" s="14" t="s">
        <v>76</v>
      </c>
      <c r="B22" s="2">
        <v>8</v>
      </c>
      <c r="C22" s="2" t="s">
        <v>39</v>
      </c>
      <c r="D22" s="2"/>
      <c r="E22" s="2"/>
      <c r="F22" s="2"/>
      <c r="G22" s="2"/>
      <c r="H22" s="18"/>
      <c r="I22" s="2"/>
      <c r="J22" s="2"/>
      <c r="K22" s="2"/>
      <c r="L22" s="18"/>
      <c r="M22" s="2"/>
      <c r="N22" s="12">
        <f t="shared" si="6"/>
        <v>0</v>
      </c>
      <c r="O22" s="12"/>
      <c r="P22" s="24">
        <f t="shared" si="1"/>
        <v>0</v>
      </c>
      <c r="Q22" s="25">
        <f t="shared" si="2"/>
        <v>0</v>
      </c>
      <c r="R22" s="25">
        <f t="shared" si="3"/>
        <v>0</v>
      </c>
      <c r="S22" s="25">
        <f t="shared" si="4"/>
        <v>0</v>
      </c>
      <c r="T22" s="24">
        <f t="shared" si="5"/>
        <v>0</v>
      </c>
      <c r="U22" s="20">
        <f t="shared" si="0"/>
        <v>0</v>
      </c>
      <c r="V22" s="3"/>
      <c r="W22" s="6"/>
      <c r="X22" s="2"/>
      <c r="Y22" s="2"/>
      <c r="Z22" s="33" t="s">
        <v>79</v>
      </c>
      <c r="AA22" s="33" t="s">
        <v>135</v>
      </c>
      <c r="AB22" s="33" t="s">
        <v>23</v>
      </c>
      <c r="AC22" s="33" t="s">
        <v>81</v>
      </c>
      <c r="AD22" s="2"/>
      <c r="AE22" s="33" t="s">
        <v>79</v>
      </c>
      <c r="AF22" s="33" t="s">
        <v>82</v>
      </c>
      <c r="AG22" s="33" t="s">
        <v>23</v>
      </c>
      <c r="AH22" s="33" t="s">
        <v>81</v>
      </c>
      <c r="AJ22" s="113">
        <v>-50</v>
      </c>
      <c r="AK22" s="114">
        <f>AH24</f>
        <v>-23.939155343196916</v>
      </c>
      <c r="AL22" s="114">
        <f>AC24</f>
        <v>-12.380944014264029</v>
      </c>
      <c r="AM22" s="115">
        <f t="shared" ref="AM22:AM32" si="7">AC39</f>
        <v>-11.923445347992876</v>
      </c>
      <c r="AN22" s="115">
        <f t="shared" ref="AN22:AN32" si="8">AH39</f>
        <v>-24.304389362256867</v>
      </c>
      <c r="AO22" s="56">
        <f>AC54</f>
        <v>12.380944014263953</v>
      </c>
    </row>
    <row r="23" spans="1:41" ht="15.75" customHeight="1" x14ac:dyDescent="0.25">
      <c r="A23" s="2" t="s">
        <v>83</v>
      </c>
      <c r="B23" s="5">
        <v>310</v>
      </c>
      <c r="C23" s="2" t="s">
        <v>28</v>
      </c>
      <c r="D23" s="2"/>
      <c r="E23" s="2"/>
      <c r="F23" s="2"/>
      <c r="G23" s="2"/>
      <c r="H23" s="18"/>
      <c r="I23" s="2"/>
      <c r="J23" s="2"/>
      <c r="K23" s="2"/>
      <c r="L23" s="18"/>
      <c r="M23" s="2"/>
      <c r="N23" s="12">
        <f t="shared" si="6"/>
        <v>0</v>
      </c>
      <c r="O23" s="12"/>
      <c r="P23" s="24">
        <f t="shared" si="1"/>
        <v>0</v>
      </c>
      <c r="Q23" s="25">
        <f t="shared" si="2"/>
        <v>0</v>
      </c>
      <c r="R23" s="25">
        <f t="shared" si="3"/>
        <v>0</v>
      </c>
      <c r="S23" s="25">
        <f t="shared" si="4"/>
        <v>0</v>
      </c>
      <c r="T23" s="24">
        <f t="shared" si="5"/>
        <v>0</v>
      </c>
      <c r="U23" s="20">
        <f t="shared" si="0"/>
        <v>0</v>
      </c>
      <c r="V23" s="3"/>
      <c r="W23" s="6"/>
      <c r="X23" s="2"/>
      <c r="Y23" s="2"/>
      <c r="Z23" s="33" t="s">
        <v>86</v>
      </c>
      <c r="AA23" s="35">
        <v>0.43432203389830509</v>
      </c>
      <c r="AB23" s="36">
        <f>U49</f>
        <v>19325.609108332195</v>
      </c>
      <c r="AC23" s="33"/>
      <c r="AD23" s="2"/>
      <c r="AE23" s="33" t="s">
        <v>86</v>
      </c>
      <c r="AF23" s="37">
        <v>8663.9507927829418</v>
      </c>
      <c r="AG23" s="36">
        <f>U49</f>
        <v>19325.609108332195</v>
      </c>
      <c r="AH23" s="33"/>
      <c r="AJ23" s="113">
        <v>-40</v>
      </c>
      <c r="AK23" s="114">
        <f>AH25</f>
        <v>-19.151324274557538</v>
      </c>
      <c r="AL23" s="114">
        <f t="shared" ref="AL23:AL32" si="9">AC25</f>
        <v>-9.9047552114112225</v>
      </c>
      <c r="AM23" s="115">
        <f t="shared" si="7"/>
        <v>-9.5387562783943203</v>
      </c>
      <c r="AN23" s="115">
        <f t="shared" si="8"/>
        <v>-19.443511489805527</v>
      </c>
      <c r="AO23" s="56">
        <f t="shared" ref="AO23:AO32" si="10">AC55</f>
        <v>9.9047552114111479</v>
      </c>
    </row>
    <row r="24" spans="1:41" ht="15.75" customHeight="1" x14ac:dyDescent="0.25">
      <c r="A24" s="2" t="s">
        <v>178</v>
      </c>
      <c r="B24" s="2">
        <v>53</v>
      </c>
      <c r="C24" s="2" t="s">
        <v>28</v>
      </c>
      <c r="D24" s="2"/>
      <c r="E24" s="2"/>
      <c r="F24" s="2"/>
      <c r="G24" s="2"/>
      <c r="H24" s="18"/>
      <c r="I24" s="2"/>
      <c r="J24" s="2"/>
      <c r="K24" s="2"/>
      <c r="L24" s="18"/>
      <c r="M24" s="2"/>
      <c r="N24" s="12">
        <f t="shared" si="6"/>
        <v>0</v>
      </c>
      <c r="O24" s="12"/>
      <c r="P24" s="24">
        <f t="shared" si="1"/>
        <v>0</v>
      </c>
      <c r="Q24" s="25">
        <f t="shared" si="2"/>
        <v>0</v>
      </c>
      <c r="R24" s="25">
        <f t="shared" si="3"/>
        <v>0</v>
      </c>
      <c r="S24" s="25">
        <f t="shared" si="4"/>
        <v>0</v>
      </c>
      <c r="T24" s="24">
        <f t="shared" si="5"/>
        <v>0</v>
      </c>
      <c r="U24" s="20">
        <f t="shared" si="0"/>
        <v>0</v>
      </c>
      <c r="V24" s="3"/>
      <c r="W24" s="6"/>
      <c r="X24" s="2"/>
      <c r="Y24" s="2"/>
      <c r="Z24" s="33">
        <f t="shared" ref="Z24:Z28" si="11">Z25-10</f>
        <v>-50</v>
      </c>
      <c r="AA24" s="35">
        <f t="shared" ref="AA24:AA34" si="12">$AA$23*(1+(Z24/100))</f>
        <v>0.21716101694915255</v>
      </c>
      <c r="AB24" s="36">
        <f t="dataTable" ref="AB24:AB34" dt2D="0" dtr="0" r1="F36"/>
        <v>16932.916264214076</v>
      </c>
      <c r="AC24" s="40">
        <f t="shared" ref="AC24:AC34" si="13">100*((AB24-$AB$29)/$AB$29)</f>
        <v>-12.380944014264029</v>
      </c>
      <c r="AD24" s="2"/>
      <c r="AE24" s="33">
        <f t="shared" ref="AE24:AE28" si="14">AE25-10</f>
        <v>-50</v>
      </c>
      <c r="AF24" s="37">
        <f t="shared" ref="AF24:AF34" si="15">$AF$23*(1+(AE24/100))</f>
        <v>4331.9753963914709</v>
      </c>
      <c r="AG24" s="36">
        <f t="dataTable" ref="AG24:AG34" dt2D="0" dtr="0" r1="B51" ca="1"/>
        <v>14699.221522869539</v>
      </c>
      <c r="AH24" s="40">
        <f t="shared" ref="AH24:AH34" si="16">100*((AG24-$AG$29)/$AG$29)</f>
        <v>-23.939155343196916</v>
      </c>
      <c r="AJ24" s="113">
        <v>-30</v>
      </c>
      <c r="AK24" s="114">
        <f t="shared" ref="AK24:AK32" si="17">AH26</f>
        <v>-14.363493205918177</v>
      </c>
      <c r="AL24" s="114">
        <f t="shared" si="9"/>
        <v>-7.4285664085584555</v>
      </c>
      <c r="AM24" s="115">
        <f t="shared" si="7"/>
        <v>-7.1540672087957446</v>
      </c>
      <c r="AN24" s="115">
        <f t="shared" si="8"/>
        <v>-14.582633617354123</v>
      </c>
      <c r="AO24" s="56">
        <f t="shared" si="10"/>
        <v>7.4285664085583809</v>
      </c>
    </row>
    <row r="25" spans="1:41" ht="15.75" customHeight="1" x14ac:dyDescent="0.25">
      <c r="A25" s="2" t="s">
        <v>179</v>
      </c>
      <c r="B25" s="2">
        <v>74.2</v>
      </c>
      <c r="C25" s="2" t="s">
        <v>28</v>
      </c>
      <c r="D25" s="2"/>
      <c r="E25" s="2"/>
      <c r="F25" s="2"/>
      <c r="G25" s="2"/>
      <c r="H25" s="18"/>
      <c r="I25" s="2"/>
      <c r="J25" s="2"/>
      <c r="K25" s="2"/>
      <c r="L25" s="18"/>
      <c r="M25" s="2"/>
      <c r="N25" s="12">
        <f t="shared" si="6"/>
        <v>0</v>
      </c>
      <c r="O25" s="12"/>
      <c r="P25" s="24">
        <f t="shared" si="1"/>
        <v>0</v>
      </c>
      <c r="Q25" s="25">
        <f t="shared" si="2"/>
        <v>0</v>
      </c>
      <c r="R25" s="25">
        <f t="shared" si="3"/>
        <v>0</v>
      </c>
      <c r="S25" s="25">
        <f t="shared" si="4"/>
        <v>0</v>
      </c>
      <c r="T25" s="24">
        <f t="shared" si="5"/>
        <v>0</v>
      </c>
      <c r="U25" s="20">
        <f t="shared" si="0"/>
        <v>0</v>
      </c>
      <c r="V25" s="3"/>
      <c r="W25" s="6"/>
      <c r="X25" s="2"/>
      <c r="Y25" s="2"/>
      <c r="Z25" s="33">
        <f t="shared" si="11"/>
        <v>-40</v>
      </c>
      <c r="AA25" s="35">
        <f t="shared" si="12"/>
        <v>0.26059322033898302</v>
      </c>
      <c r="AB25" s="36">
        <v>17411.4548330377</v>
      </c>
      <c r="AC25" s="40">
        <f t="shared" si="13"/>
        <v>-9.9047552114112225</v>
      </c>
      <c r="AD25" s="2"/>
      <c r="AE25" s="33">
        <f t="shared" si="14"/>
        <v>-40</v>
      </c>
      <c r="AF25" s="37">
        <f t="shared" si="15"/>
        <v>5198.3704756697653</v>
      </c>
      <c r="AG25" s="36">
        <v>15624.499039962069</v>
      </c>
      <c r="AH25" s="40">
        <f t="shared" si="16"/>
        <v>-19.151324274557538</v>
      </c>
      <c r="AJ25" s="113">
        <v>-20</v>
      </c>
      <c r="AK25" s="114">
        <f t="shared" si="17"/>
        <v>-9.575662137278778</v>
      </c>
      <c r="AL25" s="114">
        <f t="shared" si="9"/>
        <v>-4.9523776057056299</v>
      </c>
      <c r="AM25" s="115">
        <f t="shared" si="7"/>
        <v>-4.7693781391971513</v>
      </c>
      <c r="AN25" s="115">
        <f t="shared" si="8"/>
        <v>-9.7217557449027634</v>
      </c>
      <c r="AO25" s="56">
        <f t="shared" si="10"/>
        <v>4.9523776057055739</v>
      </c>
    </row>
    <row r="26" spans="1:41" ht="15.75" customHeight="1" x14ac:dyDescent="0.25">
      <c r="A26" s="42"/>
      <c r="B26" s="43"/>
      <c r="C26" s="43"/>
      <c r="D26" s="43"/>
      <c r="E26" s="43"/>
      <c r="F26" s="43"/>
      <c r="G26" s="43"/>
      <c r="H26" s="44"/>
      <c r="I26" s="43"/>
      <c r="J26" s="43"/>
      <c r="K26" s="43"/>
      <c r="L26" s="44"/>
      <c r="M26" s="2"/>
      <c r="N26" s="12">
        <f t="shared" si="6"/>
        <v>0</v>
      </c>
      <c r="O26" s="12"/>
      <c r="P26" s="24">
        <f t="shared" si="1"/>
        <v>0</v>
      </c>
      <c r="Q26" s="25">
        <f t="shared" si="2"/>
        <v>0</v>
      </c>
      <c r="R26" s="25">
        <f t="shared" si="3"/>
        <v>0</v>
      </c>
      <c r="S26" s="25">
        <f t="shared" si="4"/>
        <v>0</v>
      </c>
      <c r="T26" s="24">
        <f t="shared" si="5"/>
        <v>0</v>
      </c>
      <c r="U26" s="20">
        <f t="shared" si="0"/>
        <v>0</v>
      </c>
      <c r="V26" s="3"/>
      <c r="W26" s="6"/>
      <c r="X26" s="2"/>
      <c r="Y26" s="2"/>
      <c r="Z26" s="33">
        <f t="shared" si="11"/>
        <v>-30</v>
      </c>
      <c r="AA26" s="35">
        <f t="shared" si="12"/>
        <v>0.30402542372881353</v>
      </c>
      <c r="AB26" s="36">
        <v>17889.993401861317</v>
      </c>
      <c r="AC26" s="40">
        <f t="shared" si="13"/>
        <v>-7.4285664085584555</v>
      </c>
      <c r="AD26" s="2"/>
      <c r="AE26" s="33">
        <f t="shared" si="14"/>
        <v>-30</v>
      </c>
      <c r="AF26" s="37">
        <f t="shared" si="15"/>
        <v>6064.7655549480587</v>
      </c>
      <c r="AG26" s="36">
        <v>16549.776557054596</v>
      </c>
      <c r="AH26" s="40">
        <f t="shared" si="16"/>
        <v>-14.363493205918177</v>
      </c>
      <c r="AJ26" s="113">
        <v>-10</v>
      </c>
      <c r="AK26" s="114">
        <f t="shared" si="17"/>
        <v>-4.7878310686393988</v>
      </c>
      <c r="AL26" s="114">
        <f t="shared" si="9"/>
        <v>-2.4761888028528434</v>
      </c>
      <c r="AM26" s="115">
        <f t="shared" si="7"/>
        <v>-2.3846890695985943</v>
      </c>
      <c r="AN26" s="115">
        <f t="shared" si="8"/>
        <v>-4.8608778724514003</v>
      </c>
      <c r="AO26" s="56">
        <f t="shared" si="10"/>
        <v>2.476188802852787</v>
      </c>
    </row>
    <row r="27" spans="1:4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6"/>
      <c r="K27" s="2"/>
      <c r="L27" s="2"/>
      <c r="M27" s="2"/>
      <c r="N27" s="12">
        <f t="shared" si="6"/>
        <v>0</v>
      </c>
      <c r="O27" s="12"/>
      <c r="P27" s="24">
        <f t="shared" si="1"/>
        <v>0</v>
      </c>
      <c r="Q27" s="25">
        <f t="shared" si="2"/>
        <v>0</v>
      </c>
      <c r="R27" s="25">
        <f t="shared" si="3"/>
        <v>0</v>
      </c>
      <c r="S27" s="25">
        <f t="shared" si="4"/>
        <v>0</v>
      </c>
      <c r="T27" s="24">
        <f t="shared" si="5"/>
        <v>0</v>
      </c>
      <c r="U27" s="20">
        <f t="shared" si="0"/>
        <v>0</v>
      </c>
      <c r="V27" s="3"/>
      <c r="W27" s="6"/>
      <c r="X27" s="2"/>
      <c r="Y27" s="2"/>
      <c r="Z27" s="33">
        <f t="shared" si="11"/>
        <v>-20</v>
      </c>
      <c r="AA27" s="35">
        <f t="shared" si="12"/>
        <v>0.34745762711864409</v>
      </c>
      <c r="AB27" s="36">
        <v>18368.531970684944</v>
      </c>
      <c r="AC27" s="40">
        <f t="shared" si="13"/>
        <v>-4.9523776057056299</v>
      </c>
      <c r="AD27" s="2"/>
      <c r="AE27" s="33">
        <f t="shared" si="14"/>
        <v>-20</v>
      </c>
      <c r="AF27" s="37">
        <f t="shared" si="15"/>
        <v>6931.160634226354</v>
      </c>
      <c r="AG27" s="36">
        <v>17475.05407414713</v>
      </c>
      <c r="AH27" s="40">
        <f t="shared" si="16"/>
        <v>-9.575662137278778</v>
      </c>
      <c r="AJ27" s="113">
        <v>0</v>
      </c>
      <c r="AK27" s="114">
        <f t="shared" si="17"/>
        <v>0</v>
      </c>
      <c r="AL27" s="114">
        <f t="shared" si="9"/>
        <v>0</v>
      </c>
      <c r="AM27" s="115">
        <f t="shared" si="7"/>
        <v>0</v>
      </c>
      <c r="AN27" s="115">
        <f t="shared" si="8"/>
        <v>0</v>
      </c>
      <c r="AO27" s="56">
        <f t="shared" si="10"/>
        <v>0</v>
      </c>
    </row>
    <row r="28" spans="1:41" ht="15.75" customHeight="1" x14ac:dyDescent="0.25">
      <c r="A28" s="1" t="s">
        <v>89</v>
      </c>
      <c r="B28" s="2"/>
      <c r="C28" s="2"/>
      <c r="D28" s="2"/>
      <c r="E28" s="2"/>
      <c r="F28" s="2"/>
      <c r="G28" s="2"/>
      <c r="H28" s="2"/>
      <c r="I28" s="2"/>
      <c r="J28" s="6"/>
      <c r="K28" s="2"/>
      <c r="L28" s="2"/>
      <c r="M28" s="2"/>
      <c r="N28" s="12">
        <f t="shared" si="6"/>
        <v>0</v>
      </c>
      <c r="O28" s="12"/>
      <c r="P28" s="24">
        <f t="shared" si="1"/>
        <v>0</v>
      </c>
      <c r="Q28" s="25">
        <f t="shared" si="2"/>
        <v>0</v>
      </c>
      <c r="R28" s="25">
        <f t="shared" si="3"/>
        <v>0</v>
      </c>
      <c r="S28" s="25">
        <f t="shared" si="4"/>
        <v>0</v>
      </c>
      <c r="T28" s="24">
        <f t="shared" si="5"/>
        <v>0</v>
      </c>
      <c r="U28" s="20">
        <f t="shared" si="0"/>
        <v>0</v>
      </c>
      <c r="V28" s="3"/>
      <c r="W28" s="6"/>
      <c r="X28" s="2"/>
      <c r="Y28" s="2"/>
      <c r="Z28" s="33">
        <f t="shared" si="11"/>
        <v>-10</v>
      </c>
      <c r="AA28" s="35">
        <f t="shared" si="12"/>
        <v>0.39088983050847459</v>
      </c>
      <c r="AB28" s="36">
        <v>18847.070539508564</v>
      </c>
      <c r="AC28" s="40">
        <f t="shared" si="13"/>
        <v>-2.4761888028528434</v>
      </c>
      <c r="AD28" s="2"/>
      <c r="AE28" s="33">
        <f t="shared" si="14"/>
        <v>-10</v>
      </c>
      <c r="AF28" s="37">
        <f t="shared" si="15"/>
        <v>7797.5557135046474</v>
      </c>
      <c r="AG28" s="36">
        <v>18400.331591239661</v>
      </c>
      <c r="AH28" s="40">
        <f t="shared" si="16"/>
        <v>-4.7878310686393988</v>
      </c>
      <c r="AJ28" s="113">
        <v>10</v>
      </c>
      <c r="AK28" s="114">
        <f t="shared" si="17"/>
        <v>4.7878310686393606</v>
      </c>
      <c r="AL28" s="114">
        <f t="shared" si="9"/>
        <v>2.476188802852787</v>
      </c>
      <c r="AM28" s="115">
        <f t="shared" si="7"/>
        <v>2.3846890695985188</v>
      </c>
      <c r="AN28" s="115">
        <f t="shared" si="8"/>
        <v>4.8608778724513435</v>
      </c>
      <c r="AO28" s="56">
        <f t="shared" si="10"/>
        <v>-2.4761888028528434</v>
      </c>
    </row>
    <row r="29" spans="1:4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6"/>
      <c r="K29" s="2"/>
      <c r="L29" s="2"/>
      <c r="M29" s="2"/>
      <c r="N29" s="12">
        <f t="shared" si="6"/>
        <v>0</v>
      </c>
      <c r="O29" s="12"/>
      <c r="P29" s="24">
        <f t="shared" si="1"/>
        <v>0</v>
      </c>
      <c r="Q29" s="25">
        <f t="shared" si="2"/>
        <v>0</v>
      </c>
      <c r="R29" s="25">
        <f t="shared" si="3"/>
        <v>0</v>
      </c>
      <c r="S29" s="25">
        <f t="shared" si="4"/>
        <v>0</v>
      </c>
      <c r="T29" s="24">
        <f t="shared" si="5"/>
        <v>0</v>
      </c>
      <c r="U29" s="20">
        <f t="shared" si="0"/>
        <v>0</v>
      </c>
      <c r="V29" s="3"/>
      <c r="W29" s="6"/>
      <c r="X29" s="2"/>
      <c r="Y29" s="2"/>
      <c r="Z29" s="45">
        <v>0</v>
      </c>
      <c r="AA29" s="61">
        <f t="shared" si="12"/>
        <v>0.43432203389830509</v>
      </c>
      <c r="AB29" s="46">
        <v>19325.609108332195</v>
      </c>
      <c r="AC29" s="62">
        <f t="shared" si="13"/>
        <v>0</v>
      </c>
      <c r="AD29" s="2"/>
      <c r="AE29" s="45">
        <v>0</v>
      </c>
      <c r="AF29" s="49">
        <f t="shared" si="15"/>
        <v>8663.9507927829418</v>
      </c>
      <c r="AG29" s="46">
        <v>19325.609108332195</v>
      </c>
      <c r="AH29" s="62">
        <f t="shared" si="16"/>
        <v>0</v>
      </c>
      <c r="AJ29" s="113">
        <v>20</v>
      </c>
      <c r="AK29" s="114">
        <f t="shared" si="17"/>
        <v>9.5756621372787407</v>
      </c>
      <c r="AL29" s="114">
        <f t="shared" si="9"/>
        <v>4.9523776057055739</v>
      </c>
      <c r="AM29" s="115">
        <f t="shared" si="7"/>
        <v>4.7693781391970935</v>
      </c>
      <c r="AN29" s="115">
        <f t="shared" si="8"/>
        <v>9.7217557449027066</v>
      </c>
      <c r="AO29" s="56">
        <f t="shared" si="10"/>
        <v>-4.9523776057056299</v>
      </c>
    </row>
    <row r="30" spans="1:41" ht="15.75" customHeight="1" x14ac:dyDescent="0.25">
      <c r="A30" s="8" t="s">
        <v>90</v>
      </c>
      <c r="B30" s="9"/>
      <c r="C30" s="9"/>
      <c r="D30" s="9"/>
      <c r="E30" s="11" t="s">
        <v>91</v>
      </c>
      <c r="F30" s="9"/>
      <c r="G30" s="9"/>
      <c r="H30" s="9"/>
      <c r="I30" s="11" t="s">
        <v>100</v>
      </c>
      <c r="J30" s="63">
        <f>SUM(J31:J34)</f>
        <v>861.30801355932203</v>
      </c>
      <c r="K30" s="11" t="s">
        <v>49</v>
      </c>
      <c r="L30" s="10"/>
      <c r="M30" s="2"/>
      <c r="N30" s="12">
        <f t="shared" si="6"/>
        <v>0</v>
      </c>
      <c r="O30" s="12"/>
      <c r="P30" s="24">
        <f t="shared" si="1"/>
        <v>0</v>
      </c>
      <c r="Q30" s="25">
        <f t="shared" si="2"/>
        <v>0</v>
      </c>
      <c r="R30" s="25">
        <f t="shared" si="3"/>
        <v>0</v>
      </c>
      <c r="S30" s="25">
        <f t="shared" si="4"/>
        <v>0</v>
      </c>
      <c r="T30" s="24">
        <f t="shared" si="5"/>
        <v>0</v>
      </c>
      <c r="U30" s="20">
        <f t="shared" si="0"/>
        <v>0</v>
      </c>
      <c r="V30" s="3"/>
      <c r="W30" s="6"/>
      <c r="X30" s="2"/>
      <c r="Y30" s="2"/>
      <c r="Z30" s="33">
        <f t="shared" ref="Z30:Z34" si="18">Z29+10</f>
        <v>10</v>
      </c>
      <c r="AA30" s="35">
        <f t="shared" si="12"/>
        <v>0.47775423728813565</v>
      </c>
      <c r="AB30" s="36">
        <v>19804.147677155815</v>
      </c>
      <c r="AC30" s="40">
        <f t="shared" si="13"/>
        <v>2.476188802852787</v>
      </c>
      <c r="AD30" s="2"/>
      <c r="AE30" s="33">
        <f t="shared" ref="AE30:AE34" si="19">AE29+10</f>
        <v>10</v>
      </c>
      <c r="AF30" s="37">
        <f t="shared" si="15"/>
        <v>9530.3458720612362</v>
      </c>
      <c r="AG30" s="36">
        <v>20250.886625424722</v>
      </c>
      <c r="AH30" s="40">
        <f t="shared" si="16"/>
        <v>4.7878310686393606</v>
      </c>
      <c r="AJ30" s="113">
        <v>30</v>
      </c>
      <c r="AK30" s="114">
        <f t="shared" si="17"/>
        <v>14.363493205918122</v>
      </c>
      <c r="AL30" s="114">
        <f t="shared" si="9"/>
        <v>7.4285664085583809</v>
      </c>
      <c r="AM30" s="115">
        <f t="shared" si="7"/>
        <v>7.15406720879567</v>
      </c>
      <c r="AN30" s="115">
        <f t="shared" si="8"/>
        <v>14.582633617354107</v>
      </c>
      <c r="AO30" s="56">
        <f t="shared" si="10"/>
        <v>-7.4285664085584555</v>
      </c>
    </row>
    <row r="31" spans="1:41" ht="15.75" customHeight="1" x14ac:dyDescent="0.25">
      <c r="A31" s="30" t="s">
        <v>131</v>
      </c>
      <c r="B31" s="6">
        <f>IF(B11=0,0,-B11/$B$8)</f>
        <v>0</v>
      </c>
      <c r="C31" s="2" t="s">
        <v>3</v>
      </c>
      <c r="D31" s="2"/>
      <c r="E31" s="17" t="s">
        <v>93</v>
      </c>
      <c r="F31" s="50">
        <f>(J16/100)*B53</f>
        <v>2607.2699835975941</v>
      </c>
      <c r="G31" s="2" t="s">
        <v>3</v>
      </c>
      <c r="H31" s="2"/>
      <c r="I31" s="2" t="s">
        <v>177</v>
      </c>
      <c r="J31" s="15">
        <f>F19/$B$8</f>
        <v>24.703389830508474</v>
      </c>
      <c r="K31" s="2" t="s">
        <v>49</v>
      </c>
      <c r="L31" s="18"/>
      <c r="M31" s="2"/>
      <c r="N31" s="12">
        <f t="shared" si="6"/>
        <v>0</v>
      </c>
      <c r="O31" s="12"/>
      <c r="P31" s="24">
        <f t="shared" si="1"/>
        <v>0</v>
      </c>
      <c r="Q31" s="25">
        <f t="shared" si="2"/>
        <v>0</v>
      </c>
      <c r="R31" s="25">
        <f t="shared" si="3"/>
        <v>0</v>
      </c>
      <c r="S31" s="25">
        <f t="shared" si="4"/>
        <v>0</v>
      </c>
      <c r="T31" s="24">
        <f t="shared" si="5"/>
        <v>0</v>
      </c>
      <c r="U31" s="20">
        <f t="shared" si="0"/>
        <v>0</v>
      </c>
      <c r="V31" s="3"/>
      <c r="W31" s="6"/>
      <c r="X31" s="2"/>
      <c r="Y31" s="2"/>
      <c r="Z31" s="33">
        <f t="shared" si="18"/>
        <v>20</v>
      </c>
      <c r="AA31" s="35">
        <f t="shared" si="12"/>
        <v>0.52118644067796605</v>
      </c>
      <c r="AB31" s="36">
        <v>20282.686245979436</v>
      </c>
      <c r="AC31" s="40">
        <f t="shared" si="13"/>
        <v>4.9523776057055739</v>
      </c>
      <c r="AD31" s="2"/>
      <c r="AE31" s="33">
        <f t="shared" si="19"/>
        <v>20</v>
      </c>
      <c r="AF31" s="37">
        <f t="shared" si="15"/>
        <v>10396.740951339531</v>
      </c>
      <c r="AG31" s="36">
        <v>21176.164142517253</v>
      </c>
      <c r="AH31" s="40">
        <f t="shared" si="16"/>
        <v>9.5756621372787407</v>
      </c>
      <c r="AJ31" s="113">
        <v>40</v>
      </c>
      <c r="AK31" s="114">
        <f t="shared" si="17"/>
        <v>19.151324274557499</v>
      </c>
      <c r="AL31" s="114">
        <f t="shared" si="9"/>
        <v>9.9047552114111284</v>
      </c>
      <c r="AM31" s="115">
        <f t="shared" si="7"/>
        <v>9.5387562783942066</v>
      </c>
      <c r="AN31" s="115">
        <f t="shared" si="8"/>
        <v>19.443511489805449</v>
      </c>
      <c r="AO31" s="56">
        <f t="shared" si="10"/>
        <v>-9.9047552114112225</v>
      </c>
    </row>
    <row r="32" spans="1:41" ht="15.75" customHeight="1" x14ac:dyDescent="0.25">
      <c r="A32" s="30" t="s">
        <v>44</v>
      </c>
      <c r="B32" s="6">
        <f>IF(B12=0,0,-B12/B9)</f>
        <v>0</v>
      </c>
      <c r="C32" s="2" t="s">
        <v>3</v>
      </c>
      <c r="D32" s="2"/>
      <c r="E32" s="17" t="s">
        <v>95</v>
      </c>
      <c r="F32" s="6">
        <f>B53-F31</f>
        <v>6083.62996172772</v>
      </c>
      <c r="G32" s="2" t="s">
        <v>3</v>
      </c>
      <c r="H32" s="2"/>
      <c r="I32" s="17" t="s">
        <v>69</v>
      </c>
      <c r="J32" s="15">
        <f>F17/$B$8</f>
        <v>239.77542372881356</v>
      </c>
      <c r="K32" s="2" t="s">
        <v>49</v>
      </c>
      <c r="L32" s="18"/>
      <c r="M32" s="2"/>
      <c r="N32" s="12">
        <f t="shared" si="6"/>
        <v>0</v>
      </c>
      <c r="O32" s="12"/>
      <c r="P32" s="24">
        <f t="shared" si="1"/>
        <v>0</v>
      </c>
      <c r="Q32" s="25">
        <f t="shared" si="2"/>
        <v>0</v>
      </c>
      <c r="R32" s="25">
        <f t="shared" si="3"/>
        <v>0</v>
      </c>
      <c r="S32" s="25">
        <f t="shared" si="4"/>
        <v>0</v>
      </c>
      <c r="T32" s="24">
        <f t="shared" si="5"/>
        <v>0</v>
      </c>
      <c r="U32" s="20">
        <f t="shared" si="0"/>
        <v>0</v>
      </c>
      <c r="V32" s="3"/>
      <c r="W32" s="6"/>
      <c r="X32" s="2"/>
      <c r="Y32" s="2"/>
      <c r="Z32" s="33">
        <f t="shared" si="18"/>
        <v>30</v>
      </c>
      <c r="AA32" s="35">
        <f t="shared" si="12"/>
        <v>0.5646186440677966</v>
      </c>
      <c r="AB32" s="36">
        <v>20761.224814803059</v>
      </c>
      <c r="AC32" s="40">
        <f t="shared" si="13"/>
        <v>7.4285664085583809</v>
      </c>
      <c r="AD32" s="2"/>
      <c r="AE32" s="33">
        <f t="shared" si="19"/>
        <v>30</v>
      </c>
      <c r="AF32" s="37">
        <f t="shared" si="15"/>
        <v>11263.136030617825</v>
      </c>
      <c r="AG32" s="36">
        <v>22101.441659609784</v>
      </c>
      <c r="AH32" s="40">
        <f t="shared" si="16"/>
        <v>14.363493205918122</v>
      </c>
      <c r="AJ32" s="113">
        <v>50</v>
      </c>
      <c r="AK32" s="114">
        <f t="shared" si="17"/>
        <v>23.939155343196898</v>
      </c>
      <c r="AL32" s="114">
        <f t="shared" si="9"/>
        <v>12.380944014263953</v>
      </c>
      <c r="AM32" s="115">
        <f t="shared" si="7"/>
        <v>11.923445347992802</v>
      </c>
      <c r="AN32" s="115">
        <f t="shared" si="8"/>
        <v>24.304389362256774</v>
      </c>
      <c r="AO32" s="56">
        <f t="shared" si="10"/>
        <v>-12.380944014264029</v>
      </c>
    </row>
    <row r="33" spans="1:34" ht="15.75" customHeight="1" x14ac:dyDescent="0.25">
      <c r="A33" s="2" t="s">
        <v>50</v>
      </c>
      <c r="B33" s="6">
        <f>IF(B13=0,0,(B13/100)*B48)</f>
        <v>1449.2903225806451</v>
      </c>
      <c r="C33" s="2" t="s">
        <v>3</v>
      </c>
      <c r="D33" s="2"/>
      <c r="E33" s="17" t="s">
        <v>96</v>
      </c>
      <c r="F33" s="50">
        <f>F32*(F20/100)*J15</f>
        <v>1624.3291997813012</v>
      </c>
      <c r="G33" s="2" t="s">
        <v>3</v>
      </c>
      <c r="H33" s="2"/>
      <c r="I33" s="17" t="s">
        <v>63</v>
      </c>
      <c r="J33" s="15">
        <f>F15/$B$8</f>
        <v>0</v>
      </c>
      <c r="K33" s="2" t="s">
        <v>49</v>
      </c>
      <c r="L33" s="18"/>
      <c r="M33" s="2"/>
      <c r="N33" s="12">
        <f t="shared" si="6"/>
        <v>0</v>
      </c>
      <c r="O33" s="12"/>
      <c r="P33" s="24">
        <f t="shared" si="1"/>
        <v>0</v>
      </c>
      <c r="Q33" s="25">
        <f t="shared" si="2"/>
        <v>0</v>
      </c>
      <c r="R33" s="25">
        <f t="shared" si="3"/>
        <v>0</v>
      </c>
      <c r="S33" s="25">
        <f t="shared" si="4"/>
        <v>0</v>
      </c>
      <c r="T33" s="24">
        <f t="shared" si="5"/>
        <v>0</v>
      </c>
      <c r="U33" s="20">
        <f t="shared" si="0"/>
        <v>0</v>
      </c>
      <c r="V33" s="3"/>
      <c r="W33" s="6"/>
      <c r="X33" s="2"/>
      <c r="Y33" s="2"/>
      <c r="Z33" s="33">
        <f t="shared" si="18"/>
        <v>40</v>
      </c>
      <c r="AA33" s="35">
        <f t="shared" si="12"/>
        <v>0.60805084745762705</v>
      </c>
      <c r="AB33" s="36">
        <v>21239.763383626672</v>
      </c>
      <c r="AC33" s="40">
        <f t="shared" si="13"/>
        <v>9.9047552114111284</v>
      </c>
      <c r="AD33" s="2"/>
      <c r="AE33" s="33">
        <f t="shared" si="19"/>
        <v>40</v>
      </c>
      <c r="AF33" s="37">
        <f t="shared" si="15"/>
        <v>12129.531109896117</v>
      </c>
      <c r="AG33" s="36">
        <v>23026.719176702314</v>
      </c>
      <c r="AH33" s="40">
        <f t="shared" si="16"/>
        <v>19.151324274557499</v>
      </c>
    </row>
    <row r="34" spans="1:34" ht="15.75" customHeight="1" x14ac:dyDescent="0.25">
      <c r="A34" s="30" t="s">
        <v>183</v>
      </c>
      <c r="B34" s="6">
        <f>IF(B16=0,0,B16/$B$8)</f>
        <v>23.305084745762713</v>
      </c>
      <c r="C34" s="2" t="s">
        <v>3</v>
      </c>
      <c r="D34" s="2"/>
      <c r="E34" s="2"/>
      <c r="F34" s="7"/>
      <c r="G34" s="2"/>
      <c r="H34" s="2"/>
      <c r="I34" s="17" t="s">
        <v>48</v>
      </c>
      <c r="J34" s="23">
        <f>F18*F12/$B$8</f>
        <v>596.82920000000001</v>
      </c>
      <c r="K34" s="2" t="s">
        <v>49</v>
      </c>
      <c r="L34" s="18"/>
      <c r="M34" s="2"/>
      <c r="N34" s="12">
        <f t="shared" si="6"/>
        <v>0</v>
      </c>
      <c r="O34" s="12"/>
      <c r="P34" s="24">
        <f t="shared" si="1"/>
        <v>0</v>
      </c>
      <c r="Q34" s="25">
        <f t="shared" si="2"/>
        <v>0</v>
      </c>
      <c r="R34" s="25">
        <f t="shared" si="3"/>
        <v>0</v>
      </c>
      <c r="S34" s="25">
        <f t="shared" si="4"/>
        <v>0</v>
      </c>
      <c r="T34" s="24">
        <f t="shared" si="5"/>
        <v>0</v>
      </c>
      <c r="U34" s="20">
        <f t="shared" si="0"/>
        <v>0</v>
      </c>
      <c r="V34" s="3"/>
      <c r="W34" s="6"/>
      <c r="X34" s="2"/>
      <c r="Y34" s="2"/>
      <c r="Z34" s="33">
        <f t="shared" si="18"/>
        <v>50</v>
      </c>
      <c r="AA34" s="35">
        <f t="shared" si="12"/>
        <v>0.65148305084745761</v>
      </c>
      <c r="AB34" s="36">
        <v>21718.3019524503</v>
      </c>
      <c r="AC34" s="40">
        <f t="shared" si="13"/>
        <v>12.380944014263953</v>
      </c>
      <c r="AD34" s="2"/>
      <c r="AE34" s="33">
        <f t="shared" si="19"/>
        <v>50</v>
      </c>
      <c r="AF34" s="37">
        <f t="shared" si="15"/>
        <v>12995.926189174414</v>
      </c>
      <c r="AG34" s="36">
        <v>23951.996693794848</v>
      </c>
      <c r="AH34" s="40">
        <f t="shared" si="16"/>
        <v>23.939155343196898</v>
      </c>
    </row>
    <row r="35" spans="1:34" ht="15.75" customHeight="1" x14ac:dyDescent="0.25">
      <c r="A35" s="30" t="s">
        <v>184</v>
      </c>
      <c r="B35" s="6">
        <f t="shared" ref="B35:B40" si="20">IF(B17=0,0,(B17/100)*$B$48)</f>
        <v>0</v>
      </c>
      <c r="C35" s="2" t="s">
        <v>3</v>
      </c>
      <c r="D35" s="2"/>
      <c r="E35" s="1" t="s">
        <v>99</v>
      </c>
      <c r="F35" s="2"/>
      <c r="G35" s="2"/>
      <c r="H35" s="2"/>
      <c r="I35" s="2"/>
      <c r="J35" s="7"/>
      <c r="K35" s="2"/>
      <c r="L35" s="18"/>
      <c r="M35" s="2"/>
      <c r="N35" s="12">
        <f t="shared" si="6"/>
        <v>0</v>
      </c>
      <c r="O35" s="12"/>
      <c r="P35" s="24">
        <f t="shared" si="1"/>
        <v>0</v>
      </c>
      <c r="Q35" s="25">
        <f t="shared" si="2"/>
        <v>0</v>
      </c>
      <c r="R35" s="25">
        <f t="shared" si="3"/>
        <v>0</v>
      </c>
      <c r="S35" s="25">
        <f t="shared" si="4"/>
        <v>0</v>
      </c>
      <c r="T35" s="24">
        <f t="shared" si="5"/>
        <v>0</v>
      </c>
      <c r="U35" s="20">
        <f t="shared" si="0"/>
        <v>0</v>
      </c>
      <c r="V35" s="3"/>
      <c r="W35" s="6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ht="15.75" customHeight="1" x14ac:dyDescent="0.25">
      <c r="A36" s="30" t="s">
        <v>68</v>
      </c>
      <c r="B36" s="6">
        <f t="shared" si="20"/>
        <v>0</v>
      </c>
      <c r="C36" s="2" t="s">
        <v>3</v>
      </c>
      <c r="D36" s="2"/>
      <c r="E36" s="17" t="s">
        <v>175</v>
      </c>
      <c r="F36" s="64">
        <f>F13/$B$8</f>
        <v>0.43432203389830509</v>
      </c>
      <c r="G36" s="2" t="s">
        <v>128</v>
      </c>
      <c r="H36" s="2"/>
      <c r="I36" s="17"/>
      <c r="J36" s="23"/>
      <c r="K36" s="2"/>
      <c r="L36" s="18"/>
      <c r="M36" s="2"/>
      <c r="N36" s="12">
        <f t="shared" si="6"/>
        <v>0</v>
      </c>
      <c r="O36" s="12"/>
      <c r="P36" s="24">
        <f t="shared" si="1"/>
        <v>0</v>
      </c>
      <c r="Q36" s="25">
        <f t="shared" si="2"/>
        <v>0</v>
      </c>
      <c r="R36" s="25">
        <f t="shared" si="3"/>
        <v>0</v>
      </c>
      <c r="S36" s="25">
        <f t="shared" si="4"/>
        <v>0</v>
      </c>
      <c r="T36" s="24">
        <f t="shared" si="5"/>
        <v>0</v>
      </c>
      <c r="U36" s="20">
        <f t="shared" si="0"/>
        <v>0</v>
      </c>
      <c r="V36" s="3"/>
      <c r="W36" s="6"/>
      <c r="X36" s="2"/>
      <c r="Y36" s="2"/>
      <c r="Z36" s="32" t="s">
        <v>48</v>
      </c>
      <c r="AA36" s="33"/>
      <c r="AB36" s="33"/>
      <c r="AC36" s="33"/>
      <c r="AD36" s="2"/>
      <c r="AE36" s="32" t="s">
        <v>101</v>
      </c>
      <c r="AF36" s="33"/>
      <c r="AG36" s="33"/>
      <c r="AH36" s="33"/>
    </row>
    <row r="37" spans="1:34" ht="15.75" customHeight="1" x14ac:dyDescent="0.25">
      <c r="A37" s="30" t="s">
        <v>70</v>
      </c>
      <c r="B37" s="6">
        <f t="shared" si="20"/>
        <v>0</v>
      </c>
      <c r="C37" s="2" t="s">
        <v>3</v>
      </c>
      <c r="D37" s="2"/>
      <c r="E37" s="17" t="s">
        <v>176</v>
      </c>
      <c r="F37" s="65">
        <f>F36*J9</f>
        <v>3.1488347457627117E-2</v>
      </c>
      <c r="G37" s="2" t="s">
        <v>4</v>
      </c>
      <c r="H37" s="2"/>
      <c r="I37" s="2"/>
      <c r="J37" s="2"/>
      <c r="K37" s="2"/>
      <c r="L37" s="18"/>
      <c r="M37" s="2"/>
      <c r="N37" s="12">
        <f t="shared" si="6"/>
        <v>0</v>
      </c>
      <c r="O37" s="12"/>
      <c r="P37" s="24">
        <f t="shared" si="1"/>
        <v>0</v>
      </c>
      <c r="Q37" s="25">
        <f t="shared" si="2"/>
        <v>0</v>
      </c>
      <c r="R37" s="25">
        <f t="shared" si="3"/>
        <v>0</v>
      </c>
      <c r="S37" s="25">
        <f t="shared" si="4"/>
        <v>0</v>
      </c>
      <c r="T37" s="24">
        <f t="shared" si="5"/>
        <v>0</v>
      </c>
      <c r="U37" s="20">
        <f t="shared" si="0"/>
        <v>0</v>
      </c>
      <c r="V37" s="3"/>
      <c r="W37" s="6"/>
      <c r="X37" s="2"/>
      <c r="Y37" s="2"/>
      <c r="Z37" s="33" t="s">
        <v>79</v>
      </c>
      <c r="AA37" s="33" t="s">
        <v>117</v>
      </c>
      <c r="AB37" s="33" t="s">
        <v>23</v>
      </c>
      <c r="AC37" s="33" t="s">
        <v>81</v>
      </c>
      <c r="AD37" s="2"/>
      <c r="AE37" s="33" t="s">
        <v>79</v>
      </c>
      <c r="AF37" s="33" t="s">
        <v>104</v>
      </c>
      <c r="AG37" s="33" t="s">
        <v>23</v>
      </c>
      <c r="AH37" s="33" t="s">
        <v>81</v>
      </c>
    </row>
    <row r="38" spans="1:34" ht="15.75" customHeight="1" x14ac:dyDescent="0.25">
      <c r="A38" s="30" t="s">
        <v>72</v>
      </c>
      <c r="B38" s="6">
        <f t="shared" si="20"/>
        <v>0</v>
      </c>
      <c r="C38" s="2" t="s">
        <v>3</v>
      </c>
      <c r="D38" s="2"/>
      <c r="E38" s="17" t="s">
        <v>136</v>
      </c>
      <c r="F38" s="7">
        <f>F37*F12</f>
        <v>594.72041843220336</v>
      </c>
      <c r="G38" s="2" t="s">
        <v>49</v>
      </c>
      <c r="H38" s="2"/>
      <c r="I38" s="2"/>
      <c r="J38" s="2"/>
      <c r="K38" s="2"/>
      <c r="L38" s="18"/>
      <c r="M38" s="2"/>
      <c r="N38" s="12">
        <f t="shared" si="6"/>
        <v>0</v>
      </c>
      <c r="O38" s="12"/>
      <c r="P38" s="24">
        <f t="shared" si="1"/>
        <v>0</v>
      </c>
      <c r="Q38" s="25">
        <f t="shared" si="2"/>
        <v>0</v>
      </c>
      <c r="R38" s="25">
        <f t="shared" si="3"/>
        <v>0</v>
      </c>
      <c r="S38" s="25">
        <f t="shared" si="4"/>
        <v>0</v>
      </c>
      <c r="T38" s="24">
        <f t="shared" si="5"/>
        <v>0</v>
      </c>
      <c r="U38" s="20">
        <f t="shared" si="0"/>
        <v>0</v>
      </c>
      <c r="V38" s="3"/>
      <c r="W38" s="6"/>
      <c r="X38" s="2"/>
      <c r="Y38" s="2"/>
      <c r="Z38" s="33" t="s">
        <v>86</v>
      </c>
      <c r="AA38" s="35">
        <v>596.82920000000001</v>
      </c>
      <c r="AB38" s="36">
        <f>U49</f>
        <v>19325.609108332195</v>
      </c>
      <c r="AC38" s="33"/>
      <c r="AD38" s="2"/>
      <c r="AE38" s="33" t="s">
        <v>86</v>
      </c>
      <c r="AF38" s="37">
        <v>18887</v>
      </c>
      <c r="AG38" s="36">
        <f>U49</f>
        <v>19325.609108332195</v>
      </c>
      <c r="AH38" s="33"/>
    </row>
    <row r="39" spans="1:34" ht="15.75" customHeight="1" x14ac:dyDescent="0.25">
      <c r="A39" s="14" t="s">
        <v>73</v>
      </c>
      <c r="B39" s="6">
        <f t="shared" si="20"/>
        <v>603.87096774193549</v>
      </c>
      <c r="C39" s="2" t="s">
        <v>3</v>
      </c>
      <c r="D39" s="2"/>
      <c r="E39" s="2"/>
      <c r="F39" s="2"/>
      <c r="G39" s="2"/>
      <c r="H39" s="2"/>
      <c r="I39" s="2"/>
      <c r="J39" s="2"/>
      <c r="K39" s="2"/>
      <c r="L39" s="18"/>
      <c r="M39" s="2"/>
      <c r="N39" s="12">
        <f t="shared" si="6"/>
        <v>0</v>
      </c>
      <c r="O39" s="12"/>
      <c r="P39" s="24">
        <f t="shared" si="1"/>
        <v>0</v>
      </c>
      <c r="Q39" s="25">
        <f t="shared" si="2"/>
        <v>0</v>
      </c>
      <c r="R39" s="25">
        <f t="shared" si="3"/>
        <v>0</v>
      </c>
      <c r="S39" s="25">
        <f t="shared" si="4"/>
        <v>0</v>
      </c>
      <c r="T39" s="24">
        <f t="shared" si="5"/>
        <v>0</v>
      </c>
      <c r="U39" s="20">
        <f t="shared" si="0"/>
        <v>0</v>
      </c>
      <c r="V39" s="3"/>
      <c r="W39" s="6"/>
      <c r="X39" s="2"/>
      <c r="Y39" s="2"/>
      <c r="Z39" s="33">
        <f t="shared" ref="Z39:Z43" si="21">Z40-10</f>
        <v>-50</v>
      </c>
      <c r="AA39" s="35">
        <f t="shared" ref="AA39:AA49" si="22">$AA$38*(1+(Z39/100))</f>
        <v>298.41460000000001</v>
      </c>
      <c r="AB39" s="36">
        <f t="dataTable" ref="AB39:AB49" dt2D="0" dtr="0" r1="J34" ca="1"/>
        <v>17021.330668133472</v>
      </c>
      <c r="AC39" s="40">
        <f t="shared" ref="AC39:AC49" si="23">100*((AB39-$AB$44)/$AB$44)</f>
        <v>-11.923445347992876</v>
      </c>
      <c r="AD39" s="2"/>
      <c r="AE39" s="33">
        <f t="shared" ref="AE39:AE43" si="24">AE40-10</f>
        <v>-50</v>
      </c>
      <c r="AF39" s="37">
        <f t="shared" ref="AF39:AF49" si="25">$AF$38*(1+(AE39/100))</f>
        <v>9443.5</v>
      </c>
      <c r="AG39" s="36">
        <f t="dataTable" ref="AG39:AG49" dt2D="0" dtr="0" r1="F12" ca="1"/>
        <v>14628.637824015361</v>
      </c>
      <c r="AH39" s="40">
        <f t="shared" ref="AH39:AH49" si="26">100*((AG39-$AG$44)/$AG$44)</f>
        <v>-24.304389362256867</v>
      </c>
    </row>
    <row r="40" spans="1:34" ht="15.75" customHeight="1" x14ac:dyDescent="0.25">
      <c r="A40" s="14" t="s">
        <v>76</v>
      </c>
      <c r="B40" s="6">
        <f t="shared" si="20"/>
        <v>483.09677419354841</v>
      </c>
      <c r="C40" s="2" t="s">
        <v>3</v>
      </c>
      <c r="D40" s="2"/>
      <c r="E40" s="17" t="s">
        <v>97</v>
      </c>
      <c r="F40" s="6">
        <f>F12*B5</f>
        <v>188870</v>
      </c>
      <c r="G40" s="2" t="s">
        <v>98</v>
      </c>
      <c r="H40" s="2"/>
      <c r="I40" s="2"/>
      <c r="J40" s="2"/>
      <c r="K40" s="2"/>
      <c r="L40" s="18"/>
      <c r="M40" s="2"/>
      <c r="N40" s="12">
        <f t="shared" si="6"/>
        <v>0</v>
      </c>
      <c r="O40" s="12"/>
      <c r="P40" s="24">
        <f t="shared" si="1"/>
        <v>0</v>
      </c>
      <c r="Q40" s="25">
        <f t="shared" si="2"/>
        <v>0</v>
      </c>
      <c r="R40" s="25">
        <f t="shared" si="3"/>
        <v>0</v>
      </c>
      <c r="S40" s="25">
        <f t="shared" si="4"/>
        <v>0</v>
      </c>
      <c r="T40" s="24">
        <f t="shared" si="5"/>
        <v>0</v>
      </c>
      <c r="U40" s="20">
        <f t="shared" si="0"/>
        <v>0</v>
      </c>
      <c r="V40" s="3"/>
      <c r="W40" s="6"/>
      <c r="X40" s="2"/>
      <c r="Y40" s="2"/>
      <c r="Z40" s="33">
        <f t="shared" si="21"/>
        <v>-40</v>
      </c>
      <c r="AA40" s="35">
        <f t="shared" si="22"/>
        <v>358.09751999999997</v>
      </c>
      <c r="AB40" s="36">
        <v>17482.186356173213</v>
      </c>
      <c r="AC40" s="40">
        <f t="shared" si="23"/>
        <v>-9.5387562783943203</v>
      </c>
      <c r="AD40" s="2"/>
      <c r="AE40" s="33">
        <f t="shared" si="24"/>
        <v>-40</v>
      </c>
      <c r="AF40" s="37">
        <f t="shared" si="25"/>
        <v>11332.199999999999</v>
      </c>
      <c r="AG40" s="36">
        <v>15568.032080878722</v>
      </c>
      <c r="AH40" s="40">
        <f t="shared" si="26"/>
        <v>-19.443511489805527</v>
      </c>
    </row>
    <row r="41" spans="1:34" ht="15.75" customHeight="1" x14ac:dyDescent="0.25">
      <c r="A41" s="2" t="s">
        <v>83</v>
      </c>
      <c r="B41" s="6">
        <f t="shared" ref="B41:B43" si="27">IF(B23=0,0,B23/$B$8)</f>
        <v>65.677966101694921</v>
      </c>
      <c r="C41" s="2" t="s">
        <v>3</v>
      </c>
      <c r="D41" s="2"/>
      <c r="E41" s="2"/>
      <c r="F41" s="2"/>
      <c r="G41" s="2"/>
      <c r="H41" s="2"/>
      <c r="I41" s="2"/>
      <c r="J41" s="2"/>
      <c r="K41" s="2"/>
      <c r="L41" s="18"/>
      <c r="M41" s="2"/>
      <c r="N41" s="12">
        <f t="shared" si="6"/>
        <v>0</v>
      </c>
      <c r="O41" s="12"/>
      <c r="P41" s="24">
        <f t="shared" si="1"/>
        <v>0</v>
      </c>
      <c r="Q41" s="25">
        <f t="shared" si="2"/>
        <v>0</v>
      </c>
      <c r="R41" s="25">
        <f t="shared" si="3"/>
        <v>0</v>
      </c>
      <c r="S41" s="25">
        <f t="shared" si="4"/>
        <v>0</v>
      </c>
      <c r="T41" s="24">
        <f t="shared" si="5"/>
        <v>0</v>
      </c>
      <c r="U41" s="20">
        <f t="shared" si="0"/>
        <v>0</v>
      </c>
      <c r="V41" s="3"/>
      <c r="W41" s="6"/>
      <c r="X41" s="2"/>
      <c r="Y41" s="2"/>
      <c r="Z41" s="33">
        <f t="shared" si="21"/>
        <v>-30</v>
      </c>
      <c r="AA41" s="35">
        <f t="shared" si="22"/>
        <v>417.78044</v>
      </c>
      <c r="AB41" s="36">
        <v>17943.042044212958</v>
      </c>
      <c r="AC41" s="40">
        <f t="shared" si="23"/>
        <v>-7.1540672087957446</v>
      </c>
      <c r="AD41" s="2"/>
      <c r="AE41" s="33">
        <f t="shared" si="24"/>
        <v>-30</v>
      </c>
      <c r="AF41" s="37">
        <f t="shared" si="25"/>
        <v>13220.9</v>
      </c>
      <c r="AG41" s="36">
        <v>16507.426337742094</v>
      </c>
      <c r="AH41" s="40">
        <f t="shared" si="26"/>
        <v>-14.582633617354123</v>
      </c>
    </row>
    <row r="42" spans="1:34" ht="15.75" customHeight="1" x14ac:dyDescent="0.25">
      <c r="A42" s="2" t="s">
        <v>178</v>
      </c>
      <c r="B42" s="6">
        <f t="shared" si="27"/>
        <v>11.228813559322035</v>
      </c>
      <c r="C42" s="2" t="s">
        <v>3</v>
      </c>
      <c r="D42" s="2"/>
      <c r="E42" s="17"/>
      <c r="F42" s="15"/>
      <c r="G42" s="2"/>
      <c r="H42" s="2"/>
      <c r="I42" s="1"/>
      <c r="J42" s="2"/>
      <c r="K42" s="2"/>
      <c r="L42" s="18"/>
      <c r="M42" s="2"/>
      <c r="N42" s="12">
        <f t="shared" si="6"/>
        <v>0</v>
      </c>
      <c r="O42" s="12"/>
      <c r="P42" s="24">
        <f t="shared" si="1"/>
        <v>0</v>
      </c>
      <c r="Q42" s="25">
        <f t="shared" si="2"/>
        <v>0</v>
      </c>
      <c r="R42" s="25">
        <f t="shared" si="3"/>
        <v>0</v>
      </c>
      <c r="S42" s="25">
        <f t="shared" si="4"/>
        <v>0</v>
      </c>
      <c r="T42" s="24">
        <f t="shared" si="5"/>
        <v>0</v>
      </c>
      <c r="U42" s="20">
        <f t="shared" si="0"/>
        <v>0</v>
      </c>
      <c r="V42" s="3"/>
      <c r="W42" s="6"/>
      <c r="X42" s="2"/>
      <c r="Y42" s="2"/>
      <c r="Z42" s="33">
        <f t="shared" si="21"/>
        <v>-20</v>
      </c>
      <c r="AA42" s="35">
        <f t="shared" si="22"/>
        <v>477.46336000000002</v>
      </c>
      <c r="AB42" s="36">
        <v>18403.897732252706</v>
      </c>
      <c r="AC42" s="40">
        <f t="shared" si="23"/>
        <v>-4.7693781391971513</v>
      </c>
      <c r="AD42" s="2"/>
      <c r="AE42" s="33">
        <f t="shared" si="24"/>
        <v>-20</v>
      </c>
      <c r="AF42" s="37">
        <f t="shared" si="25"/>
        <v>15109.6</v>
      </c>
      <c r="AG42" s="36">
        <v>17446.820594605459</v>
      </c>
      <c r="AH42" s="40">
        <f t="shared" si="26"/>
        <v>-9.7217557449027634</v>
      </c>
    </row>
    <row r="43" spans="1:34" ht="15.75" customHeight="1" x14ac:dyDescent="0.25">
      <c r="A43" s="2" t="s">
        <v>179</v>
      </c>
      <c r="B43" s="6">
        <f t="shared" si="27"/>
        <v>15.72033898305085</v>
      </c>
      <c r="C43" s="2" t="s">
        <v>3</v>
      </c>
      <c r="D43" s="2"/>
      <c r="E43" s="2"/>
      <c r="F43" s="2"/>
      <c r="G43" s="2"/>
      <c r="H43" s="2"/>
      <c r="I43" s="17"/>
      <c r="J43" s="23"/>
      <c r="K43" s="2"/>
      <c r="L43" s="18"/>
      <c r="M43" s="2"/>
      <c r="N43" s="12">
        <f t="shared" si="6"/>
        <v>0</v>
      </c>
      <c r="O43" s="12"/>
      <c r="P43" s="24">
        <f t="shared" si="1"/>
        <v>0</v>
      </c>
      <c r="Q43" s="25">
        <f t="shared" si="2"/>
        <v>0</v>
      </c>
      <c r="R43" s="25">
        <f t="shared" si="3"/>
        <v>0</v>
      </c>
      <c r="S43" s="25">
        <f t="shared" si="4"/>
        <v>0</v>
      </c>
      <c r="T43" s="24">
        <f t="shared" si="5"/>
        <v>0</v>
      </c>
      <c r="U43" s="20">
        <f t="shared" si="0"/>
        <v>0</v>
      </c>
      <c r="V43" s="3"/>
      <c r="W43" s="6"/>
      <c r="X43" s="2"/>
      <c r="Y43" s="2"/>
      <c r="Z43" s="33">
        <f t="shared" si="21"/>
        <v>-10</v>
      </c>
      <c r="AA43" s="35">
        <f t="shared" si="22"/>
        <v>537.14628000000005</v>
      </c>
      <c r="AB43" s="36">
        <v>18864.753420292447</v>
      </c>
      <c r="AC43" s="40">
        <f t="shared" si="23"/>
        <v>-2.3846890695985943</v>
      </c>
      <c r="AD43" s="2"/>
      <c r="AE43" s="33">
        <f t="shared" si="24"/>
        <v>-10</v>
      </c>
      <c r="AF43" s="37">
        <f t="shared" si="25"/>
        <v>16998.3</v>
      </c>
      <c r="AG43" s="36">
        <v>18386.214851468823</v>
      </c>
      <c r="AH43" s="40">
        <f t="shared" si="26"/>
        <v>-4.8608778724514003</v>
      </c>
    </row>
    <row r="44" spans="1:34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8"/>
      <c r="M44" s="2"/>
      <c r="N44" s="12">
        <f t="shared" si="6"/>
        <v>0</v>
      </c>
      <c r="O44" s="12"/>
      <c r="P44" s="24">
        <f t="shared" si="1"/>
        <v>0</v>
      </c>
      <c r="Q44" s="25">
        <f t="shared" si="2"/>
        <v>0</v>
      </c>
      <c r="R44" s="25">
        <f t="shared" si="3"/>
        <v>0</v>
      </c>
      <c r="S44" s="25">
        <f t="shared" si="4"/>
        <v>0</v>
      </c>
      <c r="T44" s="24">
        <f t="shared" si="5"/>
        <v>0</v>
      </c>
      <c r="U44" s="20">
        <f t="shared" si="0"/>
        <v>0</v>
      </c>
      <c r="V44" s="3"/>
      <c r="W44" s="6"/>
      <c r="X44" s="2"/>
      <c r="Y44" s="2"/>
      <c r="Z44" s="45">
        <v>0</v>
      </c>
      <c r="AA44" s="61">
        <f t="shared" si="22"/>
        <v>596.82920000000001</v>
      </c>
      <c r="AB44" s="46">
        <v>19325.609108332195</v>
      </c>
      <c r="AC44" s="87">
        <f t="shared" si="23"/>
        <v>0</v>
      </c>
      <c r="AD44" s="2"/>
      <c r="AE44" s="45">
        <v>0</v>
      </c>
      <c r="AF44" s="49">
        <f t="shared" si="25"/>
        <v>18887</v>
      </c>
      <c r="AG44" s="46">
        <v>19325.609108332195</v>
      </c>
      <c r="AH44" s="62">
        <f t="shared" si="26"/>
        <v>0</v>
      </c>
    </row>
    <row r="45" spans="1:34" ht="15.75" customHeight="1" x14ac:dyDescent="0.25">
      <c r="A45" s="27" t="s">
        <v>108</v>
      </c>
      <c r="B45" s="3"/>
      <c r="C45" s="1"/>
      <c r="D45" s="2"/>
      <c r="E45" s="2"/>
      <c r="F45" s="2"/>
      <c r="G45" s="2"/>
      <c r="H45" s="2"/>
      <c r="I45" s="2"/>
      <c r="J45" s="2"/>
      <c r="K45" s="2"/>
      <c r="L45" s="18"/>
      <c r="M45" s="2"/>
      <c r="N45" s="12">
        <f t="shared" si="6"/>
        <v>0</v>
      </c>
      <c r="O45" s="12"/>
      <c r="P45" s="24">
        <f t="shared" si="1"/>
        <v>0</v>
      </c>
      <c r="Q45" s="25">
        <f t="shared" si="2"/>
        <v>0</v>
      </c>
      <c r="R45" s="25">
        <f t="shared" si="3"/>
        <v>0</v>
      </c>
      <c r="S45" s="25">
        <f t="shared" si="4"/>
        <v>0</v>
      </c>
      <c r="T45" s="24">
        <f t="shared" si="5"/>
        <v>0</v>
      </c>
      <c r="U45" s="20">
        <f t="shared" si="0"/>
        <v>0</v>
      </c>
      <c r="V45" s="3"/>
      <c r="W45" s="6"/>
      <c r="X45" s="2"/>
      <c r="Y45" s="2"/>
      <c r="Z45" s="33">
        <f t="shared" ref="Z45:Z49" si="28">Z44+10</f>
        <v>10</v>
      </c>
      <c r="AA45" s="35">
        <f t="shared" si="22"/>
        <v>656.5121200000001</v>
      </c>
      <c r="AB45" s="36">
        <v>19786.464796371929</v>
      </c>
      <c r="AC45" s="40">
        <f t="shared" si="23"/>
        <v>2.3846890695985188</v>
      </c>
      <c r="AD45" s="2"/>
      <c r="AE45" s="33">
        <f t="shared" ref="AE45:AE49" si="29">AE44+10</f>
        <v>10</v>
      </c>
      <c r="AF45" s="37">
        <f t="shared" si="25"/>
        <v>20775.7</v>
      </c>
      <c r="AG45" s="36">
        <v>20265.003365195556</v>
      </c>
      <c r="AH45" s="40">
        <f t="shared" si="26"/>
        <v>4.8608778724513435</v>
      </c>
    </row>
    <row r="46" spans="1:34" ht="15.75" customHeight="1" x14ac:dyDescent="0.25">
      <c r="A46" s="17" t="s">
        <v>197</v>
      </c>
      <c r="B46" s="6">
        <f>J8/B8</f>
        <v>4645.1612903225805</v>
      </c>
      <c r="C46" s="2" t="s">
        <v>3</v>
      </c>
      <c r="D46" s="2"/>
      <c r="E46" s="2"/>
      <c r="F46" s="2"/>
      <c r="G46" s="2"/>
      <c r="H46" s="2"/>
      <c r="I46" s="2"/>
      <c r="J46" s="2"/>
      <c r="K46" s="2"/>
      <c r="L46" s="18"/>
      <c r="M46" s="2"/>
      <c r="N46" s="12">
        <f t="shared" si="6"/>
        <v>0</v>
      </c>
      <c r="O46" s="12"/>
      <c r="P46" s="24">
        <f t="shared" si="1"/>
        <v>0</v>
      </c>
      <c r="Q46" s="25">
        <f t="shared" si="2"/>
        <v>0</v>
      </c>
      <c r="R46" s="25">
        <f t="shared" si="3"/>
        <v>0</v>
      </c>
      <c r="S46" s="25">
        <f t="shared" si="4"/>
        <v>0</v>
      </c>
      <c r="T46" s="24">
        <f t="shared" si="5"/>
        <v>0</v>
      </c>
      <c r="U46" s="20">
        <f t="shared" si="0"/>
        <v>0</v>
      </c>
      <c r="V46" s="3"/>
      <c r="W46" s="6"/>
      <c r="X46" s="2"/>
      <c r="Y46" s="2"/>
      <c r="Z46" s="33">
        <f t="shared" si="28"/>
        <v>20</v>
      </c>
      <c r="AA46" s="35">
        <f t="shared" si="22"/>
        <v>716.19503999999995</v>
      </c>
      <c r="AB46" s="36">
        <v>20247.320484411674</v>
      </c>
      <c r="AC46" s="40">
        <f t="shared" si="23"/>
        <v>4.7693781391970935</v>
      </c>
      <c r="AD46" s="2"/>
      <c r="AE46" s="33">
        <f t="shared" si="29"/>
        <v>20</v>
      </c>
      <c r="AF46" s="37">
        <f t="shared" si="25"/>
        <v>22664.399999999998</v>
      </c>
      <c r="AG46" s="36">
        <v>21204.397622058921</v>
      </c>
      <c r="AH46" s="40">
        <f t="shared" si="26"/>
        <v>9.7217557449027066</v>
      </c>
    </row>
    <row r="47" spans="1:34" ht="15.75" customHeight="1" x14ac:dyDescent="0.25">
      <c r="A47" s="30" t="s">
        <v>137</v>
      </c>
      <c r="B47" s="50">
        <f t="shared" ref="B47:B48" si="30">(1+(B14/100))*B46</f>
        <v>6038.7096774193551</v>
      </c>
      <c r="C47" s="2" t="s">
        <v>3</v>
      </c>
      <c r="D47" s="2"/>
      <c r="E47" s="2"/>
      <c r="F47" s="2"/>
      <c r="G47" s="2"/>
      <c r="H47" s="2"/>
      <c r="I47" s="2"/>
      <c r="J47" s="2"/>
      <c r="K47" s="2"/>
      <c r="L47" s="18"/>
      <c r="M47" s="2"/>
      <c r="N47" s="12">
        <f t="shared" si="6"/>
        <v>0</v>
      </c>
      <c r="O47" s="12"/>
      <c r="P47" s="24">
        <f t="shared" si="1"/>
        <v>0</v>
      </c>
      <c r="Q47" s="25">
        <f t="shared" si="2"/>
        <v>0</v>
      </c>
      <c r="R47" s="25">
        <f t="shared" si="3"/>
        <v>0</v>
      </c>
      <c r="S47" s="25">
        <f t="shared" si="4"/>
        <v>0</v>
      </c>
      <c r="T47" s="24">
        <f t="shared" si="5"/>
        <v>0</v>
      </c>
      <c r="U47" s="20">
        <f t="shared" si="0"/>
        <v>0</v>
      </c>
      <c r="V47" s="3"/>
      <c r="W47" s="6"/>
      <c r="X47" s="2"/>
      <c r="Y47" s="2"/>
      <c r="Z47" s="33">
        <f t="shared" si="28"/>
        <v>30</v>
      </c>
      <c r="AA47" s="35">
        <f t="shared" si="22"/>
        <v>775.87796000000003</v>
      </c>
      <c r="AB47" s="36">
        <v>20708.176172451418</v>
      </c>
      <c r="AC47" s="40">
        <f t="shared" si="23"/>
        <v>7.15406720879567</v>
      </c>
      <c r="AD47" s="2"/>
      <c r="AE47" s="33">
        <f t="shared" si="29"/>
        <v>30</v>
      </c>
      <c r="AF47" s="37">
        <f t="shared" si="25"/>
        <v>24553.100000000002</v>
      </c>
      <c r="AG47" s="36">
        <v>22143.791878922293</v>
      </c>
      <c r="AH47" s="40">
        <f t="shared" si="26"/>
        <v>14.582633617354107</v>
      </c>
    </row>
    <row r="48" spans="1:34" ht="15.75" customHeight="1" x14ac:dyDescent="0.25">
      <c r="A48" s="2" t="s">
        <v>114</v>
      </c>
      <c r="B48" s="50">
        <f t="shared" si="30"/>
        <v>6038.7096774193551</v>
      </c>
      <c r="C48" s="2" t="s">
        <v>3</v>
      </c>
      <c r="D48" s="2"/>
      <c r="E48" s="2"/>
      <c r="F48" s="2"/>
      <c r="G48" s="2"/>
      <c r="H48" s="2"/>
      <c r="I48" s="2"/>
      <c r="J48" s="2"/>
      <c r="K48" s="2"/>
      <c r="L48" s="18"/>
      <c r="M48" s="2"/>
      <c r="N48" s="12">
        <f t="shared" si="6"/>
        <v>0</v>
      </c>
      <c r="O48" s="12"/>
      <c r="P48" s="24">
        <f t="shared" si="1"/>
        <v>0</v>
      </c>
      <c r="Q48" s="25">
        <f t="shared" si="2"/>
        <v>0</v>
      </c>
      <c r="R48" s="25">
        <f t="shared" si="3"/>
        <v>0</v>
      </c>
      <c r="S48" s="25">
        <f t="shared" si="4"/>
        <v>0</v>
      </c>
      <c r="T48" s="24">
        <f t="shared" si="5"/>
        <v>0</v>
      </c>
      <c r="U48" s="20">
        <f t="shared" si="0"/>
        <v>0</v>
      </c>
      <c r="V48" s="3"/>
      <c r="W48" s="6"/>
      <c r="X48" s="2"/>
      <c r="Y48" s="2"/>
      <c r="Z48" s="33">
        <f t="shared" si="28"/>
        <v>40</v>
      </c>
      <c r="AA48" s="35">
        <f t="shared" si="22"/>
        <v>835.56088</v>
      </c>
      <c r="AB48" s="36">
        <v>21169.031860491155</v>
      </c>
      <c r="AC48" s="40">
        <f t="shared" si="23"/>
        <v>9.5387562783942066</v>
      </c>
      <c r="AD48" s="2"/>
      <c r="AE48" s="33">
        <f t="shared" si="29"/>
        <v>40</v>
      </c>
      <c r="AF48" s="37">
        <f t="shared" si="25"/>
        <v>26441.8</v>
      </c>
      <c r="AG48" s="36">
        <v>23083.186135785654</v>
      </c>
      <c r="AH48" s="40">
        <f t="shared" si="26"/>
        <v>19.443511489805449</v>
      </c>
    </row>
    <row r="49" spans="1:34" ht="15.75" customHeight="1" x14ac:dyDescent="0.25">
      <c r="A49" s="30" t="s">
        <v>115</v>
      </c>
      <c r="B49" s="6">
        <f>SUM(B33:B41)+SUM(B48)</f>
        <v>8663.9507927829418</v>
      </c>
      <c r="C49" s="2" t="s">
        <v>3</v>
      </c>
      <c r="D49" s="2"/>
      <c r="E49" s="2"/>
      <c r="F49" s="2"/>
      <c r="G49" s="2"/>
      <c r="H49" s="2"/>
      <c r="I49" s="2"/>
      <c r="J49" s="2"/>
      <c r="K49" s="2"/>
      <c r="L49" s="18"/>
      <c r="M49" s="2"/>
      <c r="N49" s="13" t="s">
        <v>112</v>
      </c>
      <c r="O49" s="20">
        <f t="shared" ref="O49:U49" si="31">SUM(O8:O48)</f>
        <v>2607.2699835975941</v>
      </c>
      <c r="P49" s="20">
        <f t="shared" si="31"/>
        <v>6674.2858735856789</v>
      </c>
      <c r="Q49" s="20">
        <f t="shared" si="31"/>
        <v>4785.3856882362261</v>
      </c>
      <c r="R49" s="20">
        <f t="shared" si="31"/>
        <v>6650.7921730878043</v>
      </c>
      <c r="S49" s="20">
        <f t="shared" si="31"/>
        <v>386.74113077527329</v>
      </c>
      <c r="T49" s="20">
        <f t="shared" si="31"/>
        <v>-1778.8657409503862</v>
      </c>
      <c r="U49" s="20">
        <f t="shared" si="31"/>
        <v>19325.609108332195</v>
      </c>
      <c r="V49" s="3"/>
      <c r="W49" s="3"/>
      <c r="X49" s="2"/>
      <c r="Y49" s="2"/>
      <c r="Z49" s="33">
        <f t="shared" si="28"/>
        <v>50</v>
      </c>
      <c r="AA49" s="35">
        <f t="shared" si="22"/>
        <v>895.24379999999996</v>
      </c>
      <c r="AB49" s="36">
        <v>21629.887548530904</v>
      </c>
      <c r="AC49" s="40">
        <f t="shared" si="23"/>
        <v>11.923445347992802</v>
      </c>
      <c r="AD49" s="2"/>
      <c r="AE49" s="33">
        <f t="shared" si="29"/>
        <v>50</v>
      </c>
      <c r="AF49" s="37">
        <f t="shared" si="25"/>
        <v>28330.5</v>
      </c>
      <c r="AG49" s="36">
        <v>24022.580392649012</v>
      </c>
      <c r="AH49" s="40">
        <f t="shared" si="26"/>
        <v>24.304389362256774</v>
      </c>
    </row>
    <row r="50" spans="1:34" ht="15.75" customHeight="1" x14ac:dyDescent="0.25">
      <c r="A50" s="30" t="s">
        <v>116</v>
      </c>
      <c r="B50" s="6">
        <f>SUM(B31:B32)</f>
        <v>0</v>
      </c>
      <c r="C50" s="2" t="s">
        <v>3</v>
      </c>
      <c r="D50" s="2"/>
      <c r="E50" s="2"/>
      <c r="F50" s="2"/>
      <c r="G50" s="2"/>
      <c r="H50" s="2"/>
      <c r="I50" s="2"/>
      <c r="J50" s="2"/>
      <c r="K50" s="2"/>
      <c r="L50" s="18"/>
      <c r="M50" s="2"/>
      <c r="N50" s="2"/>
      <c r="O50" s="2"/>
      <c r="P50" s="2"/>
      <c r="Q50" s="2"/>
      <c r="R50" s="50">
        <f>SUM(R49:S49)</f>
        <v>7037.5333038630779</v>
      </c>
      <c r="S50" s="2"/>
      <c r="T50" s="2"/>
      <c r="U50" s="2"/>
      <c r="V50" s="2"/>
      <c r="W50" s="2"/>
      <c r="X50" s="50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ht="15.75" customHeight="1" x14ac:dyDescent="0.25">
      <c r="A51" s="30" t="s">
        <v>172</v>
      </c>
      <c r="B51" s="6">
        <f>SUM(B49:B50)</f>
        <v>8663.9507927829418</v>
      </c>
      <c r="C51" s="2" t="s">
        <v>3</v>
      </c>
      <c r="D51" s="2"/>
      <c r="E51" s="2"/>
      <c r="F51" s="2"/>
      <c r="G51" s="2"/>
      <c r="H51" s="2"/>
      <c r="I51" s="2"/>
      <c r="J51" s="2"/>
      <c r="K51" s="2"/>
      <c r="L51" s="18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2" t="s">
        <v>196</v>
      </c>
      <c r="AA51" s="33"/>
      <c r="AB51" s="33"/>
      <c r="AC51" s="33"/>
      <c r="AD51" s="2"/>
      <c r="AE51" s="2"/>
      <c r="AF51" s="2"/>
      <c r="AG51" s="2"/>
      <c r="AH51" s="2"/>
    </row>
    <row r="52" spans="1:34" ht="15.75" customHeight="1" x14ac:dyDescent="0.25">
      <c r="A52" s="2" t="s">
        <v>180</v>
      </c>
      <c r="B52" s="6">
        <f>SUM(B42:B43)</f>
        <v>26.949152542372886</v>
      </c>
      <c r="C52" s="2" t="s">
        <v>3</v>
      </c>
      <c r="D52" s="2"/>
      <c r="E52" s="2"/>
      <c r="F52" s="2"/>
      <c r="G52" s="2"/>
      <c r="H52" s="2"/>
      <c r="I52" s="2"/>
      <c r="J52" s="2"/>
      <c r="K52" s="2"/>
      <c r="L52" s="18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3" t="s">
        <v>79</v>
      </c>
      <c r="AA52" s="33" t="s">
        <v>196</v>
      </c>
      <c r="AB52" s="33" t="s">
        <v>23</v>
      </c>
      <c r="AC52" s="33" t="s">
        <v>81</v>
      </c>
      <c r="AD52" s="2"/>
      <c r="AE52" s="2"/>
      <c r="AF52" s="2"/>
      <c r="AG52" s="2"/>
      <c r="AH52" s="2"/>
    </row>
    <row r="53" spans="1:34" ht="15.75" customHeight="1" x14ac:dyDescent="0.25">
      <c r="A53" s="17" t="s">
        <v>120</v>
      </c>
      <c r="B53" s="6">
        <f>SUM(B51:B52)</f>
        <v>8690.8999453253145</v>
      </c>
      <c r="C53" s="2" t="s">
        <v>3</v>
      </c>
      <c r="D53" s="2"/>
      <c r="E53" s="2"/>
      <c r="F53" s="2"/>
      <c r="G53" s="2"/>
      <c r="H53" s="2"/>
      <c r="I53" s="2"/>
      <c r="J53" s="2"/>
      <c r="K53" s="2"/>
      <c r="L53" s="18"/>
      <c r="M53" s="2"/>
      <c r="N53" s="2"/>
      <c r="O53" s="1"/>
      <c r="P53" s="1"/>
      <c r="Q53" s="2"/>
      <c r="R53" s="2"/>
      <c r="S53" s="2"/>
      <c r="T53" s="2"/>
      <c r="U53" s="2"/>
      <c r="V53" s="2"/>
      <c r="W53" s="2"/>
      <c r="X53" s="7"/>
      <c r="Y53" s="2"/>
      <c r="Z53" s="33" t="s">
        <v>86</v>
      </c>
      <c r="AA53" s="35">
        <v>7.2499999999999995E-2</v>
      </c>
      <c r="AB53" s="36">
        <f>U49</f>
        <v>19325.609108332195</v>
      </c>
      <c r="AC53" s="33"/>
      <c r="AD53" s="2"/>
      <c r="AE53" s="2"/>
      <c r="AF53" s="2"/>
      <c r="AG53" s="2"/>
      <c r="AH53" s="2"/>
    </row>
    <row r="54" spans="1:34" ht="15.75" customHeight="1" x14ac:dyDescent="0.2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4"/>
      <c r="M54" s="2"/>
      <c r="N54" s="51"/>
      <c r="O54" s="52" t="s">
        <v>118</v>
      </c>
      <c r="P54" s="53" t="str">
        <f>B1</f>
        <v>Malaysia</v>
      </c>
      <c r="Q54" s="51"/>
      <c r="R54" s="51"/>
      <c r="S54" s="51"/>
      <c r="T54" s="51"/>
      <c r="U54" s="2"/>
      <c r="V54" s="2"/>
      <c r="W54" s="2"/>
      <c r="X54" s="7"/>
      <c r="Y54" s="2"/>
      <c r="Z54" s="33">
        <f t="shared" ref="Z54:Z58" si="32">Z55-10</f>
        <v>-50</v>
      </c>
      <c r="AA54" s="35">
        <f>$AA$53*(1+(-Z54/100))</f>
        <v>0.10874999999999999</v>
      </c>
      <c r="AB54" s="36">
        <f t="dataTable" ref="AB54:AB64" dt2D="0" dtr="0" r1="J9" ca="1"/>
        <v>21718.3019524503</v>
      </c>
      <c r="AC54" s="40">
        <f>100*((AB54-$AB$59)/$AB$59)</f>
        <v>12.380944014263953</v>
      </c>
      <c r="AD54" s="2"/>
      <c r="AE54" s="2"/>
      <c r="AF54" s="2"/>
      <c r="AG54" s="2"/>
      <c r="AH54" s="2"/>
    </row>
    <row r="55" spans="1:34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119</v>
      </c>
      <c r="P55" s="50">
        <f>SUM(O49:P49)</f>
        <v>9281.5558571832735</v>
      </c>
      <c r="Q55" s="2" t="s">
        <v>3</v>
      </c>
      <c r="R55" s="55">
        <f t="shared" ref="R55:R58" si="33">P55/$F$40</f>
        <v>4.914256291196735E-2</v>
      </c>
      <c r="S55" s="2" t="s">
        <v>4</v>
      </c>
      <c r="T55" s="2"/>
      <c r="U55" s="2"/>
      <c r="V55" s="2"/>
      <c r="W55" s="2"/>
      <c r="X55" s="7"/>
      <c r="Y55" s="2"/>
      <c r="Z55" s="33">
        <f t="shared" si="32"/>
        <v>-40</v>
      </c>
      <c r="AA55" s="35">
        <f t="shared" ref="AA55:AA64" si="34">$AA$53*(1+(-Z55/100))</f>
        <v>0.10149999999999999</v>
      </c>
      <c r="AB55" s="36">
        <v>21239.763383626676</v>
      </c>
      <c r="AC55" s="40">
        <f t="shared" ref="AC55:AC64" si="35">100*((AB55-$AB$59)/$AB$59)</f>
        <v>9.9047552114111479</v>
      </c>
      <c r="AD55" s="2"/>
      <c r="AE55" s="2"/>
      <c r="AF55" s="2"/>
      <c r="AG55" s="2"/>
      <c r="AH55" s="2"/>
    </row>
    <row r="56" spans="1:34" ht="15.75" customHeight="1" x14ac:dyDescent="0.25">
      <c r="A56" s="2" t="s">
        <v>123</v>
      </c>
      <c r="B56" s="6">
        <f>B49*B8</f>
        <v>40893.847741935482</v>
      </c>
      <c r="C56" s="2" t="s">
        <v>28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99</v>
      </c>
      <c r="P56" s="50">
        <f>SUM(Q49)</f>
        <v>4785.3856882362261</v>
      </c>
      <c r="Q56" s="2" t="s">
        <v>3</v>
      </c>
      <c r="R56" s="55">
        <f t="shared" si="33"/>
        <v>2.5336928512925429E-2</v>
      </c>
      <c r="S56" s="2" t="s">
        <v>4</v>
      </c>
      <c r="T56" s="2"/>
      <c r="U56" s="2"/>
      <c r="V56" s="2"/>
      <c r="W56" s="2"/>
      <c r="X56" s="7"/>
      <c r="Y56" s="2"/>
      <c r="Z56" s="33">
        <f t="shared" si="32"/>
        <v>-30</v>
      </c>
      <c r="AA56" s="35">
        <f t="shared" si="34"/>
        <v>9.425E-2</v>
      </c>
      <c r="AB56" s="36">
        <v>20761.224814803059</v>
      </c>
      <c r="AC56" s="40">
        <f t="shared" si="35"/>
        <v>7.4285664085583809</v>
      </c>
      <c r="AD56" s="2"/>
      <c r="AE56" s="2"/>
      <c r="AF56" s="2"/>
      <c r="AG56" s="2"/>
      <c r="AH56" s="2"/>
    </row>
    <row r="57" spans="1:34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121</v>
      </c>
      <c r="P57" s="50">
        <f>SUM(R49:S49)</f>
        <v>7037.5333038630779</v>
      </c>
      <c r="Q57" s="2" t="s">
        <v>3</v>
      </c>
      <c r="R57" s="55">
        <f t="shared" si="33"/>
        <v>3.7261255381283838E-2</v>
      </c>
      <c r="S57" s="2" t="s">
        <v>4</v>
      </c>
      <c r="T57" s="2"/>
      <c r="U57" s="2"/>
      <c r="V57" s="2"/>
      <c r="W57" s="2"/>
      <c r="X57" s="7"/>
      <c r="Y57" s="2"/>
      <c r="Z57" s="33">
        <f t="shared" si="32"/>
        <v>-20</v>
      </c>
      <c r="AA57" s="35">
        <f t="shared" si="34"/>
        <v>8.6999999999999994E-2</v>
      </c>
      <c r="AB57" s="36">
        <v>20282.686245979436</v>
      </c>
      <c r="AC57" s="40">
        <f t="shared" si="35"/>
        <v>4.9523776057055739</v>
      </c>
      <c r="AD57" s="2"/>
      <c r="AE57" s="2"/>
      <c r="AF57" s="2"/>
      <c r="AG57" s="2"/>
      <c r="AH57" s="2"/>
    </row>
    <row r="58" spans="1:34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124</v>
      </c>
      <c r="P58" s="50">
        <f>T49</f>
        <v>-1778.8657409503862</v>
      </c>
      <c r="Q58" s="2" t="s">
        <v>3</v>
      </c>
      <c r="R58" s="55">
        <f t="shared" si="33"/>
        <v>-9.4184663575495649E-3</v>
      </c>
      <c r="S58" s="2" t="s">
        <v>4</v>
      </c>
      <c r="T58" s="2"/>
      <c r="U58" s="2"/>
      <c r="V58" s="2"/>
      <c r="W58" s="2"/>
      <c r="X58" s="7"/>
      <c r="Y58" s="2"/>
      <c r="Z58" s="33">
        <f t="shared" si="32"/>
        <v>-10</v>
      </c>
      <c r="AA58" s="35">
        <f t="shared" si="34"/>
        <v>7.9750000000000001E-2</v>
      </c>
      <c r="AB58" s="36">
        <v>19804.147677155815</v>
      </c>
      <c r="AC58" s="40">
        <f t="shared" si="35"/>
        <v>2.476188802852787</v>
      </c>
      <c r="AD58" s="2"/>
      <c r="AE58" s="2"/>
      <c r="AF58" s="2"/>
      <c r="AG58" s="2"/>
      <c r="AH58" s="2"/>
    </row>
    <row r="59" spans="1:34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7"/>
      <c r="Y59" s="2"/>
      <c r="Z59" s="45">
        <v>0</v>
      </c>
      <c r="AA59" s="85">
        <f t="shared" si="34"/>
        <v>7.2499999999999995E-2</v>
      </c>
      <c r="AB59" s="46">
        <v>19325.609108332195</v>
      </c>
      <c r="AC59" s="87">
        <f t="shared" si="35"/>
        <v>0</v>
      </c>
      <c r="AD59" s="2"/>
      <c r="AE59" s="2"/>
      <c r="AF59" s="2"/>
      <c r="AG59" s="2"/>
      <c r="AH59" s="2"/>
    </row>
    <row r="60" spans="1:34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 t="s">
        <v>2</v>
      </c>
      <c r="P60" s="3">
        <f>SUM(P55:P58)</f>
        <v>19325.609108332192</v>
      </c>
      <c r="Q60" s="1" t="s">
        <v>3</v>
      </c>
      <c r="R60" s="57">
        <f>SUM(R55:R58)</f>
        <v>0.10232228044862707</v>
      </c>
      <c r="S60" s="1" t="s">
        <v>4</v>
      </c>
      <c r="T60" s="2"/>
      <c r="U60" s="2"/>
      <c r="V60" s="2"/>
      <c r="W60" s="2"/>
      <c r="X60" s="7"/>
      <c r="Y60" s="2"/>
      <c r="Z60" s="33">
        <f t="shared" ref="Z60:Z64" si="36">Z59+10</f>
        <v>10</v>
      </c>
      <c r="AA60" s="35">
        <f t="shared" si="34"/>
        <v>6.5250000000000002E-2</v>
      </c>
      <c r="AB60" s="36">
        <v>18847.070539508564</v>
      </c>
      <c r="AC60" s="40">
        <f t="shared" si="35"/>
        <v>-2.4761888028528434</v>
      </c>
      <c r="AD60" s="2"/>
      <c r="AE60" s="2"/>
      <c r="AF60" s="2"/>
      <c r="AG60" s="2"/>
      <c r="AH60" s="2"/>
    </row>
    <row r="61" spans="1:34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7"/>
      <c r="Y61" s="2"/>
      <c r="Z61" s="33">
        <f t="shared" si="36"/>
        <v>20</v>
      </c>
      <c r="AA61" s="35">
        <f t="shared" si="34"/>
        <v>5.7999999999999996E-2</v>
      </c>
      <c r="AB61" s="36">
        <v>18368.531970684944</v>
      </c>
      <c r="AC61" s="40">
        <f t="shared" si="35"/>
        <v>-4.9523776057056299</v>
      </c>
      <c r="AD61" s="2"/>
      <c r="AE61" s="2"/>
      <c r="AF61" s="2"/>
      <c r="AG61" s="2"/>
      <c r="AH61" s="2"/>
    </row>
    <row r="62" spans="1:34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7"/>
      <c r="Y62" s="2"/>
      <c r="Z62" s="33">
        <f t="shared" si="36"/>
        <v>30</v>
      </c>
      <c r="AA62" s="35">
        <f t="shared" si="34"/>
        <v>5.0749999999999997E-2</v>
      </c>
      <c r="AB62" s="36">
        <v>17889.993401861317</v>
      </c>
      <c r="AC62" s="40">
        <f t="shared" si="35"/>
        <v>-7.4285664085584555</v>
      </c>
      <c r="AD62" s="2"/>
      <c r="AE62" s="2"/>
      <c r="AF62" s="2"/>
      <c r="AG62" s="2"/>
      <c r="AH62" s="2"/>
    </row>
    <row r="63" spans="1:34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7"/>
      <c r="Y63" s="2"/>
      <c r="Z63" s="33">
        <f t="shared" si="36"/>
        <v>40</v>
      </c>
      <c r="AA63" s="35">
        <f t="shared" si="34"/>
        <v>4.3499999999999997E-2</v>
      </c>
      <c r="AB63" s="36">
        <v>17411.4548330377</v>
      </c>
      <c r="AC63" s="40">
        <f t="shared" si="35"/>
        <v>-9.9047552114112225</v>
      </c>
      <c r="AD63" s="2"/>
      <c r="AE63" s="2"/>
      <c r="AF63" s="2"/>
      <c r="AG63" s="2"/>
      <c r="AH63" s="2"/>
    </row>
    <row r="64" spans="1:34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7"/>
      <c r="Y64" s="2"/>
      <c r="Z64" s="33">
        <f t="shared" si="36"/>
        <v>50</v>
      </c>
      <c r="AA64" s="35">
        <f t="shared" si="34"/>
        <v>3.6249999999999998E-2</v>
      </c>
      <c r="AB64" s="36">
        <v>16932.916264214076</v>
      </c>
      <c r="AC64" s="40">
        <f t="shared" si="35"/>
        <v>-12.380944014264029</v>
      </c>
      <c r="AD64" s="2"/>
      <c r="AE64" s="2"/>
      <c r="AF64" s="2"/>
      <c r="AG64" s="2"/>
      <c r="AH64" s="2"/>
    </row>
    <row r="65" spans="1:34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7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7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7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:34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:34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4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4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spans="1:34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spans="1:34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4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:34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4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spans="1:34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:34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spans="1:34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spans="1:34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spans="1:34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4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:34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spans="1:34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4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spans="1:34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:34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spans="1:34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spans="1:34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:34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:34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spans="1:34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spans="1:34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spans="1:34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spans="1:34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spans="1:34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spans="1:34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spans="1:34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spans="1:34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spans="1:34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spans="1:34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spans="1:34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spans="1:34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spans="1:34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spans="1:34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:34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spans="1:34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spans="1:34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4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spans="1:34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spans="1:34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:34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spans="1:34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spans="1:34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:34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spans="1:34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spans="1:34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4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spans="1:34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spans="1:34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spans="1:34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spans="1:34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spans="1:34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:34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spans="1:34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spans="1:34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spans="1:34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:34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spans="1:34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spans="1:34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spans="1:34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spans="1:34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spans="1:34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spans="1:34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spans="1:34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spans="1:34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spans="1:34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spans="1:34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spans="1:34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spans="1:34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spans="1:34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spans="1:34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spans="1:34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spans="1:34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spans="1:34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4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spans="1:34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34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spans="1:34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spans="1:34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spans="1:34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4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spans="1:34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spans="1:34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spans="1:34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spans="1:34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spans="1:34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spans="1:34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spans="1:34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spans="1:34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spans="1:34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spans="1:34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spans="1:34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spans="1:34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4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spans="1:34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spans="1:34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spans="1:34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spans="1:34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spans="1:34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spans="1:34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spans="1:34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spans="1:34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spans="1:34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spans="1:34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spans="1:34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spans="1:34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spans="1:34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spans="1:34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spans="1:34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spans="1:34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spans="1:34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spans="1:34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spans="1:34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spans="1:34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spans="1:34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34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34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spans="1:34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spans="1:34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spans="1:34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spans="1:34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spans="1:34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spans="1:34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spans="1:34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spans="1:34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spans="1:34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spans="1:34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spans="1:34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spans="1:34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spans="1:34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spans="1:34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spans="1:34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spans="1:34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spans="1:34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spans="1:34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:34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spans="1:34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spans="1:34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spans="1:34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spans="1:34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spans="1:34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:34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spans="1:34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spans="1:34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spans="1:34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spans="1:34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spans="1:34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spans="1:34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spans="1:34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spans="1:34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spans="1:34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spans="1:34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spans="1:34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spans="1:34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spans="1:34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spans="1:34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spans="1:34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spans="1:34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spans="1:34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spans="1:34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spans="1:34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spans="1:34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spans="1:34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spans="1:34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spans="1:34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spans="1:34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spans="1:34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spans="1:34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spans="1:34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spans="1:34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spans="1:34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spans="1:34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spans="1:34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spans="1:34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spans="1:34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spans="1:34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spans="1:34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spans="1:34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spans="1:34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spans="1:34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spans="1:34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spans="1:34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spans="1:34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spans="1:34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spans="1:34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spans="1:34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spans="1:34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spans="1:34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spans="1:34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spans="1:34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spans="1:34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spans="1:34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spans="1:34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spans="1:34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spans="1:34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spans="1:34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spans="1:34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spans="1:34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spans="1:34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spans="1:34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spans="1:34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spans="1:34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spans="1:34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spans="1:34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spans="1:34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spans="1:34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spans="1:34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spans="1:34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spans="1:34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spans="1:34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spans="1:34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spans="1:34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spans="1:34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spans="1:34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spans="1:34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spans="1:34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spans="1:34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spans="1:34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spans="1:34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spans="1:34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spans="1:34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spans="1:34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spans="1:34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spans="1:34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spans="1:34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spans="1:34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spans="1:34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spans="1:34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spans="1:34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spans="1:34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spans="1:34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spans="1:34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spans="1:34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spans="1:34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spans="1:34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spans="1:34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spans="1:34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spans="1:34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spans="1:34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spans="1:34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spans="1:34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spans="1:34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spans="1:34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spans="1:34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spans="1:34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spans="1:34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spans="1:34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spans="1:34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spans="1:34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spans="1:34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spans="1:34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spans="1:34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spans="1:34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spans="1:34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spans="1:34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spans="1:34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spans="1:34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spans="1:34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spans="1:34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spans="1:34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spans="1:34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spans="1:34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spans="1:34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spans="1:34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spans="1:34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spans="1:34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spans="1:34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spans="1:34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spans="1:34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spans="1:34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spans="1:34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spans="1:34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spans="1:34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spans="1:34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spans="1:34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spans="1:34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spans="1:34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spans="1:34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spans="1:34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spans="1:34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spans="1:34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spans="1:34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spans="1:34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spans="1:34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spans="1:34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spans="1:34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spans="1:34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spans="1:34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spans="1:34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spans="1:34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spans="1:34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spans="1:34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spans="1:34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spans="1:34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spans="1:34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spans="1:34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spans="1:34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spans="1:34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spans="1:34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spans="1:34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spans="1:34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spans="1:34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spans="1:34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spans="1:34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spans="1:34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spans="1:34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spans="1:34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spans="1:34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spans="1:34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spans="1:34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spans="1:34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spans="1:34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spans="1:34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spans="1:34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spans="1:34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spans="1:34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spans="1:34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spans="1:34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spans="1:34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spans="1:34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spans="1:34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spans="1:34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spans="1:34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spans="1:34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spans="1:34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spans="1:34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spans="1:34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spans="1:34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spans="1:34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spans="1:34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spans="1:34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spans="1:34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spans="1:34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spans="1:34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spans="1:34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spans="1:34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spans="1:34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spans="1:34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spans="1:34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spans="1:34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spans="1:34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spans="1:34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spans="1:34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spans="1:34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spans="1:34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spans="1:34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spans="1:34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spans="1:34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spans="1:34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spans="1:34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spans="1:34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spans="1:34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spans="1:34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spans="1:34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spans="1:34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spans="1:34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spans="1:34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spans="1:34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spans="1:34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spans="1:34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spans="1:34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spans="1:34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spans="1:34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spans="1:34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spans="1:34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spans="1:34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spans="1:34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spans="1:34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spans="1:34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spans="1:34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spans="1:34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spans="1:34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spans="1:34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spans="1:34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spans="1:34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spans="1:34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spans="1:34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spans="1:34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spans="1:34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spans="1:34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spans="1:34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spans="1:34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spans="1:34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spans="1:34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spans="1:34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spans="1:34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spans="1:34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spans="1:34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spans="1:34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spans="1:34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spans="1:34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spans="1:34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spans="1:34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spans="1:34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spans="1:34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spans="1:34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spans="1:34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spans="1:34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spans="1:34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spans="1:34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spans="1:34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spans="1:34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spans="1:34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spans="1:34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spans="1:34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spans="1:34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spans="1:34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spans="1:34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spans="1:34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spans="1:34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spans="1:34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spans="1:34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spans="1:34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spans="1:34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spans="1:34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spans="1:34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spans="1:34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spans="1:34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spans="1:34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spans="1:34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spans="1:34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spans="1:34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spans="1:34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spans="1:34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spans="1:34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spans="1:34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spans="1:34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spans="1:34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spans="1:34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spans="1:34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spans="1:34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spans="1:34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spans="1:34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spans="1:34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spans="1:34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spans="1:34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spans="1:34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spans="1:34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spans="1:34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spans="1:34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spans="1:34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spans="1:34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spans="1:34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spans="1:34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spans="1:34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spans="1:34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spans="1:34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spans="1:34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spans="1:34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spans="1:34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spans="1:34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spans="1:34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spans="1:34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spans="1:34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spans="1:34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spans="1:34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spans="1:34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spans="1:34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spans="1:34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spans="1:34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spans="1:34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spans="1:34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spans="1:34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spans="1:34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spans="1:34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spans="1:34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spans="1:34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spans="1:34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spans="1:34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spans="1:34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spans="1:34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spans="1:34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spans="1:34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spans="1:34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spans="1:34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spans="1:34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spans="1:34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spans="1:34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spans="1:34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spans="1:34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spans="1:34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spans="1:34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spans="1:34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spans="1:34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spans="1:34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spans="1:34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spans="1:34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spans="1:34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spans="1:34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spans="1:34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spans="1:34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spans="1:34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spans="1:34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spans="1:34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spans="1:34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spans="1:34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spans="1:34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spans="1:34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spans="1:34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spans="1:34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spans="1:34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spans="1:34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spans="1:34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spans="1:34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spans="1:34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spans="1:34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spans="1:34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spans="1:34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spans="1:34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spans="1:34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spans="1:34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spans="1:34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spans="1:34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spans="1:34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spans="1:34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spans="1:34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spans="1:34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spans="1:34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spans="1:34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spans="1:34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spans="1:34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spans="1:34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spans="1:34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spans="1:34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spans="1:34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spans="1:34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spans="1:34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spans="1:34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spans="1:34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spans="1:34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spans="1:34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spans="1:34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spans="1:34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spans="1:34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spans="1:34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spans="1:34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spans="1:34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spans="1:34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spans="1:34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spans="1:34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spans="1:34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spans="1:34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spans="1:34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spans="1:34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spans="1:34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spans="1:34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spans="1:34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spans="1:34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spans="1:34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spans="1:34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spans="1:34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spans="1:34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spans="1:34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spans="1:34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spans="1:34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spans="1:34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spans="1:34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spans="1:34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spans="1:34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spans="1:34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spans="1:34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spans="1:34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spans="1:34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spans="1:34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spans="1:34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spans="1:34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spans="1:34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spans="1:34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spans="1:34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spans="1:34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spans="1:34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spans="1:34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spans="1:34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spans="1:34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spans="1:34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spans="1:34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spans="1:34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spans="1:34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spans="1:34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spans="1:34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spans="1:34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spans="1:34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spans="1:34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spans="1:34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spans="1:34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spans="1:34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spans="1:34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spans="1:34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spans="1:34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spans="1:34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spans="1:34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spans="1:34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spans="1:34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spans="1:34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spans="1:34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spans="1:34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spans="1:34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spans="1:34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spans="1:34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spans="1:34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spans="1:34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spans="1:34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spans="1:34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spans="1:34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spans="1:34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spans="1:34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spans="1:34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spans="1:34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spans="1:34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spans="1:34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spans="1:34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spans="1:34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spans="1:34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spans="1:34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spans="1:34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spans="1:34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spans="1:34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spans="1:34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spans="1:34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spans="1:34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spans="1:34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spans="1:34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spans="1:34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spans="1:34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spans="1:34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spans="1:34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spans="1:34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spans="1:34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spans="1:34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spans="1:34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spans="1:34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spans="1:34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spans="1:34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spans="1:34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spans="1:34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spans="1:34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spans="1:34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spans="1:34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spans="1:34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spans="1:34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spans="1:34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spans="1:34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spans="1:34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spans="1:34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spans="1:34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spans="1:34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spans="1:34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spans="1:34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spans="1:34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spans="1:34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spans="1:34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spans="1:34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spans="1:34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spans="1:34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</sheetData>
  <pageMargins left="0.7" right="0.7" top="0.75" bottom="0.75" header="0" footer="0"/>
  <pageSetup orientation="portrait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9442-720B-47CE-86A3-B0F9BD4C8886}">
  <dimension ref="A2:U45"/>
  <sheetViews>
    <sheetView tabSelected="1" topLeftCell="Q1" zoomScale="81" zoomScaleNormal="85" workbookViewId="0">
      <selection activeCell="AB15" sqref="AB15"/>
    </sheetView>
  </sheetViews>
  <sheetFormatPr defaultColWidth="9.140625" defaultRowHeight="15" x14ac:dyDescent="0.25"/>
  <cols>
    <col min="1" max="1" width="22" style="102" customWidth="1"/>
    <col min="2" max="2" width="21.7109375" style="102" customWidth="1"/>
    <col min="3" max="8" width="19.140625" style="103" customWidth="1"/>
    <col min="9" max="9" width="10.140625" style="102" customWidth="1"/>
    <col min="10" max="14" width="9.140625" style="102"/>
    <col min="15" max="15" width="21.140625" style="102" customWidth="1"/>
    <col min="16" max="20" width="18.42578125" style="102" customWidth="1"/>
    <col min="21" max="16384" width="9.140625" style="102"/>
  </cols>
  <sheetData>
    <row r="2" spans="1:21" ht="18.75" x14ac:dyDescent="0.3">
      <c r="A2" s="101" t="s">
        <v>195</v>
      </c>
      <c r="B2" s="102" t="s">
        <v>185</v>
      </c>
      <c r="O2" s="104" t="s">
        <v>186</v>
      </c>
    </row>
    <row r="3" spans="1:21" x14ac:dyDescent="0.25">
      <c r="B3" s="121" t="s">
        <v>198</v>
      </c>
      <c r="C3" s="122" t="s">
        <v>199</v>
      </c>
      <c r="D3" s="122"/>
      <c r="E3" s="122"/>
      <c r="F3" s="122"/>
      <c r="G3" s="122"/>
      <c r="H3" s="116"/>
      <c r="O3" s="121" t="s">
        <v>198</v>
      </c>
      <c r="P3" s="123" t="s">
        <v>199</v>
      </c>
      <c r="Q3" s="123"/>
      <c r="R3" s="123"/>
      <c r="S3" s="123"/>
      <c r="T3" s="106"/>
      <c r="U3" s="107"/>
    </row>
    <row r="4" spans="1:21" x14ac:dyDescent="0.25">
      <c r="B4" s="121"/>
      <c r="C4" s="106" t="s">
        <v>188</v>
      </c>
      <c r="D4" s="106" t="s">
        <v>189</v>
      </c>
      <c r="E4" s="106" t="s">
        <v>32</v>
      </c>
      <c r="F4" s="106" t="s">
        <v>190</v>
      </c>
      <c r="G4" s="106" t="s">
        <v>191</v>
      </c>
      <c r="H4" s="106" t="str">
        <f>'E-Bus Malay'!AR21</f>
        <v>Energy Efficiency</v>
      </c>
      <c r="O4" s="121"/>
      <c r="P4" s="105" t="s">
        <v>188</v>
      </c>
      <c r="Q4" s="105" t="s">
        <v>127</v>
      </c>
      <c r="R4" s="105" t="s">
        <v>191</v>
      </c>
      <c r="S4" s="105" t="s">
        <v>190</v>
      </c>
      <c r="T4" s="105" t="str">
        <f>'ICE-Bus Malay'!AO21</f>
        <v>Energy Efficiency</v>
      </c>
    </row>
    <row r="5" spans="1:21" x14ac:dyDescent="0.25">
      <c r="B5" s="108">
        <f>'E-Bus Malay'!AL22</f>
        <v>-50</v>
      </c>
      <c r="C5" s="109">
        <f>'E-Bus Malay'!AM22</f>
        <v>-30.946488750872508</v>
      </c>
      <c r="D5" s="109">
        <f>'E-Bus Malay'!AN22</f>
        <v>-6.2484172247398808</v>
      </c>
      <c r="E5" s="109">
        <f>'E-Bus Malay'!AO22</f>
        <v>-3.6248705070488891</v>
      </c>
      <c r="F5" s="109">
        <f>'E-Bus Malay'!AP22</f>
        <v>-18.928574002653335</v>
      </c>
      <c r="G5" s="109">
        <f>'E-Bus Malay'!AQ22</f>
        <v>-12.680156777913481</v>
      </c>
      <c r="H5" s="109">
        <f>'E-Bus Malay'!AR22</f>
        <v>6.2484172247398053</v>
      </c>
      <c r="O5" s="108">
        <f>'ICE-Bus Malay'!AJ22</f>
        <v>-50</v>
      </c>
      <c r="P5" s="110">
        <f>'ICE-Bus Malay'!AK22</f>
        <v>-25.300418146249825</v>
      </c>
      <c r="Q5" s="110">
        <f>'ICE-Bus Malay'!AL22</f>
        <v>-13.090182437646348</v>
      </c>
      <c r="R5" s="110">
        <f>'ICE-Bus Malay'!AM22</f>
        <v>-11.706505811049997</v>
      </c>
      <c r="S5" s="110">
        <f>'ICE-Bus Malay'!AN22</f>
        <v>-24.796688248696313</v>
      </c>
      <c r="T5" s="110">
        <f>'ICE-Bus Malay'!AO22</f>
        <v>13.090182437646302</v>
      </c>
    </row>
    <row r="6" spans="1:21" x14ac:dyDescent="0.25">
      <c r="B6" s="108">
        <f>'E-Bus Malay'!AL23</f>
        <v>-40</v>
      </c>
      <c r="C6" s="109">
        <f>'E-Bus Malay'!AM23</f>
        <v>-24.757191000698018</v>
      </c>
      <c r="D6" s="109">
        <f>'E-Bus Malay'!AN23</f>
        <v>-4.9987337797919196</v>
      </c>
      <c r="E6" s="109">
        <f>'E-Bus Malay'!AO23</f>
        <v>-2.899896405639145</v>
      </c>
      <c r="F6" s="109">
        <f>'E-Bus Malay'!AP23</f>
        <v>-15.142859202122686</v>
      </c>
      <c r="G6" s="109">
        <f>'E-Bus Malay'!AQ23</f>
        <v>-10.144125422330784</v>
      </c>
      <c r="H6" s="109">
        <f>'E-Bus Malay'!AR23</f>
        <v>4.9987337797918636</v>
      </c>
      <c r="O6" s="108">
        <f>'ICE-Bus Malay'!AJ23</f>
        <v>-40</v>
      </c>
      <c r="P6" s="110">
        <f>'ICE-Bus Malay'!AK23</f>
        <v>-20.240334516999852</v>
      </c>
      <c r="Q6" s="110">
        <f>'ICE-Bus Malay'!AL23</f>
        <v>-10.472145950117079</v>
      </c>
      <c r="R6" s="110">
        <f>'ICE-Bus Malay'!AM23</f>
        <v>-9.3652046488399634</v>
      </c>
      <c r="S6" s="110">
        <f>'ICE-Bus Malay'!AN23</f>
        <v>-19.837350598957045</v>
      </c>
      <c r="T6" s="110">
        <f>'ICE-Bus Malay'!AO23</f>
        <v>10.472145950117021</v>
      </c>
    </row>
    <row r="7" spans="1:21" x14ac:dyDescent="0.25">
      <c r="B7" s="108">
        <f>'E-Bus Malay'!AL24</f>
        <v>-30</v>
      </c>
      <c r="C7" s="109">
        <f>'E-Bus Malay'!AM24</f>
        <v>-18.567893250523518</v>
      </c>
      <c r="D7" s="109">
        <f>'E-Bus Malay'!AN24</f>
        <v>-3.749050334843921</v>
      </c>
      <c r="E7" s="109">
        <f>'E-Bus Malay'!AO24</f>
        <v>-2.1749223042293258</v>
      </c>
      <c r="F7" s="109">
        <f>'E-Bus Malay'!AP24</f>
        <v>-11.357144401591992</v>
      </c>
      <c r="G7" s="109">
        <f>'E-Bus Malay'!AQ24</f>
        <v>-7.6080940667480892</v>
      </c>
      <c r="H7" s="109">
        <f>'E-Bus Malay'!AR24</f>
        <v>3.7490503348439024</v>
      </c>
      <c r="O7" s="108">
        <f>'ICE-Bus Malay'!AJ24</f>
        <v>-30</v>
      </c>
      <c r="P7" s="110">
        <f>'ICE-Bus Malay'!AK24</f>
        <v>-15.180250887749883</v>
      </c>
      <c r="Q7" s="110">
        <f>'ICE-Bus Malay'!AL24</f>
        <v>-7.8541094625877976</v>
      </c>
      <c r="R7" s="110">
        <f>'ICE-Bus Malay'!AM24</f>
        <v>-7.0239034866300161</v>
      </c>
      <c r="S7" s="110">
        <f>'ICE-Bus Malay'!AN24</f>
        <v>-14.878012949217814</v>
      </c>
      <c r="T7" s="110">
        <f>'ICE-Bus Malay'!AO24</f>
        <v>7.854109462587755</v>
      </c>
    </row>
    <row r="8" spans="1:21" x14ac:dyDescent="0.25">
      <c r="B8" s="108">
        <f>'E-Bus Malay'!AL25</f>
        <v>-20</v>
      </c>
      <c r="C8" s="109">
        <f>'E-Bus Malay'!AM25</f>
        <v>-12.378595500349018</v>
      </c>
      <c r="D8" s="109">
        <f>'E-Bus Malay'!AN25</f>
        <v>-2.4993668898959598</v>
      </c>
      <c r="E8" s="109">
        <f>'E-Bus Malay'!AO25</f>
        <v>-1.4499482028195632</v>
      </c>
      <c r="F8" s="109">
        <f>'E-Bus Malay'!AP25</f>
        <v>-7.571429601061352</v>
      </c>
      <c r="G8" s="109">
        <f>'E-Bus Malay'!AQ25</f>
        <v>-5.0720627111654117</v>
      </c>
      <c r="H8" s="109">
        <f>'E-Bus Malay'!AR25</f>
        <v>2.4993668898959034</v>
      </c>
      <c r="O8" s="108">
        <f>'ICE-Bus Malay'!AJ25</f>
        <v>-20</v>
      </c>
      <c r="P8" s="110">
        <f>'ICE-Bus Malay'!AK25</f>
        <v>-10.120167258499912</v>
      </c>
      <c r="Q8" s="110">
        <f>'ICE-Bus Malay'!AL25</f>
        <v>-5.2360729750585469</v>
      </c>
      <c r="R8" s="110">
        <f>'ICE-Bus Malay'!AM25</f>
        <v>-4.6826023244199959</v>
      </c>
      <c r="S8" s="110">
        <f>'ICE-Bus Malay'!AN25</f>
        <v>-9.9186752994785277</v>
      </c>
      <c r="T8" s="110">
        <f>'ICE-Bus Malay'!AO25</f>
        <v>5.2360729750585033</v>
      </c>
    </row>
    <row r="9" spans="1:21" x14ac:dyDescent="0.25">
      <c r="B9" s="108">
        <f>'E-Bus Malay'!AL26</f>
        <v>-10</v>
      </c>
      <c r="C9" s="109">
        <f>'E-Bus Malay'!AM26</f>
        <v>-6.1892977501745001</v>
      </c>
      <c r="D9" s="109">
        <f>'E-Bus Malay'!AN26</f>
        <v>-1.2496834449480365</v>
      </c>
      <c r="E9" s="109">
        <f>'E-Bus Malay'!AO26</f>
        <v>-0.72497410140980034</v>
      </c>
      <c r="F9" s="109">
        <f>'E-Bus Malay'!AP26</f>
        <v>-3.7857148005306951</v>
      </c>
      <c r="G9" s="109">
        <f>'E-Bus Malay'!AQ26</f>
        <v>-2.5360313555826961</v>
      </c>
      <c r="H9" s="109">
        <f>'E-Bus Malay'!AR26</f>
        <v>1.249683444947961</v>
      </c>
      <c r="O9" s="108">
        <f>'ICE-Bus Malay'!AJ26</f>
        <v>-10</v>
      </c>
      <c r="P9" s="110">
        <f>'ICE-Bus Malay'!AK26</f>
        <v>-5.0600836292499709</v>
      </c>
      <c r="Q9" s="110">
        <f>'ICE-Bus Malay'!AL26</f>
        <v>-2.618036487529281</v>
      </c>
      <c r="R9" s="110">
        <f>'ICE-Bus Malay'!AM26</f>
        <v>-2.3413011622100344</v>
      </c>
      <c r="S9" s="110">
        <f>'ICE-Bus Malay'!AN26</f>
        <v>-4.9593376497393011</v>
      </c>
      <c r="T9" s="110">
        <f>'ICE-Bus Malay'!AO26</f>
        <v>2.6180364875292224</v>
      </c>
    </row>
    <row r="10" spans="1:21" x14ac:dyDescent="0.25">
      <c r="B10" s="108">
        <f>'E-Bus Malay'!AL27</f>
        <v>0</v>
      </c>
      <c r="C10" s="109">
        <f>'E-Bus Malay'!AM27</f>
        <v>0</v>
      </c>
      <c r="D10" s="109">
        <f>'E-Bus Malay'!AN27</f>
        <v>0</v>
      </c>
      <c r="E10" s="109">
        <f>'E-Bus Malay'!AO27</f>
        <v>0</v>
      </c>
      <c r="F10" s="109">
        <f>'E-Bus Malay'!AP27</f>
        <v>0</v>
      </c>
      <c r="G10" s="109">
        <f>'E-Bus Malay'!AQ27</f>
        <v>0</v>
      </c>
      <c r="H10" s="109">
        <f>'E-Bus Malay'!AR27</f>
        <v>0</v>
      </c>
      <c r="O10" s="108">
        <f>'ICE-Bus Malay'!AJ27</f>
        <v>0</v>
      </c>
      <c r="P10" s="110">
        <f>'ICE-Bus Malay'!AK27</f>
        <v>0</v>
      </c>
      <c r="Q10" s="110">
        <f>'ICE-Bus Malay'!AL27</f>
        <v>0</v>
      </c>
      <c r="R10" s="110">
        <f>'ICE-Bus Malay'!AM27</f>
        <v>0</v>
      </c>
      <c r="S10" s="110">
        <f>'ICE-Bus Malay'!AN27</f>
        <v>0</v>
      </c>
      <c r="T10" s="110">
        <f>'ICE-Bus Malay'!AO27</f>
        <v>0</v>
      </c>
    </row>
    <row r="11" spans="1:21" x14ac:dyDescent="0.25">
      <c r="B11" s="108">
        <f>'E-Bus Malay'!AL28</f>
        <v>10</v>
      </c>
      <c r="C11" s="109">
        <f>'E-Bus Malay'!AM28</f>
        <v>6.1892977501745001</v>
      </c>
      <c r="D11" s="109">
        <f>'E-Bus Malay'!AN28</f>
        <v>1.249683444947961</v>
      </c>
      <c r="E11" s="109">
        <f>'E-Bus Malay'!AO28</f>
        <v>0.72497410140976271</v>
      </c>
      <c r="F11" s="109">
        <f>'E-Bus Malay'!AP28</f>
        <v>3.78571480053062</v>
      </c>
      <c r="G11" s="109">
        <f>'E-Bus Malay'!AQ28</f>
        <v>2.5360313555826774</v>
      </c>
      <c r="H11" s="109">
        <f>'E-Bus Malay'!AR28</f>
        <v>-1.2496834449480365</v>
      </c>
      <c r="O11" s="108">
        <f>'ICE-Bus Malay'!AJ28</f>
        <v>10</v>
      </c>
      <c r="P11" s="110">
        <f>'ICE-Bus Malay'!AK28</f>
        <v>5.0600836292499416</v>
      </c>
      <c r="Q11" s="110">
        <f>'ICE-Bus Malay'!AL28</f>
        <v>2.6180364875292224</v>
      </c>
      <c r="R11" s="110">
        <f>'ICE-Bus Malay'!AM28</f>
        <v>2.3413011622099762</v>
      </c>
      <c r="S11" s="110">
        <f>'ICE-Bus Malay'!AN28</f>
        <v>4.9593376497392416</v>
      </c>
      <c r="T11" s="110">
        <f>'ICE-Bus Malay'!AO28</f>
        <v>-2.618036487529281</v>
      </c>
    </row>
    <row r="12" spans="1:21" x14ac:dyDescent="0.25">
      <c r="B12" s="108">
        <f>'E-Bus Malay'!AL29</f>
        <v>20</v>
      </c>
      <c r="C12" s="109">
        <f>'E-Bus Malay'!AM29</f>
        <v>12.378595500348981</v>
      </c>
      <c r="D12" s="109">
        <f>'E-Bus Malay'!AN29</f>
        <v>2.4993668898959034</v>
      </c>
      <c r="E12" s="109">
        <f>'E-Bus Malay'!AO29</f>
        <v>1.4499482028195443</v>
      </c>
      <c r="F12" s="109">
        <f>'E-Bus Malay'!AP29</f>
        <v>7.5714296010612774</v>
      </c>
      <c r="G12" s="109">
        <f>'E-Bus Malay'!AQ29</f>
        <v>5.0720627111653735</v>
      </c>
      <c r="H12" s="109">
        <f>'E-Bus Malay'!AR29</f>
        <v>-2.4993668898959598</v>
      </c>
      <c r="O12" s="108">
        <f>'ICE-Bus Malay'!AJ29</f>
        <v>20</v>
      </c>
      <c r="P12" s="110">
        <f>'ICE-Bus Malay'!AK29</f>
        <v>10.120167258499912</v>
      </c>
      <c r="Q12" s="110">
        <f>'ICE-Bus Malay'!AL29</f>
        <v>5.2360729750585033</v>
      </c>
      <c r="R12" s="110">
        <f>'ICE-Bus Malay'!AM29</f>
        <v>4.6826023244199666</v>
      </c>
      <c r="S12" s="110">
        <f>'ICE-Bus Malay'!AN29</f>
        <v>9.9186752994784833</v>
      </c>
      <c r="T12" s="110">
        <f>'ICE-Bus Malay'!AO29</f>
        <v>-5.2360729750585469</v>
      </c>
    </row>
    <row r="13" spans="1:21" x14ac:dyDescent="0.25">
      <c r="B13" s="108">
        <f>'E-Bus Malay'!AL30</f>
        <v>30</v>
      </c>
      <c r="C13" s="109">
        <f>'E-Bus Malay'!AM30</f>
        <v>18.567893250523483</v>
      </c>
      <c r="D13" s="109">
        <f>'E-Bus Malay'!AN30</f>
        <v>3.7490503348439024</v>
      </c>
      <c r="E13" s="109">
        <f>'E-Bus Malay'!AO30</f>
        <v>2.1749223042293071</v>
      </c>
      <c r="F13" s="109">
        <f>'E-Bus Malay'!AP30</f>
        <v>11.357144401591954</v>
      </c>
      <c r="G13" s="109">
        <f>'E-Bus Malay'!AQ30</f>
        <v>7.6080940667480705</v>
      </c>
      <c r="H13" s="109">
        <f>'E-Bus Malay'!AR30</f>
        <v>-3.749050334843921</v>
      </c>
      <c r="O13" s="108">
        <f>'ICE-Bus Malay'!AJ30</f>
        <v>30</v>
      </c>
      <c r="P13" s="110">
        <f>'ICE-Bus Malay'!AK30</f>
        <v>15.180250887749883</v>
      </c>
      <c r="Q13" s="110">
        <f>'ICE-Bus Malay'!AL30</f>
        <v>7.854109462587755</v>
      </c>
      <c r="R13" s="110">
        <f>'ICE-Bus Malay'!AM30</f>
        <v>7.0239034866299423</v>
      </c>
      <c r="S13" s="110">
        <f>'ICE-Bus Malay'!AN30</f>
        <v>14.878012949217755</v>
      </c>
      <c r="T13" s="110">
        <f>'ICE-Bus Malay'!AO30</f>
        <v>-7.8541094625877976</v>
      </c>
    </row>
    <row r="14" spans="1:21" x14ac:dyDescent="0.25">
      <c r="B14" s="108">
        <f>'E-Bus Malay'!AL31</f>
        <v>40</v>
      </c>
      <c r="C14" s="109">
        <f>'E-Bus Malay'!AM31</f>
        <v>24.757191000697944</v>
      </c>
      <c r="D14" s="109">
        <f>'E-Bus Malay'!AN31</f>
        <v>4.9987337797918636</v>
      </c>
      <c r="E14" s="109">
        <f>'E-Bus Malay'!AO31</f>
        <v>2.8998964056391072</v>
      </c>
      <c r="F14" s="109">
        <f>'E-Bus Malay'!AP31</f>
        <v>15.14285920212261</v>
      </c>
      <c r="G14" s="109">
        <f>'E-Bus Malay'!AQ31</f>
        <v>10.144125422330767</v>
      </c>
      <c r="H14" s="109">
        <f>'E-Bus Malay'!AR31</f>
        <v>-4.9987337797919196</v>
      </c>
      <c r="O14" s="108">
        <f>'ICE-Bus Malay'!AJ31</f>
        <v>40</v>
      </c>
      <c r="P14" s="110">
        <f>'ICE-Bus Malay'!AK31</f>
        <v>20.240334516999823</v>
      </c>
      <c r="Q14" s="110">
        <f>'ICE-Bus Malay'!AL31</f>
        <v>10.472145950117021</v>
      </c>
      <c r="R14" s="110">
        <f>'ICE-Bus Malay'!AM31</f>
        <v>9.3652046488399474</v>
      </c>
      <c r="S14" s="110">
        <f>'ICE-Bus Malay'!AN31</f>
        <v>19.837350598956984</v>
      </c>
      <c r="T14" s="110">
        <f>'ICE-Bus Malay'!AO31</f>
        <v>-10.472145950117079</v>
      </c>
    </row>
    <row r="15" spans="1:21" x14ac:dyDescent="0.25">
      <c r="B15" s="108">
        <f>'E-Bus Malay'!AL32</f>
        <v>50</v>
      </c>
      <c r="C15" s="109">
        <f>'E-Bus Malay'!AM32</f>
        <v>30.946488750872465</v>
      </c>
      <c r="D15" s="109">
        <f>'E-Bus Malay'!AN32</f>
        <v>6.2484172247398053</v>
      </c>
      <c r="E15" s="109">
        <f>'E-Bus Malay'!AO32</f>
        <v>3.6248705070488891</v>
      </c>
      <c r="F15" s="109">
        <f>'E-Bus Malay'!AP32</f>
        <v>22.287403913637053</v>
      </c>
      <c r="G15" s="109">
        <f>'E-Bus Malay'!AQ32</f>
        <v>12.680156777913462</v>
      </c>
      <c r="H15" s="109">
        <f>'E-Bus Malay'!AR32</f>
        <v>-6.2484172247398808</v>
      </c>
      <c r="O15" s="108">
        <f>'ICE-Bus Malay'!AJ32</f>
        <v>50</v>
      </c>
      <c r="P15" s="110">
        <f>'ICE-Bus Malay'!AK32</f>
        <v>25.300418146249793</v>
      </c>
      <c r="Q15" s="110">
        <f>'ICE-Bus Malay'!AL32</f>
        <v>13.090182437646302</v>
      </c>
      <c r="R15" s="110">
        <f>'ICE-Bus Malay'!AM32</f>
        <v>11.706505811049924</v>
      </c>
      <c r="S15" s="110">
        <f>'ICE-Bus Malay'!AN32</f>
        <v>24.796688248696242</v>
      </c>
      <c r="T15" s="110">
        <f>'ICE-Bus Malay'!AO32</f>
        <v>-13.090182437646348</v>
      </c>
    </row>
    <row r="17" spans="2:20" x14ac:dyDescent="0.25">
      <c r="B17" s="104" t="s">
        <v>192</v>
      </c>
      <c r="O17" s="104" t="s">
        <v>193</v>
      </c>
    </row>
    <row r="18" spans="2:20" x14ac:dyDescent="0.25">
      <c r="B18" s="121" t="s">
        <v>198</v>
      </c>
      <c r="C18" s="122" t="s">
        <v>199</v>
      </c>
      <c r="D18" s="122"/>
      <c r="E18" s="122"/>
      <c r="F18" s="122"/>
      <c r="G18" s="122"/>
      <c r="H18" s="116"/>
      <c r="O18" s="121" t="s">
        <v>198</v>
      </c>
      <c r="P18" s="123" t="s">
        <v>199</v>
      </c>
      <c r="Q18" s="123"/>
      <c r="R18" s="123"/>
      <c r="S18" s="123"/>
      <c r="T18" s="106"/>
    </row>
    <row r="19" spans="2:20" x14ac:dyDescent="0.25">
      <c r="B19" s="121"/>
      <c r="C19" s="106" t="s">
        <v>188</v>
      </c>
      <c r="D19" s="106" t="s">
        <v>189</v>
      </c>
      <c r="E19" s="106" t="s">
        <v>32</v>
      </c>
      <c r="F19" s="106" t="s">
        <v>190</v>
      </c>
      <c r="G19" s="106" t="s">
        <v>191</v>
      </c>
      <c r="H19" s="106" t="str">
        <f>'E-Truck Malay'!AR21</f>
        <v>Energy Efficiency</v>
      </c>
      <c r="O19" s="121"/>
      <c r="P19" s="105" t="s">
        <v>188</v>
      </c>
      <c r="Q19" s="105" t="s">
        <v>127</v>
      </c>
      <c r="R19" s="105" t="s">
        <v>191</v>
      </c>
      <c r="S19" s="105" t="s">
        <v>190</v>
      </c>
      <c r="T19" s="105" t="str">
        <f>'ICE-Truck Malay'!AO21</f>
        <v>Energy Efficiency</v>
      </c>
    </row>
    <row r="20" spans="2:20" x14ac:dyDescent="0.25">
      <c r="B20" s="108">
        <f>'E-Truck Malay'!AL22</f>
        <v>-50</v>
      </c>
      <c r="C20" s="109">
        <f>'E-Truck Malay'!AM22</f>
        <v>-34.766018580024785</v>
      </c>
      <c r="D20" s="109">
        <f>'E-Truck Malay'!AN22</f>
        <v>-3.7075015755678336</v>
      </c>
      <c r="E20" s="109">
        <f>'E-Truck Malay'!AO22</f>
        <v>-5.823401105322775</v>
      </c>
      <c r="F20" s="109">
        <f>'E-Truck Malay'!AP22</f>
        <v>-16.151265605391131</v>
      </c>
      <c r="G20" s="109">
        <f>'E-Truck Malay'!AQ22</f>
        <v>-6.7128152249046291</v>
      </c>
      <c r="H20" s="109">
        <f>'E-Truck Malay'!AR22</f>
        <v>3.7075015755678336</v>
      </c>
      <c r="O20" s="108">
        <f>'ICE-Truck Malay'!AJ22</f>
        <v>-50</v>
      </c>
      <c r="P20" s="110">
        <f>'ICE-Truck Malay'!AK22</f>
        <v>-14.321076236590152</v>
      </c>
      <c r="Q20" s="110">
        <f>'ICE-Truck Malay'!AL22</f>
        <v>-14.056318940824827</v>
      </c>
      <c r="R20" s="110">
        <f>'ICE-Truck Malay'!AM22</f>
        <v>-18.508275307689399</v>
      </c>
      <c r="S20" s="110">
        <f>'ICE-Truck Malay'!AN22</f>
        <v>-32.564594248514233</v>
      </c>
      <c r="T20" s="110">
        <f>'ICE-Truck Malay'!AO22</f>
        <v>14.056318940824861</v>
      </c>
    </row>
    <row r="21" spans="2:20" x14ac:dyDescent="0.25">
      <c r="B21" s="108">
        <f>'E-Truck Malay'!AL23</f>
        <v>-40</v>
      </c>
      <c r="C21" s="109">
        <f>'E-Truck Malay'!AM23</f>
        <v>-27.812814864019835</v>
      </c>
      <c r="D21" s="109">
        <f>'E-Truck Malay'!AN23</f>
        <v>-2.9660012604542851</v>
      </c>
      <c r="E21" s="109">
        <f>'E-Truck Malay'!AO23</f>
        <v>-4.6587208842582255</v>
      </c>
      <c r="F21" s="109">
        <f>'E-Truck Malay'!AP23</f>
        <v>-9.3523364805844924</v>
      </c>
      <c r="G21" s="109">
        <f>'E-Truck Malay'!AQ23</f>
        <v>-5.370252179923714</v>
      </c>
      <c r="H21" s="109">
        <f>'E-Truck Malay'!AR23</f>
        <v>2.9660012604542461</v>
      </c>
      <c r="O21" s="108">
        <f>'ICE-Truck Malay'!AJ23</f>
        <v>-40</v>
      </c>
      <c r="P21" s="110">
        <f>'ICE-Truck Malay'!AK23</f>
        <v>-11.456860989272124</v>
      </c>
      <c r="Q21" s="110">
        <f>'ICE-Truck Malay'!AL23</f>
        <v>-11.245055152659877</v>
      </c>
      <c r="R21" s="110">
        <f>'ICE-Truck Malay'!AM23</f>
        <v>-14.806620246151503</v>
      </c>
      <c r="S21" s="110">
        <f>'ICE-Truck Malay'!AN23</f>
        <v>-26.05167539881138</v>
      </c>
      <c r="T21" s="110">
        <f>'ICE-Truck Malay'!AO23</f>
        <v>11.245055152659896</v>
      </c>
    </row>
    <row r="22" spans="2:20" x14ac:dyDescent="0.25">
      <c r="B22" s="108">
        <f>'E-Truck Malay'!AL24</f>
        <v>-30</v>
      </c>
      <c r="C22" s="109">
        <f>'E-Truck Malay'!AM24</f>
        <v>-20.859611148014885</v>
      </c>
      <c r="D22" s="109">
        <f>'E-Truck Malay'!AN24</f>
        <v>-2.2245009453407238</v>
      </c>
      <c r="E22" s="109">
        <f>'E-Truck Malay'!AO24</f>
        <v>-3.4940406631936498</v>
      </c>
      <c r="F22" s="109">
        <f>'E-Truck Malay'!AP24</f>
        <v>-7.0325298322543572</v>
      </c>
      <c r="G22" s="109">
        <f>'E-Truck Malay'!AQ24</f>
        <v>-4.0276891349427846</v>
      </c>
      <c r="H22" s="109">
        <f>'E-Truck Malay'!AR24</f>
        <v>2.2245009453406848</v>
      </c>
      <c r="O22" s="108">
        <f>'ICE-Truck Malay'!AJ24</f>
        <v>-30</v>
      </c>
      <c r="P22" s="110">
        <f>'ICE-Truck Malay'!AK24</f>
        <v>-8.5926457419540956</v>
      </c>
      <c r="Q22" s="110">
        <f>'ICE-Truck Malay'!AL24</f>
        <v>-8.4337913644949012</v>
      </c>
      <c r="R22" s="110">
        <f>'ICE-Truck Malay'!AM24</f>
        <v>-11.104965184613651</v>
      </c>
      <c r="S22" s="110">
        <f>'ICE-Truck Malay'!AN24</f>
        <v>-19.538756549108552</v>
      </c>
      <c r="T22" s="110">
        <f>'ICE-Truck Malay'!AO24</f>
        <v>8.4337913644949118</v>
      </c>
    </row>
    <row r="23" spans="2:20" x14ac:dyDescent="0.25">
      <c r="B23" s="108">
        <f>'E-Truck Malay'!AL25</f>
        <v>-20</v>
      </c>
      <c r="C23" s="109">
        <f>'E-Truck Malay'!AM25</f>
        <v>-13.906407432009903</v>
      </c>
      <c r="D23" s="109">
        <f>'E-Truck Malay'!AN25</f>
        <v>-1.483000630227123</v>
      </c>
      <c r="E23" s="109">
        <f>'E-Truck Malay'!AO25</f>
        <v>-2.3293604421291256</v>
      </c>
      <c r="F23" s="109">
        <f>'E-Truck Malay'!AP25</f>
        <v>-4.7009360195125112</v>
      </c>
      <c r="G23" s="109">
        <f>'E-Truck Malay'!AQ25</f>
        <v>-2.6851260899618703</v>
      </c>
      <c r="H23" s="109">
        <f>'E-Truck Malay'!AR25</f>
        <v>1.4830006302271099</v>
      </c>
      <c r="O23" s="108">
        <f>'ICE-Truck Malay'!AJ25</f>
        <v>-20</v>
      </c>
      <c r="P23" s="110">
        <f>'ICE-Truck Malay'!AK25</f>
        <v>-5.7284304946360454</v>
      </c>
      <c r="Q23" s="110">
        <f>'ICE-Truck Malay'!AL25</f>
        <v>-5.6225275763299267</v>
      </c>
      <c r="R23" s="110">
        <f>'ICE-Truck Malay'!AM25</f>
        <v>-7.4033101230757348</v>
      </c>
      <c r="S23" s="110">
        <f>'ICE-Truck Malay'!AN25</f>
        <v>-13.025837699405695</v>
      </c>
      <c r="T23" s="110">
        <f>'ICE-Truck Malay'!AO25</f>
        <v>5.6225275763299267</v>
      </c>
    </row>
    <row r="24" spans="2:20" x14ac:dyDescent="0.25">
      <c r="B24" s="108">
        <f>'E-Truck Malay'!AL26</f>
        <v>-10</v>
      </c>
      <c r="C24" s="109">
        <f>'E-Truck Malay'!AM26</f>
        <v>-6.9532037160049516</v>
      </c>
      <c r="D24" s="109">
        <f>'E-Truck Malay'!AN26</f>
        <v>-0.74150031511357462</v>
      </c>
      <c r="E24" s="109">
        <f>'E-Truck Malay'!AO26</f>
        <v>-1.1646802210645499</v>
      </c>
      <c r="F24" s="109">
        <f>'E-Truck Malay'!AP26</f>
        <v>-2.3569656841382436</v>
      </c>
      <c r="G24" s="109">
        <f>'E-Truck Malay'!AQ26</f>
        <v>-1.3425630449809547</v>
      </c>
      <c r="H24" s="109">
        <f>'E-Truck Malay'!AR26</f>
        <v>0.7415003151135483</v>
      </c>
      <c r="O24" s="108">
        <f>'ICE-Truck Malay'!AJ26</f>
        <v>-10</v>
      </c>
      <c r="P24" s="110">
        <f>'ICE-Truck Malay'!AK26</f>
        <v>-2.8642152473180174</v>
      </c>
      <c r="Q24" s="110">
        <f>'ICE-Truck Malay'!AL26</f>
        <v>-2.8112637881649851</v>
      </c>
      <c r="R24" s="110">
        <f>'ICE-Truck Malay'!AM26</f>
        <v>-3.7016550615378616</v>
      </c>
      <c r="S24" s="110">
        <f>'ICE-Truck Malay'!AN26</f>
        <v>-6.512918849702837</v>
      </c>
      <c r="T24" s="110">
        <f>'ICE-Truck Malay'!AO26</f>
        <v>2.8112637881649634</v>
      </c>
    </row>
    <row r="25" spans="2:20" x14ac:dyDescent="0.25">
      <c r="B25" s="108">
        <f>'E-Truck Malay'!AL27</f>
        <v>0</v>
      </c>
      <c r="C25" s="109">
        <f>'E-Truck Malay'!AM27</f>
        <v>0</v>
      </c>
      <c r="D25" s="109">
        <f>'E-Truck Malay'!AN27</f>
        <v>0</v>
      </c>
      <c r="E25" s="109">
        <f>'E-Truck Malay'!AO27</f>
        <v>0</v>
      </c>
      <c r="F25" s="109">
        <f>'E-Truck Malay'!AP27</f>
        <v>0</v>
      </c>
      <c r="G25" s="109">
        <f>'E-Truck Malay'!AQ27</f>
        <v>0</v>
      </c>
      <c r="H25" s="109">
        <f>'E-Truck Malay'!AR27</f>
        <v>0</v>
      </c>
      <c r="O25" s="108">
        <f>'ICE-Truck Malay'!AJ27</f>
        <v>0</v>
      </c>
      <c r="P25" s="110">
        <f>'ICE-Truck Malay'!AK27</f>
        <v>0</v>
      </c>
      <c r="Q25" s="110">
        <f>'ICE-Truck Malay'!AL27</f>
        <v>0</v>
      </c>
      <c r="R25" s="110">
        <f>'ICE-Truck Malay'!AM27</f>
        <v>0</v>
      </c>
      <c r="S25" s="110">
        <f>'ICE-Truck Malay'!AN27</f>
        <v>0</v>
      </c>
      <c r="T25" s="110">
        <f>'ICE-Truck Malay'!AO27</f>
        <v>0</v>
      </c>
    </row>
    <row r="26" spans="2:20" x14ac:dyDescent="0.25">
      <c r="B26" s="108">
        <f>'E-Truck Malay'!AL28</f>
        <v>10</v>
      </c>
      <c r="C26" s="109">
        <f>'E-Truck Malay'!AM28</f>
        <v>6.9532037160049516</v>
      </c>
      <c r="D26" s="109">
        <f>'E-Truck Malay'!AN28</f>
        <v>0.7415003151135483</v>
      </c>
      <c r="E26" s="109">
        <f>'E-Truck Malay'!AO28</f>
        <v>1.1646802210645499</v>
      </c>
      <c r="F26" s="109">
        <f>'E-Truck Malay'!AP28</f>
        <v>2.0840633600944898</v>
      </c>
      <c r="G26" s="109">
        <f>'E-Truck Malay'!AQ28</f>
        <v>1.3425630449809285</v>
      </c>
      <c r="H26" s="109">
        <f>'E-Truck Malay'!AR28</f>
        <v>-0.74150031511357462</v>
      </c>
      <c r="O26" s="108">
        <f>'ICE-Truck Malay'!AJ28</f>
        <v>10</v>
      </c>
      <c r="P26" s="110">
        <f>'ICE-Truck Malay'!AK28</f>
        <v>2.8642152473180391</v>
      </c>
      <c r="Q26" s="110">
        <f>'ICE-Truck Malay'!AL28</f>
        <v>2.8112637881649634</v>
      </c>
      <c r="R26" s="110">
        <f>'ICE-Truck Malay'!AM28</f>
        <v>3.7016550615378945</v>
      </c>
      <c r="S26" s="110">
        <f>'ICE-Truck Malay'!AN28</f>
        <v>6.512918849702837</v>
      </c>
      <c r="T26" s="110">
        <f>'ICE-Truck Malay'!AO28</f>
        <v>-2.8112637881649851</v>
      </c>
    </row>
    <row r="27" spans="2:20" x14ac:dyDescent="0.25">
      <c r="B27" s="108">
        <f>'E-Truck Malay'!AL29</f>
        <v>20</v>
      </c>
      <c r="C27" s="109">
        <f>'E-Truck Malay'!AM29</f>
        <v>13.906407432009903</v>
      </c>
      <c r="D27" s="109">
        <f>'E-Truck Malay'!AN29</f>
        <v>1.4830006302271099</v>
      </c>
      <c r="E27" s="109">
        <f>'E-Truck Malay'!AO29</f>
        <v>2.3293604421290732</v>
      </c>
      <c r="F27" s="109">
        <f>'E-Truck Malay'!AP29</f>
        <v>9.1695399251470491</v>
      </c>
      <c r="G27" s="109">
        <f>'E-Truck Malay'!AQ29</f>
        <v>2.6851260899618437</v>
      </c>
      <c r="H27" s="109">
        <f>'E-Truck Malay'!AR29</f>
        <v>-1.483000630227123</v>
      </c>
      <c r="O27" s="108">
        <f>'ICE-Truck Malay'!AJ29</f>
        <v>20</v>
      </c>
      <c r="P27" s="110">
        <f>'ICE-Truck Malay'!AK29</f>
        <v>5.7284304946360782</v>
      </c>
      <c r="Q27" s="110">
        <f>'ICE-Truck Malay'!AL29</f>
        <v>5.6225275763299267</v>
      </c>
      <c r="R27" s="110">
        <f>'ICE-Truck Malay'!AM29</f>
        <v>7.4033101230757463</v>
      </c>
      <c r="S27" s="110">
        <f>'ICE-Truck Malay'!AN29</f>
        <v>13.025837699405715</v>
      </c>
      <c r="T27" s="110">
        <f>'ICE-Truck Malay'!AO29</f>
        <v>-5.6225275763299267</v>
      </c>
    </row>
    <row r="28" spans="2:20" x14ac:dyDescent="0.25">
      <c r="B28" s="108">
        <f>'E-Truck Malay'!AL30</f>
        <v>30</v>
      </c>
      <c r="C28" s="109">
        <f>'E-Truck Malay'!AM30</f>
        <v>20.859611148014856</v>
      </c>
      <c r="D28" s="109">
        <f>'E-Truck Malay'!AN30</f>
        <v>2.2245009453406848</v>
      </c>
      <c r="E28" s="109">
        <f>'E-Truck Malay'!AO30</f>
        <v>3.4940406631936498</v>
      </c>
      <c r="F28" s="109">
        <f>'E-Truck Malay'!AP30</f>
        <v>11.253603285241551</v>
      </c>
      <c r="G28" s="109">
        <f>'E-Truck Malay'!AQ30</f>
        <v>4.0276891349427597</v>
      </c>
      <c r="H28" s="109">
        <f>'E-Truck Malay'!AR30</f>
        <v>-2.2245009453407238</v>
      </c>
      <c r="O28" s="108">
        <f>'ICE-Truck Malay'!AJ30</f>
        <v>30</v>
      </c>
      <c r="P28" s="110">
        <f>'ICE-Truck Malay'!AK30</f>
        <v>8.5926457419541169</v>
      </c>
      <c r="Q28" s="110">
        <f>'ICE-Truck Malay'!AL30</f>
        <v>8.4337913644949118</v>
      </c>
      <c r="R28" s="110">
        <f>'ICE-Truck Malay'!AM30</f>
        <v>11.104965184613642</v>
      </c>
      <c r="S28" s="110">
        <f>'ICE-Truck Malay'!AN30</f>
        <v>19.538756549108552</v>
      </c>
      <c r="T28" s="110">
        <f>'ICE-Truck Malay'!AO30</f>
        <v>-8.4337913644949225</v>
      </c>
    </row>
    <row r="29" spans="2:20" x14ac:dyDescent="0.25">
      <c r="B29" s="108">
        <f>'E-Truck Malay'!AL31</f>
        <v>40</v>
      </c>
      <c r="C29" s="109">
        <f>'E-Truck Malay'!AM31</f>
        <v>27.812814864019781</v>
      </c>
      <c r="D29" s="109">
        <f>'E-Truck Malay'!AN31</f>
        <v>2.9660012604542461</v>
      </c>
      <c r="E29" s="109">
        <f>'E-Truck Malay'!AO31</f>
        <v>4.6587208842581731</v>
      </c>
      <c r="F29" s="109">
        <f>'E-Truck Malay'!AP31</f>
        <v>13.337666645336055</v>
      </c>
      <c r="G29" s="109">
        <f>'E-Truck Malay'!AQ31</f>
        <v>5.370252179923674</v>
      </c>
      <c r="H29" s="109">
        <f>'E-Truck Malay'!AR31</f>
        <v>-2.9660012604542851</v>
      </c>
      <c r="O29" s="108">
        <f>'ICE-Truck Malay'!AJ31</f>
        <v>40</v>
      </c>
      <c r="P29" s="110">
        <f>'ICE-Truck Malay'!AK31</f>
        <v>11.456860989272156</v>
      </c>
      <c r="Q29" s="110">
        <f>'ICE-Truck Malay'!AL31</f>
        <v>11.245055152659896</v>
      </c>
      <c r="R29" s="110">
        <f>'ICE-Truck Malay'!AM31</f>
        <v>14.806620246151514</v>
      </c>
      <c r="S29" s="110">
        <f>'ICE-Truck Malay'!AN31</f>
        <v>26.05167539881139</v>
      </c>
      <c r="T29" s="110">
        <f>'ICE-Truck Malay'!AO31</f>
        <v>-11.245055152659877</v>
      </c>
    </row>
    <row r="30" spans="2:20" x14ac:dyDescent="0.25">
      <c r="B30" s="108">
        <f>'E-Truck Malay'!AL32</f>
        <v>50</v>
      </c>
      <c r="C30" s="109">
        <f>'E-Truck Malay'!AM32</f>
        <v>34.766018580024785</v>
      </c>
      <c r="D30" s="109">
        <f>'E-Truck Malay'!AN32</f>
        <v>3.7075015755678336</v>
      </c>
      <c r="E30" s="109">
        <f>'E-Truck Malay'!AO32</f>
        <v>5.8234011053227484</v>
      </c>
      <c r="F30" s="109">
        <f>'E-Truck Malay'!AP32</f>
        <v>16.205878558571769</v>
      </c>
      <c r="G30" s="109">
        <f>'E-Truck Malay'!AQ32</f>
        <v>6.7128152249046291</v>
      </c>
      <c r="H30" s="109">
        <f>'E-Truck Malay'!AR32</f>
        <v>-3.7075015755678336</v>
      </c>
      <c r="O30" s="108">
        <f>'ICE-Truck Malay'!AJ32</f>
        <v>50</v>
      </c>
      <c r="P30" s="110">
        <f>'ICE-Truck Malay'!AK32</f>
        <v>14.321076236590175</v>
      </c>
      <c r="Q30" s="110">
        <f>'ICE-Truck Malay'!AL32</f>
        <v>14.056318940824861</v>
      </c>
      <c r="R30" s="110">
        <f>'ICE-Truck Malay'!AM32</f>
        <v>18.508275307689388</v>
      </c>
      <c r="S30" s="110">
        <f>'ICE-Truck Malay'!AN32</f>
        <v>32.564594248514247</v>
      </c>
      <c r="T30" s="110">
        <f>'ICE-Truck Malay'!AO32</f>
        <v>-14.056318940824827</v>
      </c>
    </row>
    <row r="32" spans="2:20" x14ac:dyDescent="0.25">
      <c r="B32" s="120" t="s">
        <v>201</v>
      </c>
      <c r="O32" s="120" t="s">
        <v>200</v>
      </c>
    </row>
    <row r="33" spans="2:20" x14ac:dyDescent="0.25">
      <c r="B33" s="121" t="s">
        <v>198</v>
      </c>
      <c r="C33" s="122" t="s">
        <v>199</v>
      </c>
      <c r="D33" s="122"/>
      <c r="E33" s="122"/>
      <c r="F33" s="122"/>
      <c r="G33" s="122"/>
      <c r="H33" s="116"/>
      <c r="O33" s="121" t="s">
        <v>198</v>
      </c>
      <c r="P33" s="123" t="s">
        <v>199</v>
      </c>
      <c r="Q33" s="123"/>
      <c r="R33" s="123"/>
      <c r="S33" s="123"/>
      <c r="T33" s="106"/>
    </row>
    <row r="34" spans="2:20" x14ac:dyDescent="0.25">
      <c r="B34" s="121"/>
      <c r="C34" s="106" t="s">
        <v>188</v>
      </c>
      <c r="D34" s="106" t="s">
        <v>189</v>
      </c>
      <c r="E34" s="106" t="s">
        <v>32</v>
      </c>
      <c r="F34" s="106" t="s">
        <v>190</v>
      </c>
      <c r="G34" s="106" t="s">
        <v>191</v>
      </c>
      <c r="H34" s="106" t="str">
        <f>'E-Cargo Malay'!AR21</f>
        <v>Energy Efficiency</v>
      </c>
      <c r="O34" s="121"/>
      <c r="P34" s="105" t="s">
        <v>188</v>
      </c>
      <c r="Q34" s="105" t="s">
        <v>127</v>
      </c>
      <c r="R34" s="105" t="s">
        <v>191</v>
      </c>
      <c r="S34" s="105" t="s">
        <v>190</v>
      </c>
      <c r="T34" s="105" t="str">
        <f>'ICE-Cargo Malay'!AO21</f>
        <v>Energy Efficiency</v>
      </c>
    </row>
    <row r="35" spans="2:20" x14ac:dyDescent="0.25">
      <c r="B35" s="111">
        <f>'E-Cargo Malay'!AL22</f>
        <v>-50</v>
      </c>
      <c r="C35" s="109">
        <f>'E-Cargo Malay'!AM22</f>
        <v>-33.712370502215549</v>
      </c>
      <c r="D35" s="109">
        <f>'E-Cargo Malay'!AN22</f>
        <v>-5.0685812896290008</v>
      </c>
      <c r="E35" s="109">
        <f>'E-Cargo Malay'!AO22</f>
        <v>-9.3848831147439977</v>
      </c>
      <c r="F35" s="109">
        <f>'E-Cargo Malay'!AP22</f>
        <v>-18.541730695465354</v>
      </c>
      <c r="G35" s="109">
        <f>'E-Cargo Malay'!AQ22</f>
        <v>-5.0959260630111221</v>
      </c>
      <c r="H35" s="109">
        <f>'E-Cargo Malay'!AR22</f>
        <v>5.0685812896290212</v>
      </c>
      <c r="O35" s="108">
        <f>'ICE-Cargo Malay'!AJ22</f>
        <v>-50</v>
      </c>
      <c r="P35" s="110">
        <f>'ICE-Cargo Malay'!AK22</f>
        <v>-23.939155343196916</v>
      </c>
      <c r="Q35" s="110">
        <f>'ICE-Cargo Malay'!AL22</f>
        <v>-12.380944014264029</v>
      </c>
      <c r="R35" s="110">
        <f>'ICE-Cargo Malay'!AM22</f>
        <v>-11.923445347992876</v>
      </c>
      <c r="S35" s="110">
        <f>'ICE-Cargo Malay'!AN22</f>
        <v>-24.304389362256867</v>
      </c>
      <c r="T35" s="110">
        <f>'ICE-Cargo Malay'!AO22</f>
        <v>12.380944014263953</v>
      </c>
    </row>
    <row r="36" spans="2:20" x14ac:dyDescent="0.25">
      <c r="B36" s="111">
        <f>'E-Cargo Malay'!AL23</f>
        <v>-40</v>
      </c>
      <c r="C36" s="109">
        <f>'E-Cargo Malay'!AM23</f>
        <v>-26.969896401772438</v>
      </c>
      <c r="D36" s="109">
        <f>'E-Cargo Malay'!AN23</f>
        <v>-4.054865031703188</v>
      </c>
      <c r="E36" s="109">
        <f>'E-Cargo Malay'!AO23</f>
        <v>-7.5079064917951825</v>
      </c>
      <c r="F36" s="109">
        <f>'E-Cargo Malay'!AP23</f>
        <v>-16.508829224937319</v>
      </c>
      <c r="G36" s="109">
        <f>'E-Cargo Malay'!AQ23</f>
        <v>-4.0767408504088971</v>
      </c>
      <c r="H36" s="109">
        <f>'E-Cargo Malay'!AR23</f>
        <v>4.0548650317032493</v>
      </c>
      <c r="O36" s="108">
        <f>'ICE-Cargo Malay'!AJ23</f>
        <v>-40</v>
      </c>
      <c r="P36" s="110">
        <f>'ICE-Cargo Malay'!AK23</f>
        <v>-19.151324274557538</v>
      </c>
      <c r="Q36" s="110">
        <f>'ICE-Cargo Malay'!AL23</f>
        <v>-9.9047552114112225</v>
      </c>
      <c r="R36" s="110">
        <f>'ICE-Cargo Malay'!AM23</f>
        <v>-9.5387562783943203</v>
      </c>
      <c r="S36" s="110">
        <f>'ICE-Cargo Malay'!AN23</f>
        <v>-19.443511489805527</v>
      </c>
      <c r="T36" s="110">
        <f>'ICE-Cargo Malay'!AO23</f>
        <v>9.9047552114111479</v>
      </c>
    </row>
    <row r="37" spans="2:20" x14ac:dyDescent="0.25">
      <c r="B37" s="111">
        <f>'E-Cargo Malay'!AL24</f>
        <v>-30</v>
      </c>
      <c r="C37" s="109">
        <f>'E-Cargo Malay'!AM24</f>
        <v>-20.22742230132932</v>
      </c>
      <c r="D37" s="109">
        <f>'E-Cargo Malay'!AN24</f>
        <v>-3.0411487737773757</v>
      </c>
      <c r="E37" s="109">
        <f>'E-Cargo Malay'!AO24</f>
        <v>-5.6309298688463967</v>
      </c>
      <c r="F37" s="109">
        <f>'E-Cargo Malay'!AP24</f>
        <v>-14.475927754409263</v>
      </c>
      <c r="G37" s="109">
        <f>'E-Cargo Malay'!AQ24</f>
        <v>-3.0575556378066526</v>
      </c>
      <c r="H37" s="109">
        <f>'E-Cargo Malay'!AR24</f>
        <v>3.0411487737773961</v>
      </c>
      <c r="O37" s="108">
        <f>'ICE-Cargo Malay'!AJ24</f>
        <v>-30</v>
      </c>
      <c r="P37" s="110">
        <f>'ICE-Cargo Malay'!AK24</f>
        <v>-14.363493205918177</v>
      </c>
      <c r="Q37" s="110">
        <f>'ICE-Cargo Malay'!AL24</f>
        <v>-7.4285664085584555</v>
      </c>
      <c r="R37" s="110">
        <f>'ICE-Cargo Malay'!AM24</f>
        <v>-7.1540672087957446</v>
      </c>
      <c r="S37" s="110">
        <f>'ICE-Cargo Malay'!AN24</f>
        <v>-14.582633617354123</v>
      </c>
      <c r="T37" s="110">
        <f>'ICE-Cargo Malay'!AO24</f>
        <v>7.4285664085583809</v>
      </c>
    </row>
    <row r="38" spans="2:20" x14ac:dyDescent="0.25">
      <c r="B38" s="111">
        <f>'E-Cargo Malay'!AL25</f>
        <v>-20</v>
      </c>
      <c r="C38" s="109">
        <f>'E-Cargo Malay'!AM25</f>
        <v>-13.484948200886196</v>
      </c>
      <c r="D38" s="109">
        <f>'E-Cargo Malay'!AN25</f>
        <v>-2.0274325158515838</v>
      </c>
      <c r="E38" s="109">
        <f>'E-Cargo Malay'!AO25</f>
        <v>-3.7539532458976113</v>
      </c>
      <c r="F38" s="109">
        <f>'E-Cargo Malay'!AP25</f>
        <v>-4.8446377643118819</v>
      </c>
      <c r="G38" s="109">
        <f>'E-Cargo Malay'!AQ25</f>
        <v>-2.0383704252044286</v>
      </c>
      <c r="H38" s="109">
        <f>'E-Cargo Malay'!AR25</f>
        <v>2.0274325158516247</v>
      </c>
      <c r="O38" s="108">
        <f>'ICE-Cargo Malay'!AJ25</f>
        <v>-20</v>
      </c>
      <c r="P38" s="110">
        <f>'ICE-Cargo Malay'!AK25</f>
        <v>-9.575662137278778</v>
      </c>
      <c r="Q38" s="110">
        <f>'ICE-Cargo Malay'!AL25</f>
        <v>-4.9523776057056299</v>
      </c>
      <c r="R38" s="110">
        <f>'ICE-Cargo Malay'!AM25</f>
        <v>-4.7693781391971513</v>
      </c>
      <c r="S38" s="110">
        <f>'ICE-Cargo Malay'!AN25</f>
        <v>-9.7217557449027634</v>
      </c>
      <c r="T38" s="110">
        <f>'ICE-Cargo Malay'!AO25</f>
        <v>4.9523776057055739</v>
      </c>
    </row>
    <row r="39" spans="2:20" x14ac:dyDescent="0.25">
      <c r="B39" s="111">
        <f>'E-Cargo Malay'!AL26</f>
        <v>-10</v>
      </c>
      <c r="C39" s="109">
        <f>'E-Cargo Malay'!AM26</f>
        <v>-6.742474100443073</v>
      </c>
      <c r="D39" s="109">
        <f>'E-Cargo Malay'!AN26</f>
        <v>-1.0137162579257513</v>
      </c>
      <c r="E39" s="109">
        <f>'E-Cargo Malay'!AO26</f>
        <v>-1.8769766229487852</v>
      </c>
      <c r="F39" s="109">
        <f>'E-Cargo Malay'!AP26</f>
        <v>-2.4318168678054151</v>
      </c>
      <c r="G39" s="109">
        <f>'E-Cargo Malay'!AQ26</f>
        <v>-1.0191852126022038</v>
      </c>
      <c r="H39" s="109">
        <f>'E-Cargo Malay'!AR26</f>
        <v>1.0137162579258123</v>
      </c>
      <c r="O39" s="108">
        <f>'ICE-Cargo Malay'!AJ26</f>
        <v>-10</v>
      </c>
      <c r="P39" s="110">
        <f>'ICE-Cargo Malay'!AK26</f>
        <v>-4.7878310686393988</v>
      </c>
      <c r="Q39" s="110">
        <f>'ICE-Cargo Malay'!AL26</f>
        <v>-2.4761888028528434</v>
      </c>
      <c r="R39" s="110">
        <f>'ICE-Cargo Malay'!AM26</f>
        <v>-2.3846890695985943</v>
      </c>
      <c r="S39" s="110">
        <f>'ICE-Cargo Malay'!AN26</f>
        <v>-4.8608778724514003</v>
      </c>
      <c r="T39" s="110">
        <f>'ICE-Cargo Malay'!AO26</f>
        <v>2.476188802852787</v>
      </c>
    </row>
    <row r="40" spans="2:20" x14ac:dyDescent="0.25">
      <c r="B40" s="111">
        <f>'E-Cargo Malay'!AL27</f>
        <v>0</v>
      </c>
      <c r="C40" s="109">
        <f>'E-Cargo Malay'!AM27</f>
        <v>0</v>
      </c>
      <c r="D40" s="109">
        <f>'E-Cargo Malay'!AN27</f>
        <v>0</v>
      </c>
      <c r="E40" s="109">
        <f>'E-Cargo Malay'!AO27</f>
        <v>0</v>
      </c>
      <c r="F40" s="109">
        <f>'E-Cargo Malay'!AP27</f>
        <v>0</v>
      </c>
      <c r="G40" s="109">
        <f>'E-Cargo Malay'!AQ27</f>
        <v>0</v>
      </c>
      <c r="H40" s="109">
        <f>'E-Cargo Malay'!AR27</f>
        <v>0</v>
      </c>
      <c r="O40" s="108">
        <f>'ICE-Cargo Malay'!AJ27</f>
        <v>0</v>
      </c>
      <c r="P40" s="110">
        <f>'ICE-Cargo Malay'!AK27</f>
        <v>0</v>
      </c>
      <c r="Q40" s="110">
        <f>'ICE-Cargo Malay'!AL27</f>
        <v>0</v>
      </c>
      <c r="R40" s="110">
        <f>'ICE-Cargo Malay'!AM27</f>
        <v>0</v>
      </c>
      <c r="S40" s="110">
        <f>'ICE-Cargo Malay'!AN27</f>
        <v>0</v>
      </c>
      <c r="T40" s="110">
        <f>'ICE-Cargo Malay'!AO27</f>
        <v>0</v>
      </c>
    </row>
    <row r="41" spans="2:20" x14ac:dyDescent="0.25">
      <c r="B41" s="111">
        <f>'E-Cargo Malay'!AL28</f>
        <v>10</v>
      </c>
      <c r="C41" s="109">
        <f>'E-Cargo Malay'!AM28</f>
        <v>6.742474100443113</v>
      </c>
      <c r="D41" s="109">
        <f>'E-Cargo Malay'!AN28</f>
        <v>1.0137162579258123</v>
      </c>
      <c r="E41" s="109">
        <f>'E-Cargo Malay'!AO28</f>
        <v>1.8769766229488263</v>
      </c>
      <c r="F41" s="109">
        <f>'E-Cargo Malay'!AP28</f>
        <v>2.4517626376693311</v>
      </c>
      <c r="G41" s="109">
        <f>'E-Cargo Malay'!AQ28</f>
        <v>1.0191852126022447</v>
      </c>
      <c r="H41" s="109">
        <f>'E-Cargo Malay'!AR28</f>
        <v>-1.0137162579257513</v>
      </c>
      <c r="O41" s="108">
        <f>'ICE-Cargo Malay'!AJ28</f>
        <v>10</v>
      </c>
      <c r="P41" s="110">
        <f>'ICE-Cargo Malay'!AK28</f>
        <v>4.7878310686393606</v>
      </c>
      <c r="Q41" s="110">
        <f>'ICE-Cargo Malay'!AL28</f>
        <v>2.476188802852787</v>
      </c>
      <c r="R41" s="110">
        <f>'ICE-Cargo Malay'!AM28</f>
        <v>2.3846890695985188</v>
      </c>
      <c r="S41" s="110">
        <f>'ICE-Cargo Malay'!AN28</f>
        <v>4.8608778724513435</v>
      </c>
      <c r="T41" s="110">
        <f>'ICE-Cargo Malay'!AO28</f>
        <v>-2.4761888028528434</v>
      </c>
    </row>
    <row r="42" spans="2:20" x14ac:dyDescent="0.25">
      <c r="B42" s="111">
        <f>'E-Cargo Malay'!AL29</f>
        <v>20</v>
      </c>
      <c r="C42" s="109">
        <f>'E-Cargo Malay'!AM29</f>
        <v>13.484948200886226</v>
      </c>
      <c r="D42" s="109">
        <f>'E-Cargo Malay'!AN29</f>
        <v>2.0274325158516247</v>
      </c>
      <c r="E42" s="109">
        <f>'E-Cargo Malay'!AO29</f>
        <v>3.7539532458976113</v>
      </c>
      <c r="F42" s="109">
        <f>'E-Cargo Malay'!AP29</f>
        <v>4.4846641081973679</v>
      </c>
      <c r="G42" s="109">
        <f>'E-Cargo Malay'!AQ29</f>
        <v>2.038370425204469</v>
      </c>
      <c r="H42" s="109">
        <f>'E-Cargo Malay'!AR29</f>
        <v>-2.0274325158515838</v>
      </c>
      <c r="O42" s="108">
        <f>'ICE-Cargo Malay'!AJ29</f>
        <v>20</v>
      </c>
      <c r="P42" s="110">
        <f>'ICE-Cargo Malay'!AK29</f>
        <v>9.5756621372787407</v>
      </c>
      <c r="Q42" s="110">
        <f>'ICE-Cargo Malay'!AL29</f>
        <v>4.9523776057055739</v>
      </c>
      <c r="R42" s="110">
        <f>'ICE-Cargo Malay'!AM29</f>
        <v>4.7693781391970935</v>
      </c>
      <c r="S42" s="110">
        <f>'ICE-Cargo Malay'!AN29</f>
        <v>9.7217557449027066</v>
      </c>
      <c r="T42" s="110">
        <f>'ICE-Cargo Malay'!AO29</f>
        <v>-4.9523776057056299</v>
      </c>
    </row>
    <row r="43" spans="2:20" x14ac:dyDescent="0.25">
      <c r="B43" s="111">
        <f>'E-Cargo Malay'!AL30</f>
        <v>30</v>
      </c>
      <c r="C43" s="109">
        <f>'E-Cargo Malay'!AM30</f>
        <v>20.227422301329341</v>
      </c>
      <c r="D43" s="109">
        <f>'E-Cargo Malay'!AN30</f>
        <v>3.0411487737774165</v>
      </c>
      <c r="E43" s="109">
        <f>'E-Cargo Malay'!AO30</f>
        <v>5.6309298688463967</v>
      </c>
      <c r="F43" s="109">
        <f>'E-Cargo Malay'!AP30</f>
        <v>6.9573698042236938</v>
      </c>
      <c r="G43" s="109">
        <f>'E-Cargo Malay'!AQ30</f>
        <v>3.0575556378067343</v>
      </c>
      <c r="H43" s="109">
        <f>'E-Cargo Malay'!AR30</f>
        <v>-3.0411487737773757</v>
      </c>
      <c r="O43" s="108">
        <f>'ICE-Cargo Malay'!AJ30</f>
        <v>30</v>
      </c>
      <c r="P43" s="110">
        <f>'ICE-Cargo Malay'!AK30</f>
        <v>14.363493205918122</v>
      </c>
      <c r="Q43" s="110">
        <f>'ICE-Cargo Malay'!AL30</f>
        <v>7.4285664085583809</v>
      </c>
      <c r="R43" s="110">
        <f>'ICE-Cargo Malay'!AM30</f>
        <v>7.15406720879567</v>
      </c>
      <c r="S43" s="110">
        <f>'ICE-Cargo Malay'!AN30</f>
        <v>14.582633617354107</v>
      </c>
      <c r="T43" s="110">
        <f>'ICE-Cargo Malay'!AO30</f>
        <v>-7.4285664085584555</v>
      </c>
    </row>
    <row r="44" spans="2:20" x14ac:dyDescent="0.25">
      <c r="B44" s="111">
        <f>'E-Cargo Malay'!AL31</f>
        <v>40</v>
      </c>
      <c r="C44" s="109">
        <f>'E-Cargo Malay'!AM31</f>
        <v>26.969896401772413</v>
      </c>
      <c r="D44" s="109">
        <f>'E-Cargo Malay'!AN31</f>
        <v>4.0548650317032493</v>
      </c>
      <c r="E44" s="109">
        <f>'E-Cargo Malay'!AO31</f>
        <v>7.5079064917952225</v>
      </c>
      <c r="F44" s="109">
        <f>'E-Cargo Malay'!AP31</f>
        <v>8.9902712747517519</v>
      </c>
      <c r="G44" s="109">
        <f>'E-Cargo Malay'!AQ31</f>
        <v>4.076740850408938</v>
      </c>
      <c r="H44" s="109">
        <f>'E-Cargo Malay'!AR31</f>
        <v>-4.054865031703188</v>
      </c>
      <c r="O44" s="108">
        <f>'ICE-Cargo Malay'!AJ31</f>
        <v>40</v>
      </c>
      <c r="P44" s="110">
        <f>'ICE-Cargo Malay'!AK31</f>
        <v>19.151324274557499</v>
      </c>
      <c r="Q44" s="110">
        <f>'ICE-Cargo Malay'!AL31</f>
        <v>9.9047552114111284</v>
      </c>
      <c r="R44" s="110">
        <f>'ICE-Cargo Malay'!AM31</f>
        <v>9.5387562783942066</v>
      </c>
      <c r="S44" s="110">
        <f>'ICE-Cargo Malay'!AN31</f>
        <v>19.443511489805449</v>
      </c>
      <c r="T44" s="110">
        <f>'ICE-Cargo Malay'!AO31</f>
        <v>-9.9047552114112225</v>
      </c>
    </row>
    <row r="45" spans="2:20" x14ac:dyDescent="0.25">
      <c r="B45" s="111">
        <f>'E-Cargo Malay'!AL32</f>
        <v>50</v>
      </c>
      <c r="C45" s="109">
        <f>'E-Cargo Malay'!AM32</f>
        <v>33.712370502215563</v>
      </c>
      <c r="D45" s="109">
        <f>'E-Cargo Malay'!AN32</f>
        <v>5.0685812896290212</v>
      </c>
      <c r="E45" s="109">
        <f>'E-Cargo Malay'!AO32</f>
        <v>9.3848831147440084</v>
      </c>
      <c r="F45" s="109">
        <f>'E-Cargo Malay'!AP32</f>
        <v>19.083355701622327</v>
      </c>
      <c r="G45" s="109">
        <f>'E-Cargo Malay'!AQ32</f>
        <v>5.0959260630112029</v>
      </c>
      <c r="H45" s="109">
        <f>'E-Cargo Malay'!AR32</f>
        <v>-5.0685812896290008</v>
      </c>
      <c r="O45" s="108">
        <f>'ICE-Cargo Malay'!AJ32</f>
        <v>50</v>
      </c>
      <c r="P45" s="110">
        <f>'ICE-Cargo Malay'!AK32</f>
        <v>23.939155343196898</v>
      </c>
      <c r="Q45" s="110">
        <f>'ICE-Cargo Malay'!AL32</f>
        <v>12.380944014263953</v>
      </c>
      <c r="R45" s="110">
        <f>'ICE-Cargo Malay'!AM32</f>
        <v>11.923445347992802</v>
      </c>
      <c r="S45" s="110">
        <f>'ICE-Cargo Malay'!AN32</f>
        <v>24.304389362256774</v>
      </c>
      <c r="T45" s="110">
        <f>'ICE-Cargo Malay'!AO32</f>
        <v>-12.380944014264029</v>
      </c>
    </row>
  </sheetData>
  <mergeCells count="12">
    <mergeCell ref="B33:B34"/>
    <mergeCell ref="C33:G33"/>
    <mergeCell ref="O33:O34"/>
    <mergeCell ref="P33:S33"/>
    <mergeCell ref="B3:B4"/>
    <mergeCell ref="C3:G3"/>
    <mergeCell ref="O3:O4"/>
    <mergeCell ref="P3:S3"/>
    <mergeCell ref="B18:B19"/>
    <mergeCell ref="C18:G18"/>
    <mergeCell ref="O18:O19"/>
    <mergeCell ref="P18:S18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>
      <selection activeCell="A17" sqref="A17:A19"/>
    </sheetView>
  </sheetViews>
  <sheetFormatPr defaultColWidth="14.42578125" defaultRowHeight="15" customHeight="1" x14ac:dyDescent="0.25"/>
  <cols>
    <col min="1" max="1" width="47.42578125" customWidth="1"/>
    <col min="2" max="2" width="8.7109375" customWidth="1"/>
    <col min="3" max="3" width="11" customWidth="1"/>
    <col min="4" max="26" width="8.7109375" customWidth="1"/>
  </cols>
  <sheetData>
    <row r="1" spans="1:3" x14ac:dyDescent="0.25">
      <c r="A1" s="66" t="s">
        <v>140</v>
      </c>
      <c r="B1" s="66" t="s">
        <v>141</v>
      </c>
      <c r="C1" s="66" t="s">
        <v>142</v>
      </c>
    </row>
    <row r="2" spans="1:3" x14ac:dyDescent="0.25">
      <c r="A2" s="66" t="s">
        <v>143</v>
      </c>
      <c r="B2" s="66" t="s">
        <v>144</v>
      </c>
    </row>
    <row r="3" spans="1:3" x14ac:dyDescent="0.25">
      <c r="A3" s="66" t="s">
        <v>44</v>
      </c>
      <c r="B3" s="66" t="s">
        <v>144</v>
      </c>
    </row>
    <row r="4" spans="1:3" x14ac:dyDescent="0.25">
      <c r="A4" s="66" t="s">
        <v>145</v>
      </c>
      <c r="B4" s="66" t="s">
        <v>144</v>
      </c>
    </row>
    <row r="5" spans="1:3" x14ac:dyDescent="0.25">
      <c r="A5" s="66" t="s">
        <v>146</v>
      </c>
      <c r="B5" s="66" t="s">
        <v>144</v>
      </c>
    </row>
    <row r="6" spans="1:3" x14ac:dyDescent="0.25">
      <c r="A6" s="66" t="s">
        <v>54</v>
      </c>
      <c r="B6" s="66" t="s">
        <v>144</v>
      </c>
    </row>
    <row r="7" spans="1:3" x14ac:dyDescent="0.25">
      <c r="A7" s="66" t="s">
        <v>147</v>
      </c>
      <c r="B7" s="66" t="s">
        <v>148</v>
      </c>
      <c r="C7" s="66" t="s">
        <v>149</v>
      </c>
    </row>
    <row r="8" spans="1:3" x14ac:dyDescent="0.25">
      <c r="A8" s="66" t="s">
        <v>183</v>
      </c>
      <c r="B8" s="66" t="s">
        <v>144</v>
      </c>
    </row>
    <row r="9" spans="1:3" x14ac:dyDescent="0.25">
      <c r="A9" s="66" t="s">
        <v>184</v>
      </c>
    </row>
    <row r="10" spans="1:3" x14ac:dyDescent="0.25">
      <c r="A10" s="66" t="s">
        <v>68</v>
      </c>
      <c r="B10" s="66" t="s">
        <v>150</v>
      </c>
    </row>
    <row r="11" spans="1:3" x14ac:dyDescent="0.25">
      <c r="A11" s="66" t="s">
        <v>70</v>
      </c>
      <c r="B11" s="66" t="s">
        <v>144</v>
      </c>
    </row>
    <row r="12" spans="1:3" x14ac:dyDescent="0.25">
      <c r="A12" s="66" t="s">
        <v>151</v>
      </c>
    </row>
    <row r="13" spans="1:3" x14ac:dyDescent="0.25">
      <c r="A13" s="66" t="s">
        <v>152</v>
      </c>
    </row>
    <row r="17" spans="1:1" ht="15" customHeight="1" x14ac:dyDescent="0.25">
      <c r="A17" s="96" t="s">
        <v>161</v>
      </c>
    </row>
    <row r="18" spans="1:1" ht="15" customHeight="1" x14ac:dyDescent="0.25">
      <c r="A18" s="96" t="s">
        <v>156</v>
      </c>
    </row>
    <row r="19" spans="1:1" ht="15" customHeight="1" x14ac:dyDescent="0.25">
      <c r="A19" s="96" t="s">
        <v>162</v>
      </c>
    </row>
    <row r="21" spans="1:1" ht="15.75" customHeight="1" x14ac:dyDescent="0.25"/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E-Bus Malay</vt:lpstr>
      <vt:lpstr>ICE-Bus Malay</vt:lpstr>
      <vt:lpstr>E-Truck Malay</vt:lpstr>
      <vt:lpstr>ICE-Truck Malay</vt:lpstr>
      <vt:lpstr>E-Cargo Malay</vt:lpstr>
      <vt:lpstr>ICE-Cargo Malay</vt:lpstr>
      <vt:lpstr>Sensitivity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Indra Al Irsyad</dc:creator>
  <cp:lastModifiedBy>Valentinus Tri Frebrina Harisetyawan</cp:lastModifiedBy>
  <dcterms:created xsi:type="dcterms:W3CDTF">2015-06-05T18:17:20Z</dcterms:created>
  <dcterms:modified xsi:type="dcterms:W3CDTF">2024-09-30T04:30:14Z</dcterms:modified>
</cp:coreProperties>
</file>