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1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1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1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1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charts/chart1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6908e728f1b34df/Paper ERIA/Xls baru 29092024/"/>
    </mc:Choice>
  </mc:AlternateContent>
  <xr:revisionPtr revIDLastSave="39" documentId="13_ncr:1_{80D8D1CB-30EB-41BD-BA63-0B12F0F07D9A}" xr6:coauthVersionLast="47" xr6:coauthVersionMax="47" xr10:uidLastSave="{2A406350-0CE7-4616-83EC-5C1D3EB82D6E}"/>
  <bookViews>
    <workbookView xWindow="-705" yWindow="1335" windowWidth="21600" windowHeight="11775" firstSheet="1" activeTab="6" xr2:uid="{00000000-000D-0000-FFFF-FFFF00000000}"/>
  </bookViews>
  <sheets>
    <sheet name="E-Bus MM" sheetId="2" r:id="rId1"/>
    <sheet name="ICE-Bus MM" sheetId="3" r:id="rId2"/>
    <sheet name="E-Truck MM " sheetId="4" r:id="rId3"/>
    <sheet name="ICE-Truck MM " sheetId="5" r:id="rId4"/>
    <sheet name="E-Cargo MM  " sheetId="6" r:id="rId5"/>
    <sheet name="ICE-Cargo MM " sheetId="7" r:id="rId6"/>
    <sheet name="Sensitivity" sheetId="9" r:id="rId7"/>
  </sheets>
  <externalReferences>
    <externalReference r:id="rId8"/>
  </externalReferenc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Gj1NG7SvTaNfZxsBYbThFPuMavbILg11UabxSrZG9KY="/>
    </ext>
  </extLst>
</workbook>
</file>

<file path=xl/calcChain.xml><?xml version="1.0" encoding="utf-8"?>
<calcChain xmlns="http://schemas.openxmlformats.org/spreadsheetml/2006/main">
  <c r="AC55" i="7" l="1"/>
  <c r="AO23" i="7" s="1"/>
  <c r="T36" i="9" s="1"/>
  <c r="AC56" i="7"/>
  <c r="AO24" i="7" s="1"/>
  <c r="T37" i="9" s="1"/>
  <c r="AC57" i="7"/>
  <c r="AO25" i="7" s="1"/>
  <c r="T38" i="9" s="1"/>
  <c r="AC58" i="7"/>
  <c r="AO26" i="7" s="1"/>
  <c r="T39" i="9" s="1"/>
  <c r="AC59" i="7"/>
  <c r="AO27" i="7" s="1"/>
  <c r="T40" i="9" s="1"/>
  <c r="AC60" i="7"/>
  <c r="AC61" i="7"/>
  <c r="AO29" i="7" s="1"/>
  <c r="T42" i="9" s="1"/>
  <c r="AC62" i="7"/>
  <c r="AO30" i="7" s="1"/>
  <c r="T43" i="9" s="1"/>
  <c r="AC63" i="7"/>
  <c r="AC64" i="7"/>
  <c r="AO32" i="7" s="1"/>
  <c r="T45" i="9" s="1"/>
  <c r="AC54" i="7"/>
  <c r="AO22" i="7" s="1"/>
  <c r="T35" i="9" s="1"/>
  <c r="AE71" i="6"/>
  <c r="AR24" i="6" s="1"/>
  <c r="H37" i="9" s="1"/>
  <c r="AE72" i="6"/>
  <c r="AR25" i="6" s="1"/>
  <c r="H38" i="9" s="1"/>
  <c r="AE73" i="6"/>
  <c r="AR26" i="6" s="1"/>
  <c r="H39" i="9" s="1"/>
  <c r="AE74" i="6"/>
  <c r="AR27" i="6" s="1"/>
  <c r="H40" i="9" s="1"/>
  <c r="AE75" i="6"/>
  <c r="AR28" i="6" s="1"/>
  <c r="H41" i="9" s="1"/>
  <c r="AE76" i="6"/>
  <c r="AR29" i="6" s="1"/>
  <c r="H42" i="9" s="1"/>
  <c r="AE77" i="6"/>
  <c r="AR30" i="6" s="1"/>
  <c r="H43" i="9" s="1"/>
  <c r="AE78" i="6"/>
  <c r="AR31" i="6" s="1"/>
  <c r="H44" i="9" s="1"/>
  <c r="AE79" i="6"/>
  <c r="AR32" i="6" s="1"/>
  <c r="H45" i="9" s="1"/>
  <c r="AE70" i="6"/>
  <c r="AR23" i="6" s="1"/>
  <c r="H36" i="9" s="1"/>
  <c r="AE69" i="6"/>
  <c r="AR22" i="6" s="1"/>
  <c r="H35" i="9" s="1"/>
  <c r="AC55" i="5"/>
  <c r="AO23" i="5" s="1"/>
  <c r="T21" i="9" s="1"/>
  <c r="AC56" i="5"/>
  <c r="AO24" i="5" s="1"/>
  <c r="T22" i="9" s="1"/>
  <c r="AC57" i="5"/>
  <c r="AO25" i="5" s="1"/>
  <c r="T23" i="9" s="1"/>
  <c r="AC58" i="5"/>
  <c r="AO26" i="5" s="1"/>
  <c r="T24" i="9" s="1"/>
  <c r="AC59" i="5"/>
  <c r="AO27" i="5" s="1"/>
  <c r="T25" i="9" s="1"/>
  <c r="AC60" i="5"/>
  <c r="AO28" i="5" s="1"/>
  <c r="T26" i="9" s="1"/>
  <c r="AC61" i="5"/>
  <c r="AO29" i="5" s="1"/>
  <c r="T27" i="9" s="1"/>
  <c r="AC62" i="5"/>
  <c r="AO30" i="5" s="1"/>
  <c r="T28" i="9" s="1"/>
  <c r="AC63" i="5"/>
  <c r="AO31" i="5" s="1"/>
  <c r="T29" i="9" s="1"/>
  <c r="AC64" i="5"/>
  <c r="AO32" i="5" s="1"/>
  <c r="T30" i="9" s="1"/>
  <c r="AC54" i="5"/>
  <c r="AO22" i="5" s="1"/>
  <c r="T20" i="9" s="1"/>
  <c r="AE70" i="4"/>
  <c r="AR23" i="4" s="1"/>
  <c r="H21" i="9" s="1"/>
  <c r="AE71" i="4"/>
  <c r="AR24" i="4" s="1"/>
  <c r="H22" i="9" s="1"/>
  <c r="AE72" i="4"/>
  <c r="AR25" i="4" s="1"/>
  <c r="H23" i="9" s="1"/>
  <c r="AE73" i="4"/>
  <c r="AR26" i="4" s="1"/>
  <c r="H24" i="9" s="1"/>
  <c r="AE74" i="4"/>
  <c r="AR27" i="4" s="1"/>
  <c r="H25" i="9" s="1"/>
  <c r="AE75" i="4"/>
  <c r="AR28" i="4" s="1"/>
  <c r="H26" i="9" s="1"/>
  <c r="AE76" i="4"/>
  <c r="AR29" i="4" s="1"/>
  <c r="H27" i="9" s="1"/>
  <c r="AE77" i="4"/>
  <c r="AR30" i="4" s="1"/>
  <c r="H28" i="9" s="1"/>
  <c r="AE78" i="4"/>
  <c r="AR31" i="4" s="1"/>
  <c r="H29" i="9" s="1"/>
  <c r="AE79" i="4"/>
  <c r="AR32" i="4" s="1"/>
  <c r="H30" i="9" s="1"/>
  <c r="AE69" i="4"/>
  <c r="AR22" i="4" s="1"/>
  <c r="H20" i="9" s="1"/>
  <c r="AC55" i="3"/>
  <c r="AO23" i="3" s="1"/>
  <c r="T6" i="9" s="1"/>
  <c r="AC56" i="3"/>
  <c r="AO24" i="3" s="1"/>
  <c r="T7" i="9" s="1"/>
  <c r="AC57" i="3"/>
  <c r="AO25" i="3" s="1"/>
  <c r="T8" i="9" s="1"/>
  <c r="AC58" i="3"/>
  <c r="AO26" i="3" s="1"/>
  <c r="T9" i="9" s="1"/>
  <c r="AC59" i="3"/>
  <c r="AO27" i="3" s="1"/>
  <c r="T10" i="9" s="1"/>
  <c r="AC60" i="3"/>
  <c r="AO28" i="3" s="1"/>
  <c r="T11" i="9" s="1"/>
  <c r="AC61" i="3"/>
  <c r="AO29" i="3" s="1"/>
  <c r="T12" i="9" s="1"/>
  <c r="AC62" i="3"/>
  <c r="AO30" i="3" s="1"/>
  <c r="T13" i="9" s="1"/>
  <c r="AC63" i="3"/>
  <c r="AO31" i="3" s="1"/>
  <c r="T14" i="9" s="1"/>
  <c r="AC64" i="3"/>
  <c r="AO32" i="3" s="1"/>
  <c r="T15" i="9" s="1"/>
  <c r="AC54" i="3"/>
  <c r="AO22" i="3" s="1"/>
  <c r="T5" i="9" s="1"/>
  <c r="AE70" i="2"/>
  <c r="AR23" i="2" s="1"/>
  <c r="H6" i="9" s="1"/>
  <c r="AE71" i="2"/>
  <c r="AR24" i="2" s="1"/>
  <c r="H7" i="9" s="1"/>
  <c r="AE72" i="2"/>
  <c r="AR25" i="2" s="1"/>
  <c r="H8" i="9" s="1"/>
  <c r="AE73" i="2"/>
  <c r="AR26" i="2" s="1"/>
  <c r="H9" i="9" s="1"/>
  <c r="AE74" i="2"/>
  <c r="AR27" i="2" s="1"/>
  <c r="H10" i="9" s="1"/>
  <c r="AE75" i="2"/>
  <c r="AR28" i="2" s="1"/>
  <c r="H11" i="9" s="1"/>
  <c r="AE76" i="2"/>
  <c r="AR29" i="2" s="1"/>
  <c r="H12" i="9" s="1"/>
  <c r="AE77" i="2"/>
  <c r="AR30" i="2" s="1"/>
  <c r="H13" i="9" s="1"/>
  <c r="AE78" i="2"/>
  <c r="AR31" i="2" s="1"/>
  <c r="H14" i="9" s="1"/>
  <c r="AE79" i="2"/>
  <c r="AR32" i="2" s="1"/>
  <c r="H15" i="9" s="1"/>
  <c r="AE69" i="2"/>
  <c r="AR22" i="2" s="1"/>
  <c r="H5" i="9" s="1"/>
  <c r="T34" i="9"/>
  <c r="AO21" i="7"/>
  <c r="AO21" i="5"/>
  <c r="T19" i="9" s="1"/>
  <c r="AO31" i="7"/>
  <c r="T44" i="9" s="1"/>
  <c r="AO28" i="7"/>
  <c r="T41" i="9" s="1"/>
  <c r="Z60" i="7"/>
  <c r="Z61" i="7" s="1"/>
  <c r="AA61" i="7" s="1"/>
  <c r="AA59" i="7"/>
  <c r="Z58" i="7"/>
  <c r="Z57" i="7" s="1"/>
  <c r="Z60" i="5"/>
  <c r="Z61" i="5" s="1"/>
  <c r="AA61" i="5" s="1"/>
  <c r="AA59" i="5"/>
  <c r="Z58" i="5"/>
  <c r="AA58" i="5" s="1"/>
  <c r="Z57" i="5"/>
  <c r="Z56" i="5" s="1"/>
  <c r="AA56" i="5" s="1"/>
  <c r="AA12" i="7"/>
  <c r="AA12" i="5"/>
  <c r="AR21" i="6"/>
  <c r="H34" i="9" s="1"/>
  <c r="AR21" i="4"/>
  <c r="H19" i="9" s="1"/>
  <c r="AB75" i="6"/>
  <c r="AB76" i="6" s="1"/>
  <c r="AC76" i="6" s="1"/>
  <c r="AC74" i="6"/>
  <c r="AB73" i="6"/>
  <c r="AC73" i="6" s="1"/>
  <c r="AB72" i="6"/>
  <c r="AB71" i="6" s="1"/>
  <c r="AC71" i="6" s="1"/>
  <c r="AB75" i="4"/>
  <c r="AC75" i="4" s="1"/>
  <c r="AC74" i="4"/>
  <c r="AB73" i="4"/>
  <c r="AC73" i="4" s="1"/>
  <c r="AC14" i="6"/>
  <c r="AC14" i="4"/>
  <c r="AO21" i="3"/>
  <c r="T4" i="9" s="1"/>
  <c r="AA12" i="3"/>
  <c r="Z60" i="3"/>
  <c r="Z61" i="3" s="1"/>
  <c r="AA61" i="3" s="1"/>
  <c r="AA59" i="3"/>
  <c r="Z58" i="3"/>
  <c r="AA58" i="3" s="1"/>
  <c r="AR21" i="2"/>
  <c r="H4" i="9" s="1"/>
  <c r="AC14" i="2"/>
  <c r="AB75" i="2"/>
  <c r="AB76" i="2" s="1"/>
  <c r="AC76" i="2" s="1"/>
  <c r="AC74" i="2"/>
  <c r="AB73" i="2"/>
  <c r="AC73" i="2" s="1"/>
  <c r="AB72" i="2"/>
  <c r="AC72" i="2" s="1"/>
  <c r="O35" i="9"/>
  <c r="O36" i="9"/>
  <c r="O37" i="9"/>
  <c r="O38" i="9"/>
  <c r="O39" i="9"/>
  <c r="O40" i="9"/>
  <c r="O41" i="9"/>
  <c r="O42" i="9"/>
  <c r="O43" i="9"/>
  <c r="O44" i="9"/>
  <c r="O45" i="9"/>
  <c r="O20" i="9"/>
  <c r="O21" i="9"/>
  <c r="O22" i="9"/>
  <c r="O23" i="9"/>
  <c r="O24" i="9"/>
  <c r="O25" i="9"/>
  <c r="O26" i="9"/>
  <c r="O27" i="9"/>
  <c r="O28" i="9"/>
  <c r="O29" i="9"/>
  <c r="O30" i="9"/>
  <c r="O5" i="9"/>
  <c r="O6" i="9"/>
  <c r="O7" i="9"/>
  <c r="O8" i="9"/>
  <c r="O9" i="9"/>
  <c r="O10" i="9"/>
  <c r="O11" i="9"/>
  <c r="O12" i="9"/>
  <c r="O13" i="9"/>
  <c r="O14" i="9"/>
  <c r="O15" i="9"/>
  <c r="B35" i="9"/>
  <c r="B36" i="9"/>
  <c r="B37" i="9"/>
  <c r="B38" i="9"/>
  <c r="B39" i="9"/>
  <c r="B40" i="9"/>
  <c r="B41" i="9"/>
  <c r="B42" i="9"/>
  <c r="B43" i="9"/>
  <c r="B44" i="9"/>
  <c r="B45" i="9"/>
  <c r="B20" i="9"/>
  <c r="B21" i="9"/>
  <c r="B22" i="9"/>
  <c r="B23" i="9"/>
  <c r="B24" i="9"/>
  <c r="B25" i="9"/>
  <c r="B26" i="9"/>
  <c r="B27" i="9"/>
  <c r="B28" i="9"/>
  <c r="B29" i="9"/>
  <c r="B30" i="9"/>
  <c r="B5" i="9"/>
  <c r="B6" i="9"/>
  <c r="B7" i="9"/>
  <c r="B8" i="9"/>
  <c r="B9" i="9"/>
  <c r="B10" i="9"/>
  <c r="B11" i="9"/>
  <c r="B12" i="9"/>
  <c r="B13" i="9"/>
  <c r="B14" i="9"/>
  <c r="B15" i="9"/>
  <c r="J39" i="6"/>
  <c r="J33" i="5"/>
  <c r="J39" i="4"/>
  <c r="J33" i="7"/>
  <c r="J26" i="2"/>
  <c r="AC13" i="2" s="1"/>
  <c r="AJ64" i="6"/>
  <c r="AJ63" i="6"/>
  <c r="AJ62" i="6"/>
  <c r="AJ61" i="6"/>
  <c r="AJ60" i="6"/>
  <c r="AG60" i="6"/>
  <c r="AG61" i="6" s="1"/>
  <c r="AJ59" i="6"/>
  <c r="AH59" i="6"/>
  <c r="AJ58" i="6"/>
  <c r="AG58" i="6"/>
  <c r="AH58" i="6" s="1"/>
  <c r="AJ57" i="6"/>
  <c r="AJ56" i="6"/>
  <c r="AJ55" i="6"/>
  <c r="AJ54" i="6"/>
  <c r="AJ64" i="4"/>
  <c r="AJ63" i="4"/>
  <c r="AJ62" i="4"/>
  <c r="AJ61" i="4"/>
  <c r="AG61" i="4"/>
  <c r="AH61" i="4" s="1"/>
  <c r="AJ60" i="4"/>
  <c r="AG60" i="4"/>
  <c r="AH60" i="4" s="1"/>
  <c r="AJ59" i="4"/>
  <c r="AH59" i="4"/>
  <c r="AJ58" i="4"/>
  <c r="AG58" i="4"/>
  <c r="AH58" i="4" s="1"/>
  <c r="AJ57" i="4"/>
  <c r="AJ56" i="4"/>
  <c r="AJ55" i="4"/>
  <c r="AJ54" i="4"/>
  <c r="AJ64" i="2"/>
  <c r="AJ63" i="2"/>
  <c r="AJ62" i="2"/>
  <c r="AJ61" i="2"/>
  <c r="AJ60" i="2"/>
  <c r="AG60" i="2"/>
  <c r="AG61" i="2" s="1"/>
  <c r="AJ59" i="2"/>
  <c r="AH59" i="2"/>
  <c r="AJ58" i="2"/>
  <c r="AG58" i="2"/>
  <c r="AH58" i="2" s="1"/>
  <c r="AJ57" i="2"/>
  <c r="AG57" i="2"/>
  <c r="AG56" i="2" s="1"/>
  <c r="AJ56" i="2"/>
  <c r="AJ55" i="2"/>
  <c r="AJ54" i="2"/>
  <c r="Z56" i="7" l="1"/>
  <c r="AA56" i="7" s="1"/>
  <c r="AA57" i="7"/>
  <c r="AG57" i="6"/>
  <c r="AA58" i="7"/>
  <c r="AA60" i="7"/>
  <c r="AC72" i="6"/>
  <c r="AA60" i="3"/>
  <c r="AC75" i="6"/>
  <c r="AA57" i="5"/>
  <c r="AC75" i="2"/>
  <c r="AA60" i="5"/>
  <c r="AB72" i="4"/>
  <c r="Z62" i="7"/>
  <c r="AA62" i="7" s="1"/>
  <c r="Z55" i="7"/>
  <c r="AA55" i="7" s="1"/>
  <c r="Z62" i="5"/>
  <c r="AA62" i="5" s="1"/>
  <c r="Z55" i="5"/>
  <c r="AA55" i="5" s="1"/>
  <c r="AB77" i="6"/>
  <c r="AC77" i="6" s="1"/>
  <c r="AB70" i="6"/>
  <c r="AC70" i="6" s="1"/>
  <c r="AB76" i="4"/>
  <c r="AC76" i="4" s="1"/>
  <c r="Z62" i="3"/>
  <c r="AA62" i="3" s="1"/>
  <c r="Z57" i="3"/>
  <c r="AA57" i="3" s="1"/>
  <c r="AB77" i="2"/>
  <c r="AC77" i="2" s="1"/>
  <c r="AB71" i="2"/>
  <c r="AC71" i="2" s="1"/>
  <c r="AG62" i="4"/>
  <c r="AG63" i="4" s="1"/>
  <c r="AG64" i="4" s="1"/>
  <c r="AH64" i="4" s="1"/>
  <c r="AH61" i="6"/>
  <c r="AG62" i="6"/>
  <c r="AH60" i="6"/>
  <c r="AH63" i="4"/>
  <c r="AH62" i="4"/>
  <c r="AG57" i="4"/>
  <c r="AH56" i="2"/>
  <c r="AG55" i="2"/>
  <c r="AG62" i="2"/>
  <c r="AH61" i="2"/>
  <c r="AH60" i="2"/>
  <c r="AH57" i="2"/>
  <c r="AB71" i="4" l="1"/>
  <c r="AC72" i="4"/>
  <c r="AH57" i="6"/>
  <c r="AG56" i="6"/>
  <c r="Z54" i="7"/>
  <c r="AA54" i="7" s="1"/>
  <c r="Z63" i="7"/>
  <c r="AA63" i="7" s="1"/>
  <c r="Z54" i="5"/>
  <c r="AA54" i="5" s="1"/>
  <c r="Z63" i="5"/>
  <c r="AA63" i="5" s="1"/>
  <c r="AB69" i="6"/>
  <c r="AC69" i="6" s="1"/>
  <c r="AB78" i="6"/>
  <c r="AC78" i="6" s="1"/>
  <c r="AB77" i="4"/>
  <c r="AC77" i="4" s="1"/>
  <c r="Z56" i="3"/>
  <c r="AA56" i="3" s="1"/>
  <c r="Z63" i="3"/>
  <c r="AA63" i="3" s="1"/>
  <c r="AB70" i="2"/>
  <c r="AC70" i="2" s="1"/>
  <c r="AB78" i="2"/>
  <c r="AC78" i="2" s="1"/>
  <c r="AG63" i="6"/>
  <c r="AH62" i="6"/>
  <c r="AG56" i="4"/>
  <c r="AH57" i="4"/>
  <c r="AH62" i="2"/>
  <c r="AG63" i="2"/>
  <c r="AG54" i="2"/>
  <c r="AH54" i="2" s="1"/>
  <c r="AH55" i="2"/>
  <c r="AG55" i="6" l="1"/>
  <c r="AH56" i="6"/>
  <c r="AC71" i="4"/>
  <c r="AB70" i="4"/>
  <c r="Z64" i="7"/>
  <c r="AA64" i="7" s="1"/>
  <c r="Z64" i="5"/>
  <c r="AA64" i="5" s="1"/>
  <c r="AB79" i="6"/>
  <c r="AC79" i="6" s="1"/>
  <c r="AB78" i="4"/>
  <c r="AC78" i="4" s="1"/>
  <c r="Z64" i="3"/>
  <c r="AA64" i="3" s="1"/>
  <c r="Z55" i="3"/>
  <c r="AA55" i="3" s="1"/>
  <c r="AB79" i="2"/>
  <c r="AC79" i="2" s="1"/>
  <c r="AB69" i="2"/>
  <c r="AC69" i="2" s="1"/>
  <c r="AH63" i="6"/>
  <c r="AG64" i="6"/>
  <c r="AH64" i="6" s="1"/>
  <c r="AG55" i="4"/>
  <c r="AH56" i="4"/>
  <c r="AG64" i="2"/>
  <c r="AH64" i="2" s="1"/>
  <c r="AH63" i="2"/>
  <c r="AC70" i="4" l="1"/>
  <c r="AB69" i="4"/>
  <c r="AC69" i="4" s="1"/>
  <c r="AH55" i="6"/>
  <c r="AG54" i="6"/>
  <c r="AH54" i="6" s="1"/>
  <c r="AB79" i="4"/>
  <c r="AC79" i="4" s="1"/>
  <c r="Z54" i="3"/>
  <c r="AA54" i="3" s="1"/>
  <c r="AH55" i="4"/>
  <c r="AG54" i="4"/>
  <c r="AH54" i="4" s="1"/>
  <c r="F46" i="6" l="1"/>
  <c r="F46" i="4"/>
  <c r="F47" i="4" s="1"/>
  <c r="F48" i="2"/>
  <c r="F46" i="2"/>
  <c r="F47" i="2" s="1"/>
  <c r="F49" i="2" s="1"/>
  <c r="F48" i="6" l="1"/>
  <c r="F47" i="6"/>
  <c r="F48" i="4"/>
  <c r="F49" i="4" s="1"/>
  <c r="F49" i="6" l="1"/>
  <c r="B46" i="6"/>
  <c r="B48" i="6" s="1"/>
  <c r="AC9" i="6" s="1"/>
  <c r="J26" i="6"/>
  <c r="B46" i="4"/>
  <c r="B48" i="4" s="1"/>
  <c r="AC9" i="4" s="1"/>
  <c r="J26" i="4"/>
  <c r="F50" i="2"/>
  <c r="B46" i="2"/>
  <c r="B48" i="2" s="1"/>
  <c r="AC9" i="2" s="1"/>
  <c r="AH49" i="7"/>
  <c r="AN32" i="7" s="1"/>
  <c r="S45" i="9" s="1"/>
  <c r="AC49" i="7"/>
  <c r="AM32" i="7" s="1"/>
  <c r="R45" i="9" s="1"/>
  <c r="AH48" i="7"/>
  <c r="AN31" i="7" s="1"/>
  <c r="S44" i="9" s="1"/>
  <c r="AC48" i="7"/>
  <c r="AM31" i="7" s="1"/>
  <c r="R44" i="9" s="1"/>
  <c r="AH47" i="7"/>
  <c r="AN30" i="7" s="1"/>
  <c r="S43" i="9" s="1"/>
  <c r="AC47" i="7"/>
  <c r="AM30" i="7" s="1"/>
  <c r="R43" i="9" s="1"/>
  <c r="AH46" i="7"/>
  <c r="AN29" i="7" s="1"/>
  <c r="S42" i="9" s="1"/>
  <c r="AC46" i="7"/>
  <c r="AM29" i="7" s="1"/>
  <c r="R42" i="9" s="1"/>
  <c r="AH45" i="7"/>
  <c r="AN28" i="7" s="1"/>
  <c r="S41" i="9" s="1"/>
  <c r="AE45" i="7"/>
  <c r="AF45" i="7" s="1"/>
  <c r="AC45" i="7"/>
  <c r="AM28" i="7" s="1"/>
  <c r="R41" i="9" s="1"/>
  <c r="Z45" i="7"/>
  <c r="AH44" i="7"/>
  <c r="AN27" i="7" s="1"/>
  <c r="S40" i="9" s="1"/>
  <c r="AF44" i="7"/>
  <c r="AC44" i="7"/>
  <c r="AM27" i="7" s="1"/>
  <c r="R40" i="9" s="1"/>
  <c r="AA44" i="7"/>
  <c r="AH43" i="7"/>
  <c r="AN26" i="7" s="1"/>
  <c r="S39" i="9" s="1"/>
  <c r="AE43" i="7"/>
  <c r="AF43" i="7" s="1"/>
  <c r="AC43" i="7"/>
  <c r="AM26" i="7" s="1"/>
  <c r="R39" i="9" s="1"/>
  <c r="Z43" i="7"/>
  <c r="AA43" i="7" s="1"/>
  <c r="B43" i="7"/>
  <c r="B44" i="7" s="1"/>
  <c r="AH42" i="7"/>
  <c r="AN25" i="7" s="1"/>
  <c r="S38" i="9" s="1"/>
  <c r="AC42" i="7"/>
  <c r="AM25" i="7" s="1"/>
  <c r="R38" i="9" s="1"/>
  <c r="AH41" i="7"/>
  <c r="AN24" i="7" s="1"/>
  <c r="S37" i="9" s="1"/>
  <c r="AC41" i="7"/>
  <c r="AM24" i="7" s="1"/>
  <c r="R37" i="9" s="1"/>
  <c r="F41" i="7"/>
  <c r="AH40" i="7"/>
  <c r="AN23" i="7" s="1"/>
  <c r="S36" i="9" s="1"/>
  <c r="AC40" i="7"/>
  <c r="AM23" i="7" s="1"/>
  <c r="R36" i="9" s="1"/>
  <c r="AH39" i="7"/>
  <c r="AN22" i="7" s="1"/>
  <c r="S35" i="9" s="1"/>
  <c r="AC39" i="7"/>
  <c r="AM22" i="7" s="1"/>
  <c r="R35" i="9" s="1"/>
  <c r="B38" i="7"/>
  <c r="J35" i="7"/>
  <c r="AA11" i="7" s="1"/>
  <c r="F36" i="7"/>
  <c r="F37" i="7" s="1"/>
  <c r="F38" i="7" s="1"/>
  <c r="Q9" i="7" s="1"/>
  <c r="AH34" i="7"/>
  <c r="AK32" i="7" s="1"/>
  <c r="P45" i="9" s="1"/>
  <c r="AC34" i="7"/>
  <c r="AL32" i="7" s="1"/>
  <c r="Q45" i="9" s="1"/>
  <c r="J34" i="7"/>
  <c r="AH33" i="7"/>
  <c r="AK31" i="7" s="1"/>
  <c r="P44" i="9" s="1"/>
  <c r="AC33" i="7"/>
  <c r="AL31" i="7" s="1"/>
  <c r="Q44" i="9" s="1"/>
  <c r="AH32" i="7"/>
  <c r="AK30" i="7" s="1"/>
  <c r="P43" i="9" s="1"/>
  <c r="AC32" i="7"/>
  <c r="AL30" i="7" s="1"/>
  <c r="Q43" i="9" s="1"/>
  <c r="B32" i="7"/>
  <c r="AH31" i="7"/>
  <c r="AK29" i="7" s="1"/>
  <c r="P42" i="9" s="1"/>
  <c r="AC31" i="7"/>
  <c r="AL29" i="7" s="1"/>
  <c r="Q42" i="9" s="1"/>
  <c r="AH30" i="7"/>
  <c r="AK28" i="7" s="1"/>
  <c r="P41" i="9" s="1"/>
  <c r="AE30" i="7"/>
  <c r="AC30" i="7"/>
  <c r="AL28" i="7" s="1"/>
  <c r="Q41" i="9" s="1"/>
  <c r="Z30" i="7"/>
  <c r="Z31" i="7" s="1"/>
  <c r="AH29" i="7"/>
  <c r="AK27" i="7" s="1"/>
  <c r="P40" i="9" s="1"/>
  <c r="AF29" i="7"/>
  <c r="AC29" i="7"/>
  <c r="AL27" i="7" s="1"/>
  <c r="Q40" i="9" s="1"/>
  <c r="AA29" i="7"/>
  <c r="AH28" i="7"/>
  <c r="AK26" i="7" s="1"/>
  <c r="P39" i="9" s="1"/>
  <c r="AE28" i="7"/>
  <c r="AF28" i="7" s="1"/>
  <c r="AC28" i="7"/>
  <c r="AL26" i="7" s="1"/>
  <c r="Q39" i="9" s="1"/>
  <c r="Z28" i="7"/>
  <c r="Z27" i="7" s="1"/>
  <c r="AH27" i="7"/>
  <c r="AK25" i="7" s="1"/>
  <c r="P38" i="9" s="1"/>
  <c r="AC27" i="7"/>
  <c r="AL25" i="7" s="1"/>
  <c r="Q38" i="9" s="1"/>
  <c r="AH26" i="7"/>
  <c r="AK24" i="7" s="1"/>
  <c r="P37" i="9" s="1"/>
  <c r="AC26" i="7"/>
  <c r="AL24" i="7" s="1"/>
  <c r="Q37" i="9" s="1"/>
  <c r="AH25" i="7"/>
  <c r="AK23" i="7" s="1"/>
  <c r="P36" i="9" s="1"/>
  <c r="AC25" i="7"/>
  <c r="AL23" i="7" s="1"/>
  <c r="Q36" i="9" s="1"/>
  <c r="AH24" i="7"/>
  <c r="AK22" i="7" s="1"/>
  <c r="P35" i="9" s="1"/>
  <c r="AC24" i="7"/>
  <c r="AL22" i="7" s="1"/>
  <c r="Q35" i="9" s="1"/>
  <c r="AA10" i="7"/>
  <c r="N10" i="7"/>
  <c r="T9" i="7"/>
  <c r="AA8" i="7"/>
  <c r="AE64" i="6"/>
  <c r="AQ32" i="6" s="1"/>
  <c r="G45" i="9" s="1"/>
  <c r="AE63" i="6"/>
  <c r="AQ31" i="6" s="1"/>
  <c r="G44" i="9" s="1"/>
  <c r="AE62" i="6"/>
  <c r="AQ30" i="6" s="1"/>
  <c r="G43" i="9" s="1"/>
  <c r="AE61" i="6"/>
  <c r="AQ29" i="6" s="1"/>
  <c r="G42" i="9" s="1"/>
  <c r="AE60" i="6"/>
  <c r="AQ28" i="6" s="1"/>
  <c r="G41" i="9" s="1"/>
  <c r="AB60" i="6"/>
  <c r="AC60" i="6" s="1"/>
  <c r="AE59" i="6"/>
  <c r="AQ27" i="6" s="1"/>
  <c r="G40" i="9" s="1"/>
  <c r="AC59" i="6"/>
  <c r="A59" i="6"/>
  <c r="AE58" i="6"/>
  <c r="AQ26" i="6" s="1"/>
  <c r="G39" i="9" s="1"/>
  <c r="AB58" i="6"/>
  <c r="AC58" i="6" s="1"/>
  <c r="B58" i="6"/>
  <c r="C58" i="6" s="1"/>
  <c r="C59" i="6" s="1"/>
  <c r="AE57" i="6"/>
  <c r="AQ25" i="6" s="1"/>
  <c r="G38" i="9" s="1"/>
  <c r="AE56" i="6"/>
  <c r="AQ24" i="6" s="1"/>
  <c r="G37" i="9" s="1"/>
  <c r="AE55" i="6"/>
  <c r="AQ23" i="6" s="1"/>
  <c r="G36" i="9" s="1"/>
  <c r="AE54" i="6"/>
  <c r="AQ22" i="6" s="1"/>
  <c r="G35" i="9" s="1"/>
  <c r="AJ49" i="6"/>
  <c r="AP32" i="6" s="1"/>
  <c r="F45" i="9" s="1"/>
  <c r="AE49" i="6"/>
  <c r="AO32" i="6" s="1"/>
  <c r="E45" i="9" s="1"/>
  <c r="AJ48" i="6"/>
  <c r="AP31" i="6" s="1"/>
  <c r="F44" i="9" s="1"/>
  <c r="AE48" i="6"/>
  <c r="AO31" i="6" s="1"/>
  <c r="E44" i="9" s="1"/>
  <c r="AJ47" i="6"/>
  <c r="AP30" i="6" s="1"/>
  <c r="F43" i="9" s="1"/>
  <c r="AE47" i="6"/>
  <c r="AO30" i="6" s="1"/>
  <c r="E43" i="9" s="1"/>
  <c r="AJ46" i="6"/>
  <c r="AP29" i="6" s="1"/>
  <c r="F42" i="9" s="1"/>
  <c r="AE46" i="6"/>
  <c r="AO29" i="6" s="1"/>
  <c r="E42" i="9" s="1"/>
  <c r="AJ45" i="6"/>
  <c r="AP28" i="6" s="1"/>
  <c r="F41" i="9" s="1"/>
  <c r="AG45" i="6"/>
  <c r="AE45" i="6"/>
  <c r="AO28" i="6" s="1"/>
  <c r="E41" i="9" s="1"/>
  <c r="AB45" i="6"/>
  <c r="AC45" i="6" s="1"/>
  <c r="B45" i="6"/>
  <c r="B47" i="6" s="1"/>
  <c r="AJ44" i="6"/>
  <c r="AP27" i="6" s="1"/>
  <c r="F40" i="9" s="1"/>
  <c r="AH44" i="6"/>
  <c r="AE44" i="6"/>
  <c r="AO27" i="6" s="1"/>
  <c r="E40" i="9" s="1"/>
  <c r="AC44" i="6"/>
  <c r="AJ43" i="6"/>
  <c r="AP26" i="6" s="1"/>
  <c r="F39" i="9" s="1"/>
  <c r="AG43" i="6"/>
  <c r="AG42" i="6" s="1"/>
  <c r="AE43" i="6"/>
  <c r="AO26" i="6" s="1"/>
  <c r="E39" i="9" s="1"/>
  <c r="AB43" i="6"/>
  <c r="AJ42" i="6"/>
  <c r="AP25" i="6" s="1"/>
  <c r="F38" i="9" s="1"/>
  <c r="AE42" i="6"/>
  <c r="AO25" i="6" s="1"/>
  <c r="E38" i="9" s="1"/>
  <c r="AJ41" i="6"/>
  <c r="AP24" i="6" s="1"/>
  <c r="F37" i="9" s="1"/>
  <c r="AE41" i="6"/>
  <c r="AO24" i="6" s="1"/>
  <c r="E37" i="9" s="1"/>
  <c r="J41" i="6"/>
  <c r="AC12" i="6" s="1"/>
  <c r="AJ40" i="6"/>
  <c r="AP23" i="6" s="1"/>
  <c r="F36" i="9" s="1"/>
  <c r="AE40" i="6"/>
  <c r="AO23" i="6" s="1"/>
  <c r="E36" i="9" s="1"/>
  <c r="J40" i="6"/>
  <c r="AJ39" i="6"/>
  <c r="AP22" i="6" s="1"/>
  <c r="F35" i="9" s="1"/>
  <c r="AE39" i="6"/>
  <c r="AO22" i="6" s="1"/>
  <c r="E35" i="9" s="1"/>
  <c r="B38" i="6"/>
  <c r="F37" i="6"/>
  <c r="F40" i="6" s="1"/>
  <c r="R9" i="6" s="1"/>
  <c r="F36" i="6"/>
  <c r="F38" i="6" s="1"/>
  <c r="F41" i="6" s="1"/>
  <c r="Q9" i="6" s="1"/>
  <c r="AJ34" i="6"/>
  <c r="AM32" i="6" s="1"/>
  <c r="C45" i="9" s="1"/>
  <c r="AE34" i="6"/>
  <c r="AN32" i="6" s="1"/>
  <c r="D45" i="9" s="1"/>
  <c r="J34" i="6"/>
  <c r="B34" i="6"/>
  <c r="AJ33" i="6"/>
  <c r="AM31" i="6" s="1"/>
  <c r="C44" i="9" s="1"/>
  <c r="AE33" i="6"/>
  <c r="AN31" i="6" s="1"/>
  <c r="D44" i="9" s="1"/>
  <c r="AJ32" i="6"/>
  <c r="AM30" i="6" s="1"/>
  <c r="C43" i="9" s="1"/>
  <c r="AE32" i="6"/>
  <c r="AN30" i="6" s="1"/>
  <c r="D43" i="9" s="1"/>
  <c r="B32" i="6"/>
  <c r="B51" i="6" s="1"/>
  <c r="AJ31" i="6"/>
  <c r="AM29" i="6" s="1"/>
  <c r="C42" i="9" s="1"/>
  <c r="AE31" i="6"/>
  <c r="AN29" i="6" s="1"/>
  <c r="D42" i="9" s="1"/>
  <c r="J31" i="6"/>
  <c r="U9" i="6" s="1"/>
  <c r="AJ30" i="6"/>
  <c r="AM28" i="6" s="1"/>
  <c r="C41" i="9" s="1"/>
  <c r="AG30" i="6"/>
  <c r="AH30" i="6" s="1"/>
  <c r="AE30" i="6"/>
  <c r="AN28" i="6" s="1"/>
  <c r="D41" i="9" s="1"/>
  <c r="AB30" i="6"/>
  <c r="AB31" i="6" s="1"/>
  <c r="AC31" i="6" s="1"/>
  <c r="AJ29" i="6"/>
  <c r="AM27" i="6" s="1"/>
  <c r="C40" i="9" s="1"/>
  <c r="AH29" i="6"/>
  <c r="AE29" i="6"/>
  <c r="AN27" i="6" s="1"/>
  <c r="D40" i="9" s="1"/>
  <c r="AC29" i="6"/>
  <c r="AJ28" i="6"/>
  <c r="AM26" i="6" s="1"/>
  <c r="C39" i="9" s="1"/>
  <c r="AG28" i="6"/>
  <c r="AH28" i="6" s="1"/>
  <c r="AE28" i="6"/>
  <c r="AN26" i="6" s="1"/>
  <c r="D39" i="9" s="1"/>
  <c r="AB28" i="6"/>
  <c r="AB27" i="6" s="1"/>
  <c r="AJ27" i="6"/>
  <c r="AM25" i="6" s="1"/>
  <c r="C38" i="9" s="1"/>
  <c r="AE27" i="6"/>
  <c r="AN25" i="6" s="1"/>
  <c r="D38" i="9" s="1"/>
  <c r="AJ26" i="6"/>
  <c r="AM24" i="6" s="1"/>
  <c r="C37" i="9" s="1"/>
  <c r="AE26" i="6"/>
  <c r="AN24" i="6" s="1"/>
  <c r="D37" i="9" s="1"/>
  <c r="AJ25" i="6"/>
  <c r="AM23" i="6" s="1"/>
  <c r="C36" i="9" s="1"/>
  <c r="AE25" i="6"/>
  <c r="AN23" i="6" s="1"/>
  <c r="D36" i="9" s="1"/>
  <c r="AJ24" i="6"/>
  <c r="AM22" i="6" s="1"/>
  <c r="C35" i="9" s="1"/>
  <c r="AE24" i="6"/>
  <c r="AN22" i="6" s="1"/>
  <c r="D35" i="9" s="1"/>
  <c r="AC11" i="6"/>
  <c r="N10" i="6"/>
  <c r="W9" i="6"/>
  <c r="AH49" i="5"/>
  <c r="AN32" i="5" s="1"/>
  <c r="S30" i="9" s="1"/>
  <c r="AC49" i="5"/>
  <c r="AM32" i="5" s="1"/>
  <c r="R30" i="9" s="1"/>
  <c r="AH48" i="5"/>
  <c r="AN31" i="5" s="1"/>
  <c r="S29" i="9" s="1"/>
  <c r="AC48" i="5"/>
  <c r="AM31" i="5" s="1"/>
  <c r="R29" i="9" s="1"/>
  <c r="AH47" i="5"/>
  <c r="AN30" i="5" s="1"/>
  <c r="S28" i="9" s="1"/>
  <c r="AC47" i="5"/>
  <c r="AM30" i="5" s="1"/>
  <c r="R28" i="9" s="1"/>
  <c r="AH46" i="5"/>
  <c r="AN29" i="5" s="1"/>
  <c r="S27" i="9" s="1"/>
  <c r="AC46" i="5"/>
  <c r="AM29" i="5" s="1"/>
  <c r="R27" i="9" s="1"/>
  <c r="AH45" i="5"/>
  <c r="AN28" i="5" s="1"/>
  <c r="S26" i="9" s="1"/>
  <c r="AE45" i="5"/>
  <c r="AE46" i="5" s="1"/>
  <c r="AF46" i="5" s="1"/>
  <c r="AC45" i="5"/>
  <c r="AM28" i="5" s="1"/>
  <c r="R26" i="9" s="1"/>
  <c r="Z45" i="5"/>
  <c r="Z46" i="5" s="1"/>
  <c r="AA46" i="5" s="1"/>
  <c r="AH44" i="5"/>
  <c r="AN27" i="5" s="1"/>
  <c r="S25" i="9" s="1"/>
  <c r="AF44" i="5"/>
  <c r="AC44" i="5"/>
  <c r="AM27" i="5" s="1"/>
  <c r="R25" i="9" s="1"/>
  <c r="AA44" i="5"/>
  <c r="AH43" i="5"/>
  <c r="AN26" i="5" s="1"/>
  <c r="S24" i="9" s="1"/>
  <c r="AE43" i="5"/>
  <c r="AF43" i="5" s="1"/>
  <c r="AC43" i="5"/>
  <c r="AM26" i="5" s="1"/>
  <c r="R24" i="9" s="1"/>
  <c r="Z43" i="5"/>
  <c r="B43" i="5"/>
  <c r="B44" i="5" s="1"/>
  <c r="B33" i="5" s="1"/>
  <c r="AH42" i="5"/>
  <c r="AN25" i="5" s="1"/>
  <c r="S23" i="9" s="1"/>
  <c r="AC42" i="5"/>
  <c r="AM25" i="5" s="1"/>
  <c r="R23" i="9" s="1"/>
  <c r="AH41" i="5"/>
  <c r="AN24" i="5" s="1"/>
  <c r="S22" i="9" s="1"/>
  <c r="AC41" i="5"/>
  <c r="AM24" i="5" s="1"/>
  <c r="R22" i="9" s="1"/>
  <c r="F41" i="5"/>
  <c r="AH40" i="5"/>
  <c r="AN23" i="5" s="1"/>
  <c r="S21" i="9" s="1"/>
  <c r="AC40" i="5"/>
  <c r="AM23" i="5" s="1"/>
  <c r="R21" i="9" s="1"/>
  <c r="AH39" i="5"/>
  <c r="AN22" i="5" s="1"/>
  <c r="S20" i="9" s="1"/>
  <c r="AC39" i="5"/>
  <c r="AM22" i="5" s="1"/>
  <c r="R20" i="9" s="1"/>
  <c r="J35" i="5"/>
  <c r="AA11" i="5" s="1"/>
  <c r="F36" i="5"/>
  <c r="AH34" i="5"/>
  <c r="AK32" i="5" s="1"/>
  <c r="P30" i="9" s="1"/>
  <c r="AC34" i="5"/>
  <c r="AL32" i="5" s="1"/>
  <c r="Q30" i="9" s="1"/>
  <c r="J34" i="5"/>
  <c r="AH33" i="5"/>
  <c r="AK31" i="5" s="1"/>
  <c r="P29" i="9" s="1"/>
  <c r="AC33" i="5"/>
  <c r="AL31" i="5" s="1"/>
  <c r="Q29" i="9" s="1"/>
  <c r="AH32" i="5"/>
  <c r="AK30" i="5" s="1"/>
  <c r="P28" i="9" s="1"/>
  <c r="AC32" i="5"/>
  <c r="AL30" i="5" s="1"/>
  <c r="Q28" i="9" s="1"/>
  <c r="B32" i="5"/>
  <c r="AH31" i="5"/>
  <c r="AK29" i="5" s="1"/>
  <c r="P27" i="9" s="1"/>
  <c r="AC31" i="5"/>
  <c r="AL29" i="5" s="1"/>
  <c r="Q27" i="9" s="1"/>
  <c r="AH30" i="5"/>
  <c r="AK28" i="5" s="1"/>
  <c r="P26" i="9" s="1"/>
  <c r="AE30" i="5"/>
  <c r="AC30" i="5"/>
  <c r="AL28" i="5" s="1"/>
  <c r="Q26" i="9" s="1"/>
  <c r="Z30" i="5"/>
  <c r="Z31" i="5" s="1"/>
  <c r="AH29" i="5"/>
  <c r="AK27" i="5" s="1"/>
  <c r="P25" i="9" s="1"/>
  <c r="AF29" i="5"/>
  <c r="AC29" i="5"/>
  <c r="AL27" i="5" s="1"/>
  <c r="Q25" i="9" s="1"/>
  <c r="AA29" i="5"/>
  <c r="AH28" i="5"/>
  <c r="AK26" i="5" s="1"/>
  <c r="P24" i="9" s="1"/>
  <c r="AE28" i="5"/>
  <c r="AE27" i="5" s="1"/>
  <c r="AC28" i="5"/>
  <c r="AL26" i="5" s="1"/>
  <c r="Q24" i="9" s="1"/>
  <c r="Z28" i="5"/>
  <c r="Z27" i="5" s="1"/>
  <c r="AA27" i="5" s="1"/>
  <c r="AH27" i="5"/>
  <c r="AK25" i="5" s="1"/>
  <c r="P23" i="9" s="1"/>
  <c r="AC27" i="5"/>
  <c r="AL25" i="5" s="1"/>
  <c r="Q23" i="9" s="1"/>
  <c r="AH26" i="5"/>
  <c r="AK24" i="5" s="1"/>
  <c r="P22" i="9" s="1"/>
  <c r="AC26" i="5"/>
  <c r="AL24" i="5" s="1"/>
  <c r="Q22" i="9" s="1"/>
  <c r="AH25" i="5"/>
  <c r="AK23" i="5" s="1"/>
  <c r="P21" i="9" s="1"/>
  <c r="AC25" i="5"/>
  <c r="AL23" i="5" s="1"/>
  <c r="Q21" i="9" s="1"/>
  <c r="AH24" i="5"/>
  <c r="AK22" i="5" s="1"/>
  <c r="P20" i="9" s="1"/>
  <c r="AC24" i="5"/>
  <c r="AL22" i="5" s="1"/>
  <c r="Q20" i="9" s="1"/>
  <c r="AA10" i="5"/>
  <c r="N10" i="5"/>
  <c r="T9" i="5"/>
  <c r="AE64" i="4"/>
  <c r="AQ32" i="4" s="1"/>
  <c r="G30" i="9" s="1"/>
  <c r="AE63" i="4"/>
  <c r="AQ31" i="4" s="1"/>
  <c r="G29" i="9" s="1"/>
  <c r="AE62" i="4"/>
  <c r="AQ30" i="4" s="1"/>
  <c r="G28" i="9" s="1"/>
  <c r="AE61" i="4"/>
  <c r="AQ29" i="4" s="1"/>
  <c r="G27" i="9" s="1"/>
  <c r="AE60" i="4"/>
  <c r="AQ28" i="4" s="1"/>
  <c r="G26" i="9" s="1"/>
  <c r="AB60" i="4"/>
  <c r="AB61" i="4" s="1"/>
  <c r="AB62" i="4" s="1"/>
  <c r="AC62" i="4" s="1"/>
  <c r="AE59" i="4"/>
  <c r="AQ27" i="4" s="1"/>
  <c r="G25" i="9" s="1"/>
  <c r="AC59" i="4"/>
  <c r="A59" i="4"/>
  <c r="AE58" i="4"/>
  <c r="AQ26" i="4" s="1"/>
  <c r="G24" i="9" s="1"/>
  <c r="AB58" i="4"/>
  <c r="AC58" i="4" s="1"/>
  <c r="B58" i="4"/>
  <c r="B59" i="4" s="1"/>
  <c r="AE57" i="4"/>
  <c r="AQ25" i="4" s="1"/>
  <c r="G23" i="9" s="1"/>
  <c r="AE56" i="4"/>
  <c r="AQ24" i="4" s="1"/>
  <c r="G22" i="9" s="1"/>
  <c r="AE55" i="4"/>
  <c r="AQ23" i="4" s="1"/>
  <c r="G21" i="9" s="1"/>
  <c r="AE54" i="4"/>
  <c r="AQ22" i="4" s="1"/>
  <c r="G20" i="9" s="1"/>
  <c r="AJ49" i="4"/>
  <c r="AP32" i="4" s="1"/>
  <c r="F30" i="9" s="1"/>
  <c r="AE49" i="4"/>
  <c r="AO32" i="4" s="1"/>
  <c r="E30" i="9" s="1"/>
  <c r="AJ48" i="4"/>
  <c r="AP31" i="4" s="1"/>
  <c r="F29" i="9" s="1"/>
  <c r="AE48" i="4"/>
  <c r="AO31" i="4" s="1"/>
  <c r="E29" i="9" s="1"/>
  <c r="AJ47" i="4"/>
  <c r="AP30" i="4" s="1"/>
  <c r="F28" i="9" s="1"/>
  <c r="AE47" i="4"/>
  <c r="AO30" i="4" s="1"/>
  <c r="E28" i="9" s="1"/>
  <c r="AJ46" i="4"/>
  <c r="AP29" i="4" s="1"/>
  <c r="F27" i="9" s="1"/>
  <c r="AE46" i="4"/>
  <c r="AO29" i="4" s="1"/>
  <c r="E27" i="9" s="1"/>
  <c r="AJ45" i="4"/>
  <c r="AP28" i="4" s="1"/>
  <c r="F26" i="9" s="1"/>
  <c r="AG45" i="4"/>
  <c r="AG46" i="4" s="1"/>
  <c r="AE45" i="4"/>
  <c r="AO28" i="4" s="1"/>
  <c r="E26" i="9" s="1"/>
  <c r="AB45" i="4"/>
  <c r="AC45" i="4" s="1"/>
  <c r="B45" i="4"/>
  <c r="B47" i="4" s="1"/>
  <c r="AJ44" i="4"/>
  <c r="AP27" i="4" s="1"/>
  <c r="F25" i="9" s="1"/>
  <c r="AH44" i="4"/>
  <c r="AE44" i="4"/>
  <c r="AO27" i="4" s="1"/>
  <c r="E25" i="9" s="1"/>
  <c r="AC44" i="4"/>
  <c r="AJ43" i="4"/>
  <c r="AP26" i="4" s="1"/>
  <c r="F24" i="9" s="1"/>
  <c r="AG43" i="4"/>
  <c r="AE43" i="4"/>
  <c r="AO26" i="4" s="1"/>
  <c r="E24" i="9" s="1"/>
  <c r="AB43" i="4"/>
  <c r="AC43" i="4" s="1"/>
  <c r="AJ42" i="4"/>
  <c r="AP25" i="4" s="1"/>
  <c r="F23" i="9" s="1"/>
  <c r="AE42" i="4"/>
  <c r="AO25" i="4" s="1"/>
  <c r="E23" i="9" s="1"/>
  <c r="AJ41" i="4"/>
  <c r="AP24" i="4" s="1"/>
  <c r="F22" i="9" s="1"/>
  <c r="AE41" i="4"/>
  <c r="AO24" i="4" s="1"/>
  <c r="E22" i="9" s="1"/>
  <c r="J41" i="4"/>
  <c r="AC12" i="4" s="1"/>
  <c r="AJ40" i="4"/>
  <c r="AP23" i="4" s="1"/>
  <c r="F21" i="9" s="1"/>
  <c r="AE40" i="4"/>
  <c r="AO23" i="4" s="1"/>
  <c r="E21" i="9" s="1"/>
  <c r="J40" i="4"/>
  <c r="AJ39" i="4"/>
  <c r="AP22" i="4" s="1"/>
  <c r="F20" i="9" s="1"/>
  <c r="AE39" i="4"/>
  <c r="AO22" i="4" s="1"/>
  <c r="E20" i="9" s="1"/>
  <c r="F37" i="4"/>
  <c r="F40" i="4" s="1"/>
  <c r="R9" i="4" s="1"/>
  <c r="F36" i="4"/>
  <c r="F38" i="4" s="1"/>
  <c r="F41" i="4" s="1"/>
  <c r="Q9" i="4" s="1"/>
  <c r="AJ34" i="4"/>
  <c r="AM32" i="4" s="1"/>
  <c r="C30" i="9" s="1"/>
  <c r="AE34" i="4"/>
  <c r="AN32" i="4" s="1"/>
  <c r="D30" i="9" s="1"/>
  <c r="J34" i="4"/>
  <c r="B34" i="4"/>
  <c r="AJ33" i="4"/>
  <c r="AM31" i="4" s="1"/>
  <c r="C29" i="9" s="1"/>
  <c r="AE33" i="4"/>
  <c r="AN31" i="4" s="1"/>
  <c r="D29" i="9" s="1"/>
  <c r="AJ32" i="4"/>
  <c r="AM30" i="4" s="1"/>
  <c r="C28" i="9" s="1"/>
  <c r="AE32" i="4"/>
  <c r="AN30" i="4" s="1"/>
  <c r="D28" i="9" s="1"/>
  <c r="B32" i="4"/>
  <c r="B51" i="4" s="1"/>
  <c r="AJ31" i="4"/>
  <c r="AM29" i="4" s="1"/>
  <c r="C27" i="9" s="1"/>
  <c r="AE31" i="4"/>
  <c r="AN29" i="4" s="1"/>
  <c r="D27" i="9" s="1"/>
  <c r="J31" i="4"/>
  <c r="U9" i="4" s="1"/>
  <c r="AJ30" i="4"/>
  <c r="AM28" i="4" s="1"/>
  <c r="C26" i="9" s="1"/>
  <c r="AG30" i="4"/>
  <c r="AH30" i="4" s="1"/>
  <c r="AE30" i="4"/>
  <c r="AN28" i="4" s="1"/>
  <c r="D26" i="9" s="1"/>
  <c r="AB30" i="4"/>
  <c r="AB31" i="4" s="1"/>
  <c r="AJ29" i="4"/>
  <c r="AM27" i="4" s="1"/>
  <c r="C25" i="9" s="1"/>
  <c r="AH29" i="4"/>
  <c r="AE29" i="4"/>
  <c r="AN27" i="4" s="1"/>
  <c r="D25" i="9" s="1"/>
  <c r="AC29" i="4"/>
  <c r="AJ28" i="4"/>
  <c r="AM26" i="4" s="1"/>
  <c r="C24" i="9" s="1"/>
  <c r="AG28" i="4"/>
  <c r="AH28" i="4" s="1"/>
  <c r="AE28" i="4"/>
  <c r="AN26" i="4" s="1"/>
  <c r="D24" i="9" s="1"/>
  <c r="AB28" i="4"/>
  <c r="AC28" i="4" s="1"/>
  <c r="AJ27" i="4"/>
  <c r="AM25" i="4" s="1"/>
  <c r="C23" i="9" s="1"/>
  <c r="AE27" i="4"/>
  <c r="AN25" i="4" s="1"/>
  <c r="D23" i="9" s="1"/>
  <c r="AJ26" i="4"/>
  <c r="AM24" i="4" s="1"/>
  <c r="C22" i="9" s="1"/>
  <c r="AE26" i="4"/>
  <c r="AN24" i="4" s="1"/>
  <c r="D22" i="9" s="1"/>
  <c r="AJ25" i="4"/>
  <c r="AM23" i="4" s="1"/>
  <c r="C21" i="9" s="1"/>
  <c r="AE25" i="4"/>
  <c r="AN23" i="4" s="1"/>
  <c r="D21" i="9" s="1"/>
  <c r="AJ24" i="4"/>
  <c r="AM22" i="4" s="1"/>
  <c r="C20" i="9" s="1"/>
  <c r="AE24" i="4"/>
  <c r="AN22" i="4" s="1"/>
  <c r="D20" i="9" s="1"/>
  <c r="AC11" i="4"/>
  <c r="N10" i="4"/>
  <c r="W9" i="4"/>
  <c r="AC8" i="4"/>
  <c r="AH49" i="3"/>
  <c r="AN32" i="3" s="1"/>
  <c r="S15" i="9" s="1"/>
  <c r="AC49" i="3"/>
  <c r="AM32" i="3" s="1"/>
  <c r="R15" i="9" s="1"/>
  <c r="AH48" i="3"/>
  <c r="AN31" i="3" s="1"/>
  <c r="S14" i="9" s="1"/>
  <c r="AC48" i="3"/>
  <c r="AM31" i="3" s="1"/>
  <c r="R14" i="9" s="1"/>
  <c r="AH47" i="3"/>
  <c r="AN30" i="3" s="1"/>
  <c r="S13" i="9" s="1"/>
  <c r="AC47" i="3"/>
  <c r="AM30" i="3" s="1"/>
  <c r="R13" i="9" s="1"/>
  <c r="AH46" i="3"/>
  <c r="AN29" i="3" s="1"/>
  <c r="S12" i="9" s="1"/>
  <c r="AC46" i="3"/>
  <c r="AM29" i="3" s="1"/>
  <c r="R12" i="9" s="1"/>
  <c r="AH45" i="3"/>
  <c r="AN28" i="3" s="1"/>
  <c r="S11" i="9" s="1"/>
  <c r="AE45" i="3"/>
  <c r="AF45" i="3" s="1"/>
  <c r="AC45" i="3"/>
  <c r="AM28" i="3" s="1"/>
  <c r="R11" i="9" s="1"/>
  <c r="Z45" i="3"/>
  <c r="Z46" i="3" s="1"/>
  <c r="AH44" i="3"/>
  <c r="AN27" i="3" s="1"/>
  <c r="S10" i="9" s="1"/>
  <c r="AF44" i="3"/>
  <c r="AC44" i="3"/>
  <c r="AM27" i="3" s="1"/>
  <c r="R10" i="9" s="1"/>
  <c r="AA44" i="3"/>
  <c r="AH43" i="3"/>
  <c r="AN26" i="3" s="1"/>
  <c r="S9" i="9" s="1"/>
  <c r="AE43" i="3"/>
  <c r="AF43" i="3" s="1"/>
  <c r="AC43" i="3"/>
  <c r="AM26" i="3" s="1"/>
  <c r="R9" i="9" s="1"/>
  <c r="Z43" i="3"/>
  <c r="AA43" i="3" s="1"/>
  <c r="B43" i="3"/>
  <c r="B44" i="3" s="1"/>
  <c r="B36" i="3" s="1"/>
  <c r="AH42" i="3"/>
  <c r="AN25" i="3" s="1"/>
  <c r="S8" i="9" s="1"/>
  <c r="AC42" i="3"/>
  <c r="AM25" i="3" s="1"/>
  <c r="R8" i="9" s="1"/>
  <c r="AH41" i="3"/>
  <c r="AN24" i="3" s="1"/>
  <c r="S7" i="9" s="1"/>
  <c r="AC41" i="3"/>
  <c r="AM24" i="3" s="1"/>
  <c r="R7" i="9" s="1"/>
  <c r="F41" i="3"/>
  <c r="AH40" i="3"/>
  <c r="AN23" i="3" s="1"/>
  <c r="S6" i="9" s="1"/>
  <c r="AC40" i="3"/>
  <c r="AM23" i="3" s="1"/>
  <c r="R6" i="9" s="1"/>
  <c r="AH39" i="3"/>
  <c r="AN22" i="3" s="1"/>
  <c r="S5" i="9" s="1"/>
  <c r="AC39" i="3"/>
  <c r="AM22" i="3" s="1"/>
  <c r="R5" i="9" s="1"/>
  <c r="J35" i="3"/>
  <c r="AA11" i="3" s="1"/>
  <c r="F36" i="3"/>
  <c r="F37" i="3" s="1"/>
  <c r="F38" i="3" s="1"/>
  <c r="B35" i="3"/>
  <c r="AH34" i="3"/>
  <c r="AK32" i="3" s="1"/>
  <c r="P15" i="9" s="1"/>
  <c r="AC34" i="3"/>
  <c r="AL32" i="3" s="1"/>
  <c r="Q15" i="9" s="1"/>
  <c r="J34" i="3"/>
  <c r="AH33" i="3"/>
  <c r="AK31" i="3" s="1"/>
  <c r="P14" i="9" s="1"/>
  <c r="AC33" i="3"/>
  <c r="AL31" i="3" s="1"/>
  <c r="Q14" i="9" s="1"/>
  <c r="J33" i="3"/>
  <c r="B33" i="3"/>
  <c r="AH32" i="3"/>
  <c r="AK30" i="3" s="1"/>
  <c r="P13" i="9" s="1"/>
  <c r="AC32" i="3"/>
  <c r="AL30" i="3" s="1"/>
  <c r="Q13" i="9" s="1"/>
  <c r="B32" i="3"/>
  <c r="AH31" i="3"/>
  <c r="AK29" i="3" s="1"/>
  <c r="P12" i="9" s="1"/>
  <c r="AC31" i="3"/>
  <c r="AL29" i="3" s="1"/>
  <c r="Q12" i="9" s="1"/>
  <c r="AH30" i="3"/>
  <c r="AK28" i="3" s="1"/>
  <c r="P11" i="9" s="1"/>
  <c r="AE30" i="3"/>
  <c r="AE31" i="3" s="1"/>
  <c r="AC30" i="3"/>
  <c r="AL28" i="3" s="1"/>
  <c r="Q11" i="9" s="1"/>
  <c r="Z30" i="3"/>
  <c r="Z31" i="3" s="1"/>
  <c r="Z32" i="3" s="1"/>
  <c r="AH29" i="3"/>
  <c r="AK27" i="3" s="1"/>
  <c r="P10" i="9" s="1"/>
  <c r="AF29" i="3"/>
  <c r="AC29" i="3"/>
  <c r="AL27" i="3" s="1"/>
  <c r="Q10" i="9" s="1"/>
  <c r="AA29" i="3"/>
  <c r="AH28" i="3"/>
  <c r="AK26" i="3" s="1"/>
  <c r="P9" i="9" s="1"/>
  <c r="AE28" i="3"/>
  <c r="AE27" i="3" s="1"/>
  <c r="AC28" i="3"/>
  <c r="AL26" i="3" s="1"/>
  <c r="Q9" i="9" s="1"/>
  <c r="Z28" i="3"/>
  <c r="Z27" i="3" s="1"/>
  <c r="AH27" i="3"/>
  <c r="AK25" i="3" s="1"/>
  <c r="P8" i="9" s="1"/>
  <c r="AC27" i="3"/>
  <c r="AL25" i="3" s="1"/>
  <c r="Q8" i="9" s="1"/>
  <c r="AH26" i="3"/>
  <c r="AK24" i="3" s="1"/>
  <c r="P7" i="9" s="1"/>
  <c r="AC26" i="3"/>
  <c r="AL24" i="3" s="1"/>
  <c r="Q7" i="9" s="1"/>
  <c r="AH25" i="3"/>
  <c r="AK23" i="3" s="1"/>
  <c r="P6" i="9" s="1"/>
  <c r="AC25" i="3"/>
  <c r="AL23" i="3" s="1"/>
  <c r="Q6" i="9" s="1"/>
  <c r="AH24" i="3"/>
  <c r="AK22" i="3" s="1"/>
  <c r="P5" i="9" s="1"/>
  <c r="AC24" i="3"/>
  <c r="AL22" i="3" s="1"/>
  <c r="Q5" i="9" s="1"/>
  <c r="N11" i="3"/>
  <c r="N12" i="3" s="1"/>
  <c r="AA10" i="3"/>
  <c r="N10" i="3"/>
  <c r="T10" i="3" s="1"/>
  <c r="T9" i="3"/>
  <c r="AA8" i="3"/>
  <c r="AE64" i="2"/>
  <c r="AQ32" i="2" s="1"/>
  <c r="G15" i="9" s="1"/>
  <c r="AE63" i="2"/>
  <c r="AQ31" i="2" s="1"/>
  <c r="G14" i="9" s="1"/>
  <c r="AE62" i="2"/>
  <c r="AQ30" i="2" s="1"/>
  <c r="G13" i="9" s="1"/>
  <c r="AE61" i="2"/>
  <c r="AQ29" i="2" s="1"/>
  <c r="G12" i="9" s="1"/>
  <c r="AE60" i="2"/>
  <c r="AQ28" i="2" s="1"/>
  <c r="G11" i="9" s="1"/>
  <c r="AB60" i="2"/>
  <c r="AB61" i="2" s="1"/>
  <c r="AB62" i="2" s="1"/>
  <c r="AE59" i="2"/>
  <c r="AQ27" i="2" s="1"/>
  <c r="G10" i="9" s="1"/>
  <c r="AC59" i="2"/>
  <c r="AE58" i="2"/>
  <c r="AQ26" i="2" s="1"/>
  <c r="G9" i="9" s="1"/>
  <c r="AB58" i="2"/>
  <c r="AB57" i="2" s="1"/>
  <c r="AE57" i="2"/>
  <c r="AQ25" i="2" s="1"/>
  <c r="G8" i="9" s="1"/>
  <c r="AE56" i="2"/>
  <c r="AQ24" i="2" s="1"/>
  <c r="G7" i="9" s="1"/>
  <c r="AE55" i="2"/>
  <c r="AQ23" i="2" s="1"/>
  <c r="G6" i="9" s="1"/>
  <c r="AE54" i="2"/>
  <c r="AQ22" i="2" s="1"/>
  <c r="G5" i="9" s="1"/>
  <c r="AJ49" i="2"/>
  <c r="AP32" i="2" s="1"/>
  <c r="F15" i="9" s="1"/>
  <c r="AE49" i="2"/>
  <c r="AO32" i="2" s="1"/>
  <c r="E15" i="9" s="1"/>
  <c r="AJ48" i="2"/>
  <c r="AP31" i="2" s="1"/>
  <c r="F14" i="9" s="1"/>
  <c r="AE48" i="2"/>
  <c r="AO31" i="2" s="1"/>
  <c r="E14" i="9" s="1"/>
  <c r="AJ47" i="2"/>
  <c r="AP30" i="2" s="1"/>
  <c r="F13" i="9" s="1"/>
  <c r="AE47" i="2"/>
  <c r="AO30" i="2" s="1"/>
  <c r="E13" i="9" s="1"/>
  <c r="AJ46" i="2"/>
  <c r="AP29" i="2" s="1"/>
  <c r="F12" i="9" s="1"/>
  <c r="AE46" i="2"/>
  <c r="AO29" i="2" s="1"/>
  <c r="E12" i="9" s="1"/>
  <c r="AB46" i="2"/>
  <c r="AB47" i="2" s="1"/>
  <c r="AJ45" i="2"/>
  <c r="AP28" i="2" s="1"/>
  <c r="F11" i="9" s="1"/>
  <c r="AG45" i="2"/>
  <c r="AG46" i="2" s="1"/>
  <c r="AE45" i="2"/>
  <c r="AO28" i="2" s="1"/>
  <c r="E11" i="9" s="1"/>
  <c r="AB45" i="2"/>
  <c r="AC45" i="2" s="1"/>
  <c r="B45" i="2"/>
  <c r="B47" i="2" s="1"/>
  <c r="AJ44" i="2"/>
  <c r="AP27" i="2" s="1"/>
  <c r="F10" i="9" s="1"/>
  <c r="AH44" i="2"/>
  <c r="AE44" i="2"/>
  <c r="AO27" i="2" s="1"/>
  <c r="E10" i="9" s="1"/>
  <c r="AC44" i="2"/>
  <c r="AJ43" i="2"/>
  <c r="AP26" i="2" s="1"/>
  <c r="F9" i="9" s="1"/>
  <c r="AG43" i="2"/>
  <c r="AG42" i="2" s="1"/>
  <c r="AH42" i="2" s="1"/>
  <c r="AE43" i="2"/>
  <c r="AO26" i="2" s="1"/>
  <c r="E9" i="9" s="1"/>
  <c r="AB43" i="2"/>
  <c r="AB42" i="2" s="1"/>
  <c r="AJ42" i="2"/>
  <c r="AP25" i="2" s="1"/>
  <c r="F8" i="9" s="1"/>
  <c r="AE42" i="2"/>
  <c r="AO25" i="2" s="1"/>
  <c r="E8" i="9" s="1"/>
  <c r="AJ41" i="2"/>
  <c r="AP24" i="2" s="1"/>
  <c r="F7" i="9" s="1"/>
  <c r="AE41" i="2"/>
  <c r="AO24" i="2" s="1"/>
  <c r="E7" i="9" s="1"/>
  <c r="J41" i="2"/>
  <c r="AC12" i="2" s="1"/>
  <c r="AJ40" i="2"/>
  <c r="AP23" i="2" s="1"/>
  <c r="F6" i="9" s="1"/>
  <c r="AE40" i="2"/>
  <c r="AO23" i="2" s="1"/>
  <c r="E6" i="9" s="1"/>
  <c r="J40" i="2"/>
  <c r="AJ39" i="2"/>
  <c r="AP22" i="2" s="1"/>
  <c r="F5" i="9" s="1"/>
  <c r="AE39" i="2"/>
  <c r="AO22" i="2" s="1"/>
  <c r="E5" i="9" s="1"/>
  <c r="J39" i="2"/>
  <c r="F37" i="2"/>
  <c r="F40" i="2" s="1"/>
  <c r="F36" i="2"/>
  <c r="F38" i="2" s="1"/>
  <c r="F41" i="2" s="1"/>
  <c r="Q9" i="2" s="1"/>
  <c r="AJ34" i="2"/>
  <c r="AM32" i="2" s="1"/>
  <c r="C15" i="9" s="1"/>
  <c r="AE34" i="2"/>
  <c r="AN32" i="2" s="1"/>
  <c r="D15" i="9" s="1"/>
  <c r="J34" i="2"/>
  <c r="B34" i="2"/>
  <c r="AJ33" i="2"/>
  <c r="AM31" i="2" s="1"/>
  <c r="C14" i="9" s="1"/>
  <c r="AE33" i="2"/>
  <c r="AN31" i="2" s="1"/>
  <c r="D14" i="9" s="1"/>
  <c r="AJ32" i="2"/>
  <c r="AM30" i="2" s="1"/>
  <c r="C13" i="9" s="1"/>
  <c r="AE32" i="2"/>
  <c r="AN30" i="2" s="1"/>
  <c r="D13" i="9" s="1"/>
  <c r="B32" i="2"/>
  <c r="B51" i="2" s="1"/>
  <c r="AJ31" i="2"/>
  <c r="AM29" i="2" s="1"/>
  <c r="C12" i="9" s="1"/>
  <c r="AE31" i="2"/>
  <c r="AN29" i="2" s="1"/>
  <c r="D12" i="9" s="1"/>
  <c r="J31" i="2"/>
  <c r="U9" i="2" s="1"/>
  <c r="AJ30" i="2"/>
  <c r="AM28" i="2" s="1"/>
  <c r="C11" i="9" s="1"/>
  <c r="AG30" i="2"/>
  <c r="AH30" i="2" s="1"/>
  <c r="AE30" i="2"/>
  <c r="AN28" i="2" s="1"/>
  <c r="D11" i="9" s="1"/>
  <c r="AB30" i="2"/>
  <c r="AJ29" i="2"/>
  <c r="AM27" i="2" s="1"/>
  <c r="C10" i="9" s="1"/>
  <c r="AH29" i="2"/>
  <c r="AE29" i="2"/>
  <c r="AN27" i="2" s="1"/>
  <c r="D10" i="9" s="1"/>
  <c r="AC29" i="2"/>
  <c r="AJ28" i="2"/>
  <c r="AM26" i="2" s="1"/>
  <c r="C9" i="9" s="1"/>
  <c r="AG28" i="2"/>
  <c r="AH28" i="2" s="1"/>
  <c r="AE28" i="2"/>
  <c r="AN26" i="2" s="1"/>
  <c r="D9" i="9" s="1"/>
  <c r="AB28" i="2"/>
  <c r="AJ27" i="2"/>
  <c r="AM25" i="2" s="1"/>
  <c r="C8" i="9" s="1"/>
  <c r="AE27" i="2"/>
  <c r="AN25" i="2" s="1"/>
  <c r="D8" i="9" s="1"/>
  <c r="AJ26" i="2"/>
  <c r="AM24" i="2" s="1"/>
  <c r="C7" i="9" s="1"/>
  <c r="AE26" i="2"/>
  <c r="AN24" i="2" s="1"/>
  <c r="D7" i="9" s="1"/>
  <c r="AJ25" i="2"/>
  <c r="AM23" i="2" s="1"/>
  <c r="C6" i="9" s="1"/>
  <c r="AE25" i="2"/>
  <c r="AN23" i="2" s="1"/>
  <c r="D6" i="9" s="1"/>
  <c r="AJ24" i="2"/>
  <c r="AM22" i="2" s="1"/>
  <c r="C5" i="9" s="1"/>
  <c r="AE24" i="2"/>
  <c r="AN22" i="2" s="1"/>
  <c r="D5" i="9" s="1"/>
  <c r="AC11" i="2"/>
  <c r="N10" i="2"/>
  <c r="W9" i="2"/>
  <c r="AC8" i="2"/>
  <c r="Z26" i="5" l="1"/>
  <c r="Z25" i="5" s="1"/>
  <c r="AA25" i="5" s="1"/>
  <c r="Z42" i="3"/>
  <c r="AA42" i="3" s="1"/>
  <c r="AC28" i="6"/>
  <c r="AE42" i="7"/>
  <c r="AE41" i="7" s="1"/>
  <c r="AE40" i="7" s="1"/>
  <c r="AB27" i="4"/>
  <c r="AC27" i="4" s="1"/>
  <c r="J32" i="5"/>
  <c r="AC8" i="6"/>
  <c r="F50" i="6"/>
  <c r="F51" i="6" s="1"/>
  <c r="AC13" i="6"/>
  <c r="AH43" i="2"/>
  <c r="AB61" i="6"/>
  <c r="Z9" i="4"/>
  <c r="C58" i="4"/>
  <c r="C59" i="4" s="1"/>
  <c r="AC61" i="4"/>
  <c r="AC30" i="4"/>
  <c r="F50" i="4"/>
  <c r="F51" i="4" s="1"/>
  <c r="AC13" i="4"/>
  <c r="AF42" i="7"/>
  <c r="AE46" i="7"/>
  <c r="AF46" i="7" s="1"/>
  <c r="W10" i="7"/>
  <c r="AA45" i="3"/>
  <c r="AB63" i="4"/>
  <c r="AC63" i="4" s="1"/>
  <c r="AG27" i="6"/>
  <c r="F51" i="2"/>
  <c r="F52" i="2"/>
  <c r="AG27" i="2"/>
  <c r="AG31" i="6"/>
  <c r="AH31" i="6" s="1"/>
  <c r="B36" i="5"/>
  <c r="AF41" i="7"/>
  <c r="W10" i="3"/>
  <c r="B34" i="3"/>
  <c r="AC60" i="4"/>
  <c r="W9" i="5"/>
  <c r="B34" i="5"/>
  <c r="B38" i="5"/>
  <c r="AE27" i="7"/>
  <c r="AE26" i="7" s="1"/>
  <c r="Z9" i="2"/>
  <c r="J31" i="5"/>
  <c r="R9" i="5" s="1"/>
  <c r="Q10" i="2"/>
  <c r="AC27" i="6"/>
  <c r="AB26" i="6"/>
  <c r="AF40" i="7"/>
  <c r="AE39" i="7"/>
  <c r="AF39" i="7" s="1"/>
  <c r="R10" i="2"/>
  <c r="R9" i="2"/>
  <c r="AA46" i="3"/>
  <c r="Z47" i="3"/>
  <c r="Z48" i="3" s="1"/>
  <c r="Z49" i="3" s="1"/>
  <c r="AA49" i="3" s="1"/>
  <c r="AA27" i="7"/>
  <c r="Z26" i="7"/>
  <c r="AA27" i="3"/>
  <c r="Z26" i="3"/>
  <c r="AG31" i="2"/>
  <c r="AG32" i="2" s="1"/>
  <c r="W9" i="3"/>
  <c r="AA30" i="3"/>
  <c r="J32" i="3"/>
  <c r="J31" i="3" s="1"/>
  <c r="B37" i="3"/>
  <c r="AB42" i="4"/>
  <c r="AB41" i="4" s="1"/>
  <c r="AH45" i="4"/>
  <c r="AF28" i="5"/>
  <c r="AE42" i="5"/>
  <c r="AF45" i="5"/>
  <c r="AB46" i="6"/>
  <c r="AB47" i="6" s="1"/>
  <c r="AA28" i="7"/>
  <c r="Z42" i="7"/>
  <c r="AE47" i="7"/>
  <c r="AC60" i="2"/>
  <c r="AA28" i="3"/>
  <c r="AC30" i="6"/>
  <c r="Z41" i="3"/>
  <c r="AA41" i="3" s="1"/>
  <c r="AE42" i="3"/>
  <c r="B38" i="3"/>
  <c r="B45" i="3" s="1"/>
  <c r="AB57" i="4"/>
  <c r="Z24" i="5"/>
  <c r="AA24" i="5" s="1"/>
  <c r="B49" i="2"/>
  <c r="J46" i="2" s="1"/>
  <c r="T9" i="2" s="1"/>
  <c r="AA30" i="5"/>
  <c r="AE46" i="3"/>
  <c r="AE47" i="3" s="1"/>
  <c r="B49" i="4"/>
  <c r="B33" i="4" s="1"/>
  <c r="R10" i="6"/>
  <c r="AH43" i="6"/>
  <c r="B34" i="7"/>
  <c r="Z47" i="5"/>
  <c r="AA47" i="5" s="1"/>
  <c r="N11" i="6"/>
  <c r="U10" i="2"/>
  <c r="Z10" i="2"/>
  <c r="AC28" i="2"/>
  <c r="AB27" i="2"/>
  <c r="AC57" i="2"/>
  <c r="AB56" i="2"/>
  <c r="AE26" i="3"/>
  <c r="AF27" i="3"/>
  <c r="Q11" i="3"/>
  <c r="Q9" i="3"/>
  <c r="AG26" i="2"/>
  <c r="AH27" i="2"/>
  <c r="AC42" i="2"/>
  <c r="AB41" i="2"/>
  <c r="AB48" i="2"/>
  <c r="AC47" i="2"/>
  <c r="AE32" i="3"/>
  <c r="AF31" i="3"/>
  <c r="W10" i="2"/>
  <c r="N11" i="2"/>
  <c r="AG33" i="2"/>
  <c r="AH32" i="2"/>
  <c r="AH46" i="2"/>
  <c r="AG47" i="2"/>
  <c r="AC30" i="2"/>
  <c r="AB31" i="2"/>
  <c r="AC62" i="2"/>
  <c r="AB63" i="2"/>
  <c r="Q10" i="3"/>
  <c r="T12" i="3"/>
  <c r="N13" i="3"/>
  <c r="W12" i="3"/>
  <c r="Q12" i="3"/>
  <c r="Z33" i="3"/>
  <c r="AA32" i="3"/>
  <c r="AH31" i="2"/>
  <c r="AG41" i="2"/>
  <c r="AC43" i="2"/>
  <c r="AH45" i="2"/>
  <c r="AC46" i="2"/>
  <c r="AC58" i="2"/>
  <c r="AC61" i="2"/>
  <c r="W11" i="3"/>
  <c r="AF28" i="3"/>
  <c r="AA31" i="3"/>
  <c r="T11" i="3"/>
  <c r="AF30" i="3"/>
  <c r="J43" i="3"/>
  <c r="S9" i="3" s="1"/>
  <c r="AE48" i="3"/>
  <c r="AF47" i="3"/>
  <c r="W10" i="4"/>
  <c r="N11" i="4"/>
  <c r="AG42" i="4"/>
  <c r="AH43" i="4"/>
  <c r="W10" i="5"/>
  <c r="T10" i="5"/>
  <c r="N11" i="5"/>
  <c r="Z32" i="5"/>
  <c r="AA31" i="5"/>
  <c r="AF46" i="3"/>
  <c r="Q10" i="4"/>
  <c r="U10" i="4"/>
  <c r="Z10" i="4"/>
  <c r="AE26" i="5"/>
  <c r="AF27" i="5"/>
  <c r="R10" i="4"/>
  <c r="AC31" i="4"/>
  <c r="AB32" i="4"/>
  <c r="AG47" i="4"/>
  <c r="AH46" i="4"/>
  <c r="AB26" i="4"/>
  <c r="AG27" i="4"/>
  <c r="AG31" i="4"/>
  <c r="AB46" i="4"/>
  <c r="AB64" i="4"/>
  <c r="AC64" i="4" s="1"/>
  <c r="AA8" i="5"/>
  <c r="F37" i="5"/>
  <c r="F38" i="5" s="1"/>
  <c r="Q9" i="5" s="1"/>
  <c r="B49" i="6"/>
  <c r="Z9" i="6"/>
  <c r="AE31" i="7"/>
  <c r="AF30" i="7"/>
  <c r="AA26" i="5"/>
  <c r="AA28" i="5"/>
  <c r="AE31" i="5"/>
  <c r="AF30" i="5"/>
  <c r="AA43" i="5"/>
  <c r="Z42" i="5"/>
  <c r="Z11" i="6"/>
  <c r="U11" i="6"/>
  <c r="Q11" i="6"/>
  <c r="W11" i="6"/>
  <c r="AE47" i="5"/>
  <c r="R11" i="6"/>
  <c r="AB42" i="6"/>
  <c r="AC43" i="6"/>
  <c r="Q10" i="7"/>
  <c r="J43" i="5"/>
  <c r="S9" i="5" s="1"/>
  <c r="B37" i="5"/>
  <c r="B35" i="5"/>
  <c r="AA45" i="5"/>
  <c r="Z10" i="6"/>
  <c r="U10" i="6"/>
  <c r="Q10" i="6"/>
  <c r="W10" i="6"/>
  <c r="N12" i="6"/>
  <c r="AB32" i="6"/>
  <c r="AH42" i="6"/>
  <c r="AG41" i="6"/>
  <c r="AG46" i="6"/>
  <c r="AH45" i="6"/>
  <c r="AB62" i="6"/>
  <c r="AC61" i="6"/>
  <c r="Z46" i="7"/>
  <c r="AA45" i="7"/>
  <c r="J43" i="7"/>
  <c r="S9" i="7" s="1"/>
  <c r="B37" i="7"/>
  <c r="B35" i="7"/>
  <c r="J32" i="7"/>
  <c r="J31" i="7" s="1"/>
  <c r="B33" i="7"/>
  <c r="B36" i="7"/>
  <c r="W9" i="7"/>
  <c r="B59" i="6"/>
  <c r="S10" i="7"/>
  <c r="AF27" i="7"/>
  <c r="AB57" i="6"/>
  <c r="T10" i="7"/>
  <c r="N11" i="7"/>
  <c r="Z32" i="7"/>
  <c r="AA31" i="7"/>
  <c r="AE48" i="7"/>
  <c r="AF47" i="7"/>
  <c r="Z41" i="7"/>
  <c r="AA42" i="7"/>
  <c r="AA30" i="7"/>
  <c r="B45" i="5" l="1"/>
  <c r="F52" i="6"/>
  <c r="J32" i="6" s="1"/>
  <c r="V9" i="6" s="1"/>
  <c r="Z40" i="3"/>
  <c r="F52" i="4"/>
  <c r="Z48" i="5"/>
  <c r="AC42" i="4"/>
  <c r="J32" i="4"/>
  <c r="V9" i="4" s="1"/>
  <c r="J32" i="2"/>
  <c r="V11" i="2" s="1"/>
  <c r="AH27" i="6"/>
  <c r="AG26" i="6"/>
  <c r="AG32" i="6"/>
  <c r="R10" i="5"/>
  <c r="B36" i="4"/>
  <c r="J38" i="4"/>
  <c r="J37" i="4" s="1"/>
  <c r="S9" i="4" s="1"/>
  <c r="B37" i="4"/>
  <c r="J46" i="4"/>
  <c r="T9" i="4" s="1"/>
  <c r="B35" i="4"/>
  <c r="B37" i="2"/>
  <c r="B33" i="2"/>
  <c r="J38" i="2"/>
  <c r="J37" i="2" s="1"/>
  <c r="S9" i="2" s="1"/>
  <c r="B35" i="2"/>
  <c r="B36" i="2"/>
  <c r="R10" i="3"/>
  <c r="R9" i="3"/>
  <c r="R11" i="3"/>
  <c r="R12" i="3"/>
  <c r="AF42" i="3"/>
  <c r="AE41" i="3"/>
  <c r="AC46" i="6"/>
  <c r="AA47" i="3"/>
  <c r="AE41" i="5"/>
  <c r="AF42" i="5"/>
  <c r="Z25" i="3"/>
  <c r="AA26" i="3"/>
  <c r="B45" i="7"/>
  <c r="B47" i="7" s="1"/>
  <c r="AA48" i="3"/>
  <c r="Z25" i="7"/>
  <c r="AA26" i="7"/>
  <c r="AC26" i="6"/>
  <c r="AB25" i="6"/>
  <c r="AC57" i="4"/>
  <c r="AB56" i="4"/>
  <c r="N12" i="7"/>
  <c r="T11" i="7"/>
  <c r="S11" i="7"/>
  <c r="W11" i="7"/>
  <c r="R11" i="7"/>
  <c r="Q11" i="7"/>
  <c r="R9" i="7"/>
  <c r="R10" i="7"/>
  <c r="AA46" i="7"/>
  <c r="Z47" i="7"/>
  <c r="AG47" i="6"/>
  <c r="AH46" i="6"/>
  <c r="B47" i="5"/>
  <c r="B31" i="5"/>
  <c r="AE48" i="5"/>
  <c r="AF47" i="5"/>
  <c r="Z41" i="5"/>
  <c r="AA42" i="5"/>
  <c r="AB47" i="4"/>
  <c r="AC46" i="4"/>
  <c r="AC47" i="6"/>
  <c r="AB48" i="6"/>
  <c r="AC41" i="4"/>
  <c r="AB40" i="4"/>
  <c r="AA32" i="5"/>
  <c r="Z33" i="5"/>
  <c r="S10" i="3"/>
  <c r="AA33" i="3"/>
  <c r="Z34" i="3"/>
  <c r="AA34" i="3" s="1"/>
  <c r="S12" i="3"/>
  <c r="AC41" i="2"/>
  <c r="AB40" i="2"/>
  <c r="Z12" i="6"/>
  <c r="U12" i="6"/>
  <c r="Q12" i="6"/>
  <c r="W12" i="6"/>
  <c r="N13" i="6"/>
  <c r="R12" i="6"/>
  <c r="AE49" i="7"/>
  <c r="AF49" i="7" s="1"/>
  <c r="AF48" i="7"/>
  <c r="AF26" i="7"/>
  <c r="AE25" i="7"/>
  <c r="AH41" i="6"/>
  <c r="AG40" i="6"/>
  <c r="AB41" i="6"/>
  <c r="AC42" i="6"/>
  <c r="J38" i="6"/>
  <c r="J37" i="6" s="1"/>
  <c r="B37" i="6"/>
  <c r="B36" i="6"/>
  <c r="B35" i="6"/>
  <c r="J46" i="6"/>
  <c r="T12" i="6" s="1"/>
  <c r="B33" i="6"/>
  <c r="AH31" i="4"/>
  <c r="AG32" i="4"/>
  <c r="AG48" i="4"/>
  <c r="AH47" i="4"/>
  <c r="Q10" i="5"/>
  <c r="AG41" i="4"/>
  <c r="AH42" i="4"/>
  <c r="B47" i="3"/>
  <c r="B31" i="3"/>
  <c r="S11" i="3"/>
  <c r="T13" i="3"/>
  <c r="N14" i="3"/>
  <c r="S13" i="3"/>
  <c r="W13" i="3"/>
  <c r="R13" i="3"/>
  <c r="Q13" i="3"/>
  <c r="AC63" i="2"/>
  <c r="AB64" i="2"/>
  <c r="AC64" i="2" s="1"/>
  <c r="AE33" i="3"/>
  <c r="AF32" i="3"/>
  <c r="AE25" i="3"/>
  <c r="AF26" i="3"/>
  <c r="AB63" i="6"/>
  <c r="AC62" i="6"/>
  <c r="AH32" i="6"/>
  <c r="AG33" i="6"/>
  <c r="AH27" i="4"/>
  <c r="AG26" i="4"/>
  <c r="AC32" i="4"/>
  <c r="AB33" i="4"/>
  <c r="AF26" i="5"/>
  <c r="AE25" i="5"/>
  <c r="Q11" i="5"/>
  <c r="N12" i="5"/>
  <c r="T11" i="5"/>
  <c r="S11" i="5"/>
  <c r="R11" i="5"/>
  <c r="W11" i="5"/>
  <c r="R11" i="4"/>
  <c r="Z11" i="4"/>
  <c r="U11" i="4"/>
  <c r="Q11" i="4"/>
  <c r="N12" i="4"/>
  <c r="W11" i="4"/>
  <c r="AA40" i="3"/>
  <c r="Z39" i="3"/>
  <c r="AA39" i="3" s="1"/>
  <c r="AH33" i="2"/>
  <c r="AG34" i="2"/>
  <c r="AH34" i="2" s="1"/>
  <c r="AC56" i="2"/>
  <c r="AB55" i="2"/>
  <c r="AC27" i="2"/>
  <c r="AB26" i="2"/>
  <c r="AA41" i="7"/>
  <c r="Z40" i="7"/>
  <c r="AA32" i="7"/>
  <c r="Z33" i="7"/>
  <c r="AC57" i="6"/>
  <c r="AB56" i="6"/>
  <c r="AC32" i="6"/>
  <c r="AB33" i="6"/>
  <c r="AF31" i="5"/>
  <c r="AE32" i="5"/>
  <c r="AE32" i="7"/>
  <c r="AF31" i="7"/>
  <c r="AC26" i="4"/>
  <c r="AB25" i="4"/>
  <c r="Z49" i="5"/>
  <c r="AA49" i="5" s="1"/>
  <c r="AA48" i="5"/>
  <c r="S10" i="5"/>
  <c r="AE49" i="3"/>
  <c r="AF49" i="3" s="1"/>
  <c r="AF48" i="3"/>
  <c r="AH41" i="2"/>
  <c r="AG40" i="2"/>
  <c r="AC31" i="2"/>
  <c r="AB32" i="2"/>
  <c r="AG48" i="2"/>
  <c r="AH47" i="2"/>
  <c r="T11" i="2"/>
  <c r="N12" i="2"/>
  <c r="W11" i="2"/>
  <c r="R11" i="2"/>
  <c r="Z11" i="2"/>
  <c r="U11" i="2"/>
  <c r="Q11" i="2"/>
  <c r="AB49" i="2"/>
  <c r="AC49" i="2" s="1"/>
  <c r="AC48" i="2"/>
  <c r="AH26" i="2"/>
  <c r="AG25" i="2"/>
  <c r="T10" i="2"/>
  <c r="V10" i="6" l="1"/>
  <c r="V11" i="6"/>
  <c r="V12" i="6"/>
  <c r="V10" i="4"/>
  <c r="V11" i="4"/>
  <c r="V10" i="2"/>
  <c r="V9" i="2"/>
  <c r="AH26" i="6"/>
  <c r="AG25" i="6"/>
  <c r="T10" i="4"/>
  <c r="S11" i="4"/>
  <c r="S10" i="4"/>
  <c r="T11" i="4"/>
  <c r="B50" i="4"/>
  <c r="B52" i="4" s="1"/>
  <c r="S11" i="2"/>
  <c r="B50" i="2"/>
  <c r="B38" i="2" s="1"/>
  <c r="S10" i="2"/>
  <c r="B31" i="7"/>
  <c r="AA25" i="7"/>
  <c r="Z24" i="7"/>
  <c r="AA24" i="7" s="1"/>
  <c r="AB55" i="4"/>
  <c r="AC56" i="4"/>
  <c r="AF41" i="3"/>
  <c r="AE40" i="3"/>
  <c r="B50" i="6"/>
  <c r="B52" i="6" s="1"/>
  <c r="AC10" i="6" s="1"/>
  <c r="Z24" i="3"/>
  <c r="AA24" i="3" s="1"/>
  <c r="AA25" i="3"/>
  <c r="AB24" i="6"/>
  <c r="AC24" i="6" s="1"/>
  <c r="AC25" i="6"/>
  <c r="AF41" i="5"/>
  <c r="AE40" i="5"/>
  <c r="AE33" i="7"/>
  <c r="AF32" i="7"/>
  <c r="AG24" i="2"/>
  <c r="AH24" i="2" s="1"/>
  <c r="AH25" i="2"/>
  <c r="AB33" i="2"/>
  <c r="AC32" i="2"/>
  <c r="T12" i="5"/>
  <c r="N13" i="5"/>
  <c r="S12" i="5"/>
  <c r="R12" i="5"/>
  <c r="Q12" i="5"/>
  <c r="W12" i="5"/>
  <c r="AC63" i="6"/>
  <c r="AB64" i="6"/>
  <c r="AC64" i="6" s="1"/>
  <c r="T14" i="3"/>
  <c r="P14" i="3"/>
  <c r="N15" i="3"/>
  <c r="S14" i="3"/>
  <c r="W14" i="3"/>
  <c r="R14" i="3"/>
  <c r="Q14" i="3"/>
  <c r="AH41" i="4"/>
  <c r="AG40" i="4"/>
  <c r="AH32" i="4"/>
  <c r="AG33" i="4"/>
  <c r="AH40" i="6"/>
  <c r="AG39" i="6"/>
  <c r="AH39" i="6" s="1"/>
  <c r="Z13" i="6"/>
  <c r="U13" i="6"/>
  <c r="Q13" i="6"/>
  <c r="T13" i="6"/>
  <c r="S13" i="6"/>
  <c r="N14" i="6"/>
  <c r="R13" i="6"/>
  <c r="W13" i="6"/>
  <c r="V13" i="6"/>
  <c r="Z48" i="7"/>
  <c r="AA47" i="7"/>
  <c r="AC56" i="6"/>
  <c r="AB55" i="6"/>
  <c r="Z39" i="7"/>
  <c r="AA39" i="7" s="1"/>
  <c r="AA40" i="7"/>
  <c r="AB54" i="2"/>
  <c r="AC54" i="2" s="1"/>
  <c r="AC55" i="2"/>
  <c r="AC33" i="4"/>
  <c r="AB34" i="4"/>
  <c r="AC34" i="4" s="1"/>
  <c r="AG34" i="6"/>
  <c r="AH34" i="6" s="1"/>
  <c r="AH33" i="6"/>
  <c r="AF33" i="3"/>
  <c r="AE34" i="3"/>
  <c r="AF34" i="3" s="1"/>
  <c r="AC41" i="6"/>
  <c r="AB40" i="6"/>
  <c r="AC40" i="2"/>
  <c r="AB39" i="2"/>
  <c r="AC39" i="2" s="1"/>
  <c r="Z34" i="5"/>
  <c r="AA34" i="5" s="1"/>
  <c r="AA33" i="5"/>
  <c r="AC40" i="4"/>
  <c r="AB39" i="4"/>
  <c r="AC39" i="4" s="1"/>
  <c r="AA41" i="5"/>
  <c r="Z40" i="5"/>
  <c r="AA9" i="5"/>
  <c r="F31" i="5"/>
  <c r="O8" i="5" s="1"/>
  <c r="F31" i="7"/>
  <c r="O8" i="7" s="1"/>
  <c r="AA9" i="7"/>
  <c r="AH40" i="2"/>
  <c r="AG39" i="2"/>
  <c r="AH39" i="2" s="1"/>
  <c r="N13" i="4"/>
  <c r="V12" i="4"/>
  <c r="R12" i="4"/>
  <c r="Z12" i="4"/>
  <c r="U12" i="4"/>
  <c r="Q12" i="4"/>
  <c r="T12" i="4"/>
  <c r="W12" i="4"/>
  <c r="S12" i="4"/>
  <c r="AA9" i="3"/>
  <c r="F31" i="3"/>
  <c r="O8" i="3" s="1"/>
  <c r="AE24" i="7"/>
  <c r="AF24" i="7" s="1"/>
  <c r="AF25" i="7"/>
  <c r="AB48" i="4"/>
  <c r="AC47" i="4"/>
  <c r="N13" i="7"/>
  <c r="S12" i="7"/>
  <c r="W12" i="7"/>
  <c r="R12" i="7"/>
  <c r="Q12" i="7"/>
  <c r="T12" i="7"/>
  <c r="AB24" i="4"/>
  <c r="AC24" i="4" s="1"/>
  <c r="AC25" i="4"/>
  <c r="AC33" i="6"/>
  <c r="AB34" i="6"/>
  <c r="AC34" i="6" s="1"/>
  <c r="T12" i="2"/>
  <c r="N13" i="2"/>
  <c r="W12" i="2"/>
  <c r="S12" i="2"/>
  <c r="V12" i="2"/>
  <c r="R12" i="2"/>
  <c r="Z12" i="2"/>
  <c r="U12" i="2"/>
  <c r="Q12" i="2"/>
  <c r="AG49" i="2"/>
  <c r="AH49" i="2" s="1"/>
  <c r="AH48" i="2"/>
  <c r="AE33" i="5"/>
  <c r="AF32" i="5"/>
  <c r="AA33" i="7"/>
  <c r="Z34" i="7"/>
  <c r="AA34" i="7" s="1"/>
  <c r="AC26" i="2"/>
  <c r="AB25" i="2"/>
  <c r="AE24" i="5"/>
  <c r="AF24" i="5" s="1"/>
  <c r="AF25" i="5"/>
  <c r="AG25" i="4"/>
  <c r="AH26" i="4"/>
  <c r="AE24" i="3"/>
  <c r="AF24" i="3" s="1"/>
  <c r="AF25" i="3"/>
  <c r="AG49" i="4"/>
  <c r="AH49" i="4" s="1"/>
  <c r="AH48" i="4"/>
  <c r="T9" i="6"/>
  <c r="T11" i="6"/>
  <c r="T10" i="6"/>
  <c r="S9" i="6"/>
  <c r="S10" i="6"/>
  <c r="S11" i="6"/>
  <c r="S12" i="6"/>
  <c r="AB49" i="6"/>
  <c r="AC49" i="6" s="1"/>
  <c r="AC48" i="6"/>
  <c r="AE49" i="5"/>
  <c r="AF49" i="5" s="1"/>
  <c r="AF48" i="5"/>
  <c r="AG48" i="6"/>
  <c r="AH47" i="6"/>
  <c r="AG24" i="6" l="1"/>
  <c r="AH24" i="6" s="1"/>
  <c r="AH25" i="6"/>
  <c r="B38" i="4"/>
  <c r="AC10" i="4"/>
  <c r="F31" i="4"/>
  <c r="O8" i="4" s="1"/>
  <c r="O49" i="4" s="1"/>
  <c r="B52" i="2"/>
  <c r="AC10" i="2" s="1"/>
  <c r="F32" i="3"/>
  <c r="F33" i="3" s="1"/>
  <c r="P10" i="3" s="1"/>
  <c r="U10" i="3" s="1"/>
  <c r="F32" i="5"/>
  <c r="F33" i="5" s="1"/>
  <c r="P12" i="5" s="1"/>
  <c r="U12" i="5" s="1"/>
  <c r="AF40" i="5"/>
  <c r="AE39" i="5"/>
  <c r="AF39" i="5" s="1"/>
  <c r="F31" i="6"/>
  <c r="O8" i="6" s="1"/>
  <c r="O49" i="6" s="1"/>
  <c r="AB54" i="4"/>
  <c r="AC54" i="4" s="1"/>
  <c r="AC55" i="4"/>
  <c r="AF40" i="3"/>
  <c r="AE39" i="3"/>
  <c r="AF39" i="3" s="1"/>
  <c r="F32" i="7"/>
  <c r="F33" i="7" s="1"/>
  <c r="P12" i="7" s="1"/>
  <c r="U12" i="7" s="1"/>
  <c r="AE34" i="5"/>
  <c r="AF34" i="5" s="1"/>
  <c r="AF33" i="5"/>
  <c r="N14" i="7"/>
  <c r="S13" i="7"/>
  <c r="W13" i="7"/>
  <c r="R13" i="7"/>
  <c r="Q13" i="7"/>
  <c r="T13" i="7"/>
  <c r="O49" i="3"/>
  <c r="U8" i="3"/>
  <c r="W13" i="4"/>
  <c r="S13" i="4"/>
  <c r="Z13" i="4"/>
  <c r="T13" i="4"/>
  <c r="R13" i="4"/>
  <c r="V13" i="4"/>
  <c r="Q13" i="4"/>
  <c r="N14" i="4"/>
  <c r="U13" i="4"/>
  <c r="O49" i="7"/>
  <c r="U8" i="7"/>
  <c r="AG34" i="4"/>
  <c r="AH34" i="4" s="1"/>
  <c r="AH33" i="4"/>
  <c r="T15" i="3"/>
  <c r="P15" i="3"/>
  <c r="N16" i="3"/>
  <c r="S15" i="3"/>
  <c r="W15" i="3"/>
  <c r="R15" i="3"/>
  <c r="Q15" i="3"/>
  <c r="AA40" i="5"/>
  <c r="Z39" i="5"/>
  <c r="AA39" i="5" s="1"/>
  <c r="Z49" i="7"/>
  <c r="AA49" i="7" s="1"/>
  <c r="AA48" i="7"/>
  <c r="U14" i="3"/>
  <c r="T13" i="5"/>
  <c r="N14" i="5"/>
  <c r="S13" i="5"/>
  <c r="R13" i="5"/>
  <c r="Q13" i="5"/>
  <c r="W13" i="5"/>
  <c r="AB34" i="2"/>
  <c r="AC34" i="2" s="1"/>
  <c r="AC33" i="2"/>
  <c r="AH48" i="6"/>
  <c r="AG49" i="6"/>
  <c r="AH49" i="6" s="1"/>
  <c r="T13" i="2"/>
  <c r="W13" i="2"/>
  <c r="S13" i="2"/>
  <c r="N14" i="2"/>
  <c r="V13" i="2"/>
  <c r="R13" i="2"/>
  <c r="Z13" i="2"/>
  <c r="U13" i="2"/>
  <c r="Q13" i="2"/>
  <c r="AB49" i="4"/>
  <c r="AC49" i="4" s="1"/>
  <c r="AC48" i="4"/>
  <c r="U8" i="5"/>
  <c r="O49" i="5"/>
  <c r="AB54" i="6"/>
  <c r="AC54" i="6" s="1"/>
  <c r="AC55" i="6"/>
  <c r="AH40" i="4"/>
  <c r="AG39" i="4"/>
  <c r="AH39" i="4" s="1"/>
  <c r="AE34" i="7"/>
  <c r="AF34" i="7" s="1"/>
  <c r="AF33" i="7"/>
  <c r="AG24" i="4"/>
  <c r="AH24" i="4" s="1"/>
  <c r="AH25" i="4"/>
  <c r="AC25" i="2"/>
  <c r="AB24" i="2"/>
  <c r="AC24" i="2" s="1"/>
  <c r="AC40" i="6"/>
  <c r="AB39" i="6"/>
  <c r="AC39" i="6" s="1"/>
  <c r="N15" i="6"/>
  <c r="V14" i="6"/>
  <c r="R14" i="6"/>
  <c r="Z14" i="6"/>
  <c r="U14" i="6"/>
  <c r="Q14" i="6"/>
  <c r="P14" i="6"/>
  <c r="W14" i="6"/>
  <c r="T14" i="6"/>
  <c r="S14" i="6"/>
  <c r="F31" i="2" l="1"/>
  <c r="O8" i="2" s="1"/>
  <c r="X8" i="2" s="1"/>
  <c r="X8" i="4"/>
  <c r="F32" i="4"/>
  <c r="F33" i="4" s="1"/>
  <c r="P13" i="4" s="1"/>
  <c r="X13" i="4" s="1"/>
  <c r="X14" i="6"/>
  <c r="P11" i="3"/>
  <c r="U11" i="3" s="1"/>
  <c r="P12" i="3"/>
  <c r="U12" i="3" s="1"/>
  <c r="P11" i="7"/>
  <c r="U11" i="7" s="1"/>
  <c r="F32" i="6"/>
  <c r="P9" i="7"/>
  <c r="U9" i="7" s="1"/>
  <c r="X8" i="6"/>
  <c r="P10" i="7"/>
  <c r="U10" i="7" s="1"/>
  <c r="P9" i="5"/>
  <c r="U9" i="5" s="1"/>
  <c r="P11" i="5"/>
  <c r="U11" i="5" s="1"/>
  <c r="P13" i="5"/>
  <c r="U13" i="5" s="1"/>
  <c r="U15" i="3"/>
  <c r="P13" i="7"/>
  <c r="U13" i="7" s="1"/>
  <c r="Z14" i="2"/>
  <c r="U14" i="2"/>
  <c r="Q14" i="2"/>
  <c r="T14" i="2"/>
  <c r="P14" i="2"/>
  <c r="W14" i="2"/>
  <c r="S14" i="2"/>
  <c r="N15" i="2"/>
  <c r="V14" i="2"/>
  <c r="R14" i="2"/>
  <c r="W15" i="6"/>
  <c r="S15" i="6"/>
  <c r="N16" i="6"/>
  <c r="V15" i="6"/>
  <c r="R15" i="6"/>
  <c r="U15" i="6"/>
  <c r="T15" i="6"/>
  <c r="Z15" i="6"/>
  <c r="Q15" i="6"/>
  <c r="P15" i="6"/>
  <c r="P10" i="5"/>
  <c r="U10" i="5" s="1"/>
  <c r="P9" i="3"/>
  <c r="T14" i="4"/>
  <c r="P14" i="4"/>
  <c r="Z14" i="4"/>
  <c r="S14" i="4"/>
  <c r="W14" i="4"/>
  <c r="R14" i="4"/>
  <c r="V14" i="4"/>
  <c r="Q14" i="4"/>
  <c r="N15" i="4"/>
  <c r="U14" i="4"/>
  <c r="N15" i="7"/>
  <c r="S14" i="7"/>
  <c r="W14" i="7"/>
  <c r="R14" i="7"/>
  <c r="Q14" i="7"/>
  <c r="T14" i="7"/>
  <c r="P14" i="7"/>
  <c r="T14" i="5"/>
  <c r="P14" i="5"/>
  <c r="N15" i="5"/>
  <c r="S14" i="5"/>
  <c r="R14" i="5"/>
  <c r="Q14" i="5"/>
  <c r="W14" i="5"/>
  <c r="P13" i="3"/>
  <c r="U13" i="3" s="1"/>
  <c r="T16" i="3"/>
  <c r="P16" i="3"/>
  <c r="N17" i="3"/>
  <c r="S16" i="3"/>
  <c r="W16" i="3"/>
  <c r="R16" i="3"/>
  <c r="Q16" i="3"/>
  <c r="O49" i="2" l="1"/>
  <c r="F32" i="2"/>
  <c r="F33" i="2" s="1"/>
  <c r="P13" i="2" s="1"/>
  <c r="X13" i="2" s="1"/>
  <c r="P12" i="4"/>
  <c r="X12" i="4" s="1"/>
  <c r="P11" i="4"/>
  <c r="X11" i="4" s="1"/>
  <c r="F33" i="6"/>
  <c r="P10" i="4"/>
  <c r="X10" i="4" s="1"/>
  <c r="P9" i="4"/>
  <c r="X9" i="4" s="1"/>
  <c r="U14" i="5"/>
  <c r="N16" i="7"/>
  <c r="S15" i="7"/>
  <c r="W15" i="7"/>
  <c r="R15" i="7"/>
  <c r="Q15" i="7"/>
  <c r="T15" i="7"/>
  <c r="P15" i="7"/>
  <c r="N16" i="2"/>
  <c r="V15" i="2"/>
  <c r="R15" i="2"/>
  <c r="Z15" i="2"/>
  <c r="U15" i="2"/>
  <c r="Q15" i="2"/>
  <c r="T15" i="2"/>
  <c r="P15" i="2"/>
  <c r="W15" i="2"/>
  <c r="S15" i="2"/>
  <c r="U9" i="3"/>
  <c r="U16" i="3"/>
  <c r="U14" i="7"/>
  <c r="X14" i="4"/>
  <c r="T16" i="6"/>
  <c r="P16" i="6"/>
  <c r="W16" i="6"/>
  <c r="S16" i="6"/>
  <c r="N17" i="6"/>
  <c r="R16" i="6"/>
  <c r="Z16" i="6"/>
  <c r="Q16" i="6"/>
  <c r="V16" i="6"/>
  <c r="U16" i="6"/>
  <c r="T17" i="3"/>
  <c r="P17" i="3"/>
  <c r="N18" i="3"/>
  <c r="S17" i="3"/>
  <c r="W17" i="3"/>
  <c r="R17" i="3"/>
  <c r="Q17" i="3"/>
  <c r="T15" i="5"/>
  <c r="P15" i="5"/>
  <c r="N16" i="5"/>
  <c r="S15" i="5"/>
  <c r="R15" i="5"/>
  <c r="Q15" i="5"/>
  <c r="W15" i="5"/>
  <c r="Z15" i="4"/>
  <c r="U15" i="4"/>
  <c r="Q15" i="4"/>
  <c r="S15" i="4"/>
  <c r="W15" i="4"/>
  <c r="R15" i="4"/>
  <c r="V15" i="4"/>
  <c r="P15" i="4"/>
  <c r="N16" i="4"/>
  <c r="T15" i="4"/>
  <c r="X15" i="6"/>
  <c r="X14" i="2"/>
  <c r="P10" i="2" l="1"/>
  <c r="X10" i="2" s="1"/>
  <c r="P9" i="2"/>
  <c r="X9" i="2" s="1"/>
  <c r="P12" i="2"/>
  <c r="X12" i="2" s="1"/>
  <c r="P11" i="2"/>
  <c r="X11" i="2" s="1"/>
  <c r="P9" i="6"/>
  <c r="X9" i="6" s="1"/>
  <c r="P13" i="6"/>
  <c r="X13" i="6" s="1"/>
  <c r="P11" i="6"/>
  <c r="X11" i="6" s="1"/>
  <c r="P12" i="6"/>
  <c r="X12" i="6" s="1"/>
  <c r="P10" i="6"/>
  <c r="X10" i="6" s="1"/>
  <c r="X15" i="4"/>
  <c r="U15" i="7"/>
  <c r="T18" i="3"/>
  <c r="P18" i="3"/>
  <c r="N19" i="3"/>
  <c r="S18" i="3"/>
  <c r="W18" i="3"/>
  <c r="R18" i="3"/>
  <c r="Q18" i="3"/>
  <c r="X16" i="6"/>
  <c r="T16" i="5"/>
  <c r="P16" i="5"/>
  <c r="N17" i="5"/>
  <c r="S16" i="5"/>
  <c r="R16" i="5"/>
  <c r="Q16" i="5"/>
  <c r="W16" i="5"/>
  <c r="U17" i="3"/>
  <c r="Z17" i="6"/>
  <c r="U17" i="6"/>
  <c r="Q17" i="6"/>
  <c r="T17" i="6"/>
  <c r="P17" i="6"/>
  <c r="W17" i="6"/>
  <c r="V17" i="6"/>
  <c r="S17" i="6"/>
  <c r="N18" i="6"/>
  <c r="R17" i="6"/>
  <c r="W16" i="2"/>
  <c r="S16" i="2"/>
  <c r="N17" i="2"/>
  <c r="V16" i="2"/>
  <c r="R16" i="2"/>
  <c r="Z16" i="2"/>
  <c r="U16" i="2"/>
  <c r="Q16" i="2"/>
  <c r="T16" i="2"/>
  <c r="P16" i="2"/>
  <c r="N17" i="7"/>
  <c r="S16" i="7"/>
  <c r="W16" i="7"/>
  <c r="R16" i="7"/>
  <c r="Q16" i="7"/>
  <c r="P16" i="7"/>
  <c r="T16" i="7"/>
  <c r="N17" i="4"/>
  <c r="V16" i="4"/>
  <c r="R16" i="4"/>
  <c r="S16" i="4"/>
  <c r="W16" i="4"/>
  <c r="Q16" i="4"/>
  <c r="U16" i="4"/>
  <c r="P16" i="4"/>
  <c r="Z16" i="4"/>
  <c r="T16" i="4"/>
  <c r="U15" i="5"/>
  <c r="X15" i="2"/>
  <c r="U16" i="7" l="1"/>
  <c r="T17" i="5"/>
  <c r="P17" i="5"/>
  <c r="N18" i="5"/>
  <c r="S17" i="5"/>
  <c r="R17" i="5"/>
  <c r="Q17" i="5"/>
  <c r="W17" i="5"/>
  <c r="N18" i="7"/>
  <c r="S17" i="7"/>
  <c r="W17" i="7"/>
  <c r="R17" i="7"/>
  <c r="Q17" i="7"/>
  <c r="T17" i="7"/>
  <c r="P17" i="7"/>
  <c r="T17" i="2"/>
  <c r="P17" i="2"/>
  <c r="W17" i="2"/>
  <c r="S17" i="2"/>
  <c r="N18" i="2"/>
  <c r="V17" i="2"/>
  <c r="R17" i="2"/>
  <c r="Z17" i="2"/>
  <c r="U17" i="2"/>
  <c r="Q17" i="2"/>
  <c r="U16" i="5"/>
  <c r="T19" i="3"/>
  <c r="P19" i="3"/>
  <c r="N20" i="3"/>
  <c r="S19" i="3"/>
  <c r="W19" i="3"/>
  <c r="R19" i="3"/>
  <c r="Q19" i="3"/>
  <c r="X16" i="4"/>
  <c r="X16" i="2"/>
  <c r="N19" i="6"/>
  <c r="V18" i="6"/>
  <c r="R18" i="6"/>
  <c r="Z18" i="6"/>
  <c r="U18" i="6"/>
  <c r="Q18" i="6"/>
  <c r="T18" i="6"/>
  <c r="S18" i="6"/>
  <c r="P18" i="6"/>
  <c r="W18" i="6"/>
  <c r="X17" i="6"/>
  <c r="U18" i="3"/>
  <c r="W17" i="4"/>
  <c r="S17" i="4"/>
  <c r="R17" i="4"/>
  <c r="V17" i="4"/>
  <c r="Q17" i="4"/>
  <c r="N18" i="4"/>
  <c r="U17" i="4"/>
  <c r="P17" i="4"/>
  <c r="Z17" i="4"/>
  <c r="T17" i="4"/>
  <c r="X18" i="6" l="1"/>
  <c r="W19" i="6"/>
  <c r="S19" i="6"/>
  <c r="N20" i="6"/>
  <c r="V19" i="6"/>
  <c r="R19" i="6"/>
  <c r="Z19" i="6"/>
  <c r="Q19" i="6"/>
  <c r="P19" i="6"/>
  <c r="U19" i="6"/>
  <c r="T19" i="6"/>
  <c r="U19" i="3"/>
  <c r="Z18" i="2"/>
  <c r="U18" i="2"/>
  <c r="Q18" i="2"/>
  <c r="T18" i="2"/>
  <c r="P18" i="2"/>
  <c r="W18" i="2"/>
  <c r="S18" i="2"/>
  <c r="N19" i="2"/>
  <c r="V18" i="2"/>
  <c r="R18" i="2"/>
  <c r="U17" i="7"/>
  <c r="T18" i="5"/>
  <c r="P18" i="5"/>
  <c r="N19" i="5"/>
  <c r="S18" i="5"/>
  <c r="R18" i="5"/>
  <c r="Q18" i="5"/>
  <c r="W18" i="5"/>
  <c r="U17" i="5"/>
  <c r="T18" i="4"/>
  <c r="P18" i="4"/>
  <c r="W18" i="4"/>
  <c r="R18" i="4"/>
  <c r="V18" i="4"/>
  <c r="Q18" i="4"/>
  <c r="N19" i="4"/>
  <c r="U18" i="4"/>
  <c r="Z18" i="4"/>
  <c r="S18" i="4"/>
  <c r="X17" i="4"/>
  <c r="T20" i="3"/>
  <c r="P20" i="3"/>
  <c r="N21" i="3"/>
  <c r="S20" i="3"/>
  <c r="W20" i="3"/>
  <c r="R20" i="3"/>
  <c r="Q20" i="3"/>
  <c r="X17" i="2"/>
  <c r="N19" i="7"/>
  <c r="S18" i="7"/>
  <c r="W18" i="7"/>
  <c r="R18" i="7"/>
  <c r="Q18" i="7"/>
  <c r="T18" i="7"/>
  <c r="P18" i="7"/>
  <c r="T21" i="3" l="1"/>
  <c r="P21" i="3"/>
  <c r="N22" i="3"/>
  <c r="S21" i="3"/>
  <c r="W21" i="3"/>
  <c r="R21" i="3"/>
  <c r="Q21" i="3"/>
  <c r="X18" i="4"/>
  <c r="T19" i="5"/>
  <c r="P19" i="5"/>
  <c r="N20" i="5"/>
  <c r="S19" i="5"/>
  <c r="R19" i="5"/>
  <c r="Q19" i="5"/>
  <c r="W19" i="5"/>
  <c r="N20" i="2"/>
  <c r="V19" i="2"/>
  <c r="R19" i="2"/>
  <c r="Z19" i="2"/>
  <c r="U19" i="2"/>
  <c r="Q19" i="2"/>
  <c r="T19" i="2"/>
  <c r="P19" i="2"/>
  <c r="W19" i="2"/>
  <c r="S19" i="2"/>
  <c r="T20" i="6"/>
  <c r="P20" i="6"/>
  <c r="W20" i="6"/>
  <c r="S20" i="6"/>
  <c r="V20" i="6"/>
  <c r="U20" i="6"/>
  <c r="N21" i="6"/>
  <c r="R20" i="6"/>
  <c r="Z20" i="6"/>
  <c r="Q20" i="6"/>
  <c r="U20" i="3"/>
  <c r="U18" i="5"/>
  <c r="U18" i="7"/>
  <c r="T19" i="7"/>
  <c r="P19" i="7"/>
  <c r="S19" i="7"/>
  <c r="N20" i="7"/>
  <c r="R19" i="7"/>
  <c r="W19" i="7"/>
  <c r="Q19" i="7"/>
  <c r="Z19" i="4"/>
  <c r="U19" i="4"/>
  <c r="Q19" i="4"/>
  <c r="W19" i="4"/>
  <c r="R19" i="4"/>
  <c r="V19" i="4"/>
  <c r="P19" i="4"/>
  <c r="N20" i="4"/>
  <c r="T19" i="4"/>
  <c r="S19" i="4"/>
  <c r="X18" i="2"/>
  <c r="X19" i="6"/>
  <c r="Z21" i="6" l="1"/>
  <c r="U21" i="6"/>
  <c r="Q21" i="6"/>
  <c r="T21" i="6"/>
  <c r="P21" i="6"/>
  <c r="S21" i="6"/>
  <c r="N22" i="6"/>
  <c r="R21" i="6"/>
  <c r="W21" i="6"/>
  <c r="V21" i="6"/>
  <c r="W20" i="2"/>
  <c r="S20" i="2"/>
  <c r="N21" i="2"/>
  <c r="V20" i="2"/>
  <c r="R20" i="2"/>
  <c r="Z20" i="2"/>
  <c r="U20" i="2"/>
  <c r="Q20" i="2"/>
  <c r="T20" i="2"/>
  <c r="P20" i="2"/>
  <c r="T20" i="7"/>
  <c r="P20" i="7"/>
  <c r="N21" i="7"/>
  <c r="S20" i="7"/>
  <c r="R20" i="7"/>
  <c r="Q20" i="7"/>
  <c r="W20" i="7"/>
  <c r="X20" i="6"/>
  <c r="X19" i="2"/>
  <c r="T20" i="5"/>
  <c r="P20" i="5"/>
  <c r="N21" i="5"/>
  <c r="S20" i="5"/>
  <c r="R20" i="5"/>
  <c r="Q20" i="5"/>
  <c r="W20" i="5"/>
  <c r="T22" i="3"/>
  <c r="P22" i="3"/>
  <c r="N23" i="3"/>
  <c r="S22" i="3"/>
  <c r="W22" i="3"/>
  <c r="R22" i="3"/>
  <c r="Q22" i="3"/>
  <c r="T20" i="4"/>
  <c r="N21" i="4"/>
  <c r="V20" i="4"/>
  <c r="R20" i="4"/>
  <c r="Z20" i="4"/>
  <c r="Q20" i="4"/>
  <c r="W20" i="4"/>
  <c r="P20" i="4"/>
  <c r="U20" i="4"/>
  <c r="S20" i="4"/>
  <c r="U19" i="5"/>
  <c r="U21" i="3"/>
  <c r="X19" i="4"/>
  <c r="U19" i="7"/>
  <c r="X20" i="2" l="1"/>
  <c r="X20" i="4"/>
  <c r="T23" i="3"/>
  <c r="P23" i="3"/>
  <c r="S23" i="3"/>
  <c r="W23" i="3"/>
  <c r="R23" i="3"/>
  <c r="N24" i="3"/>
  <c r="Q23" i="3"/>
  <c r="U20" i="5"/>
  <c r="Q21" i="7"/>
  <c r="T21" i="7"/>
  <c r="P21" i="7"/>
  <c r="N22" i="7"/>
  <c r="S21" i="7"/>
  <c r="W21" i="7"/>
  <c r="R21" i="7"/>
  <c r="N23" i="6"/>
  <c r="V22" i="6"/>
  <c r="R22" i="6"/>
  <c r="Z22" i="6"/>
  <c r="U22" i="6"/>
  <c r="Q22" i="6"/>
  <c r="P22" i="6"/>
  <c r="W22" i="6"/>
  <c r="T22" i="6"/>
  <c r="S22" i="6"/>
  <c r="Z21" i="4"/>
  <c r="U21" i="4"/>
  <c r="Q21" i="4"/>
  <c r="W21" i="4"/>
  <c r="S21" i="4"/>
  <c r="V21" i="4"/>
  <c r="T21" i="4"/>
  <c r="R21" i="4"/>
  <c r="N22" i="4"/>
  <c r="P21" i="4"/>
  <c r="T21" i="5"/>
  <c r="P21" i="5"/>
  <c r="N22" i="5"/>
  <c r="S21" i="5"/>
  <c r="R21" i="5"/>
  <c r="Q21" i="5"/>
  <c r="W21" i="5"/>
  <c r="U22" i="3"/>
  <c r="U20" i="7"/>
  <c r="T21" i="2"/>
  <c r="P21" i="2"/>
  <c r="W21" i="2"/>
  <c r="S21" i="2"/>
  <c r="N22" i="2"/>
  <c r="V21" i="2"/>
  <c r="R21" i="2"/>
  <c r="Z21" i="2"/>
  <c r="U21" i="2"/>
  <c r="Q21" i="2"/>
  <c r="X21" i="6"/>
  <c r="X22" i="6" l="1"/>
  <c r="U23" i="3"/>
  <c r="Z22" i="2"/>
  <c r="U22" i="2"/>
  <c r="Q22" i="2"/>
  <c r="T22" i="2"/>
  <c r="P22" i="2"/>
  <c r="W22" i="2"/>
  <c r="S22" i="2"/>
  <c r="N23" i="2"/>
  <c r="V22" i="2"/>
  <c r="R22" i="2"/>
  <c r="N23" i="4"/>
  <c r="V22" i="4"/>
  <c r="R22" i="4"/>
  <c r="Z22" i="4"/>
  <c r="U22" i="4"/>
  <c r="Q22" i="4"/>
  <c r="T22" i="4"/>
  <c r="P22" i="4"/>
  <c r="W22" i="4"/>
  <c r="S22" i="4"/>
  <c r="W24" i="3"/>
  <c r="R24" i="3"/>
  <c r="N25" i="3"/>
  <c r="Q24" i="3"/>
  <c r="T24" i="3"/>
  <c r="P24" i="3"/>
  <c r="S24" i="3"/>
  <c r="T22" i="5"/>
  <c r="P22" i="5"/>
  <c r="N23" i="5"/>
  <c r="S22" i="5"/>
  <c r="R22" i="5"/>
  <c r="Q22" i="5"/>
  <c r="W22" i="5"/>
  <c r="U21" i="5"/>
  <c r="W23" i="6"/>
  <c r="S23" i="6"/>
  <c r="V23" i="6"/>
  <c r="R23" i="6"/>
  <c r="U23" i="6"/>
  <c r="N24" i="6"/>
  <c r="T23" i="6"/>
  <c r="Z23" i="6"/>
  <c r="Q23" i="6"/>
  <c r="P23" i="6"/>
  <c r="Q22" i="7"/>
  <c r="T22" i="7"/>
  <c r="P22" i="7"/>
  <c r="N23" i="7"/>
  <c r="S22" i="7"/>
  <c r="R22" i="7"/>
  <c r="W22" i="7"/>
  <c r="X21" i="2"/>
  <c r="X21" i="4"/>
  <c r="U21" i="7"/>
  <c r="U22" i="7" l="1"/>
  <c r="V23" i="2"/>
  <c r="R23" i="2"/>
  <c r="Z23" i="2"/>
  <c r="U23" i="2"/>
  <c r="Q23" i="2"/>
  <c r="N24" i="2"/>
  <c r="T23" i="2"/>
  <c r="P23" i="2"/>
  <c r="W23" i="2"/>
  <c r="S23" i="2"/>
  <c r="T25" i="3"/>
  <c r="P25" i="3"/>
  <c r="S25" i="3"/>
  <c r="W25" i="3"/>
  <c r="R25" i="3"/>
  <c r="N26" i="3"/>
  <c r="Q25" i="3"/>
  <c r="W23" i="4"/>
  <c r="S23" i="4"/>
  <c r="V23" i="4"/>
  <c r="R23" i="4"/>
  <c r="Z23" i="4"/>
  <c r="U23" i="4"/>
  <c r="Q23" i="4"/>
  <c r="P23" i="4"/>
  <c r="N24" i="4"/>
  <c r="T23" i="4"/>
  <c r="T23" i="5"/>
  <c r="P23" i="5"/>
  <c r="S23" i="5"/>
  <c r="R23" i="5"/>
  <c r="N24" i="5"/>
  <c r="Q23" i="5"/>
  <c r="W23" i="5"/>
  <c r="U24" i="3"/>
  <c r="X22" i="4"/>
  <c r="N24" i="7"/>
  <c r="Q23" i="7"/>
  <c r="T23" i="7"/>
  <c r="P23" i="7"/>
  <c r="S23" i="7"/>
  <c r="W23" i="7"/>
  <c r="R23" i="7"/>
  <c r="X23" i="6"/>
  <c r="V24" i="6"/>
  <c r="R24" i="6"/>
  <c r="Z24" i="6"/>
  <c r="U24" i="6"/>
  <c r="Q24" i="6"/>
  <c r="N25" i="6"/>
  <c r="P24" i="6"/>
  <c r="W24" i="6"/>
  <c r="T24" i="6"/>
  <c r="S24" i="6"/>
  <c r="U22" i="5"/>
  <c r="X22" i="2"/>
  <c r="U25" i="3" l="1"/>
  <c r="X23" i="2"/>
  <c r="Z25" i="6"/>
  <c r="U25" i="6"/>
  <c r="Q25" i="6"/>
  <c r="N26" i="6"/>
  <c r="T25" i="6"/>
  <c r="P25" i="6"/>
  <c r="W25" i="6"/>
  <c r="V25" i="6"/>
  <c r="S25" i="6"/>
  <c r="R25" i="6"/>
  <c r="W24" i="5"/>
  <c r="R24" i="5"/>
  <c r="N25" i="5"/>
  <c r="Q24" i="5"/>
  <c r="P24" i="5"/>
  <c r="T24" i="5"/>
  <c r="S24" i="5"/>
  <c r="S24" i="7"/>
  <c r="W24" i="7"/>
  <c r="R24" i="7"/>
  <c r="N25" i="7"/>
  <c r="Q24" i="7"/>
  <c r="P24" i="7"/>
  <c r="T24" i="7"/>
  <c r="V24" i="4"/>
  <c r="R24" i="4"/>
  <c r="Z24" i="4"/>
  <c r="U24" i="4"/>
  <c r="Q24" i="4"/>
  <c r="N25" i="4"/>
  <c r="T24" i="4"/>
  <c r="P24" i="4"/>
  <c r="S24" i="4"/>
  <c r="W24" i="4"/>
  <c r="Z24" i="2"/>
  <c r="U24" i="2"/>
  <c r="Q24" i="2"/>
  <c r="N25" i="2"/>
  <c r="T24" i="2"/>
  <c r="P24" i="2"/>
  <c r="W24" i="2"/>
  <c r="S24" i="2"/>
  <c r="V24" i="2"/>
  <c r="R24" i="2"/>
  <c r="U23" i="7"/>
  <c r="U23" i="5"/>
  <c r="X23" i="4"/>
  <c r="X24" i="6"/>
  <c r="W26" i="3"/>
  <c r="R26" i="3"/>
  <c r="N27" i="3"/>
  <c r="Q26" i="3"/>
  <c r="T26" i="3"/>
  <c r="P26" i="3"/>
  <c r="S26" i="3"/>
  <c r="X24" i="4" l="1"/>
  <c r="N27" i="6"/>
  <c r="T26" i="6"/>
  <c r="P26" i="6"/>
  <c r="W26" i="6"/>
  <c r="S26" i="6"/>
  <c r="U26" i="6"/>
  <c r="R26" i="6"/>
  <c r="Z26" i="6"/>
  <c r="Q26" i="6"/>
  <c r="V26" i="6"/>
  <c r="X24" i="2"/>
  <c r="T27" i="3"/>
  <c r="P27" i="3"/>
  <c r="S27" i="3"/>
  <c r="W27" i="3"/>
  <c r="R27" i="3"/>
  <c r="N28" i="3"/>
  <c r="Q27" i="3"/>
  <c r="U24" i="7"/>
  <c r="U24" i="5"/>
  <c r="U26" i="3"/>
  <c r="N26" i="2"/>
  <c r="T25" i="2"/>
  <c r="P25" i="2"/>
  <c r="W25" i="2"/>
  <c r="S25" i="2"/>
  <c r="V25" i="2"/>
  <c r="R25" i="2"/>
  <c r="Z25" i="2"/>
  <c r="U25" i="2"/>
  <c r="Q25" i="2"/>
  <c r="Z25" i="4"/>
  <c r="U25" i="4"/>
  <c r="Q25" i="4"/>
  <c r="N26" i="4"/>
  <c r="T25" i="4"/>
  <c r="P25" i="4"/>
  <c r="W25" i="4"/>
  <c r="S25" i="4"/>
  <c r="V25" i="4"/>
  <c r="R25" i="4"/>
  <c r="X25" i="6"/>
  <c r="N26" i="7"/>
  <c r="Q25" i="7"/>
  <c r="T25" i="7"/>
  <c r="P25" i="7"/>
  <c r="S25" i="7"/>
  <c r="W25" i="7"/>
  <c r="R25" i="7"/>
  <c r="T25" i="5"/>
  <c r="P25" i="5"/>
  <c r="S25" i="5"/>
  <c r="Q25" i="5"/>
  <c r="N26" i="5"/>
  <c r="W25" i="5"/>
  <c r="R25" i="5"/>
  <c r="U27" i="3" l="1"/>
  <c r="X25" i="2"/>
  <c r="U25" i="5"/>
  <c r="S26" i="7"/>
  <c r="W26" i="7"/>
  <c r="R26" i="7"/>
  <c r="N27" i="7"/>
  <c r="Q26" i="7"/>
  <c r="P26" i="7"/>
  <c r="T26" i="7"/>
  <c r="N27" i="4"/>
  <c r="T26" i="4"/>
  <c r="P26" i="4"/>
  <c r="W26" i="4"/>
  <c r="S26" i="4"/>
  <c r="V26" i="4"/>
  <c r="R26" i="4"/>
  <c r="U26" i="4"/>
  <c r="Q26" i="4"/>
  <c r="Z26" i="4"/>
  <c r="X26" i="6"/>
  <c r="W26" i="5"/>
  <c r="R26" i="5"/>
  <c r="N27" i="5"/>
  <c r="Q26" i="5"/>
  <c r="P26" i="5"/>
  <c r="T26" i="5"/>
  <c r="S26" i="5"/>
  <c r="U25" i="7"/>
  <c r="Z26" i="2"/>
  <c r="U26" i="2"/>
  <c r="Q26" i="2"/>
  <c r="W26" i="2"/>
  <c r="S26" i="2"/>
  <c r="V26" i="2"/>
  <c r="T26" i="2"/>
  <c r="N27" i="2"/>
  <c r="R26" i="2"/>
  <c r="P26" i="2"/>
  <c r="X25" i="4"/>
  <c r="W28" i="3"/>
  <c r="R28" i="3"/>
  <c r="N29" i="3"/>
  <c r="Q28" i="3"/>
  <c r="T28" i="3"/>
  <c r="P28" i="3"/>
  <c r="S28" i="3"/>
  <c r="W27" i="6"/>
  <c r="S27" i="6"/>
  <c r="V27" i="6"/>
  <c r="R27" i="6"/>
  <c r="P27" i="6"/>
  <c r="U27" i="6"/>
  <c r="N28" i="6"/>
  <c r="T27" i="6"/>
  <c r="Q27" i="6"/>
  <c r="Z27" i="6"/>
  <c r="U26" i="5" l="1"/>
  <c r="X26" i="2"/>
  <c r="N28" i="2"/>
  <c r="T27" i="2"/>
  <c r="P27" i="2"/>
  <c r="V27" i="2"/>
  <c r="R27" i="2"/>
  <c r="S27" i="2"/>
  <c r="Z27" i="2"/>
  <c r="Q27" i="2"/>
  <c r="W27" i="2"/>
  <c r="U27" i="2"/>
  <c r="X26" i="4"/>
  <c r="U26" i="7"/>
  <c r="X27" i="6"/>
  <c r="T27" i="5"/>
  <c r="P27" i="5"/>
  <c r="S27" i="5"/>
  <c r="Q27" i="5"/>
  <c r="N28" i="5"/>
  <c r="W27" i="5"/>
  <c r="R27" i="5"/>
  <c r="T29" i="3"/>
  <c r="P29" i="3"/>
  <c r="N30" i="3"/>
  <c r="S29" i="3"/>
  <c r="W29" i="3"/>
  <c r="R29" i="3"/>
  <c r="Q29" i="3"/>
  <c r="W27" i="4"/>
  <c r="S27" i="4"/>
  <c r="V27" i="4"/>
  <c r="R27" i="4"/>
  <c r="Z27" i="4"/>
  <c r="U27" i="4"/>
  <c r="Q27" i="4"/>
  <c r="N28" i="4"/>
  <c r="T27" i="4"/>
  <c r="P27" i="4"/>
  <c r="N28" i="7"/>
  <c r="Q27" i="7"/>
  <c r="T27" i="7"/>
  <c r="P27" i="7"/>
  <c r="S27" i="7"/>
  <c r="W27" i="7"/>
  <c r="R27" i="7"/>
  <c r="V28" i="6"/>
  <c r="R28" i="6"/>
  <c r="Z28" i="6"/>
  <c r="U28" i="6"/>
  <c r="Q28" i="6"/>
  <c r="S28" i="6"/>
  <c r="P28" i="6"/>
  <c r="W28" i="6"/>
  <c r="N29" i="6"/>
  <c r="T28" i="6"/>
  <c r="U28" i="3"/>
  <c r="X27" i="4" l="1"/>
  <c r="U27" i="7"/>
  <c r="X28" i="6"/>
  <c r="V28" i="4"/>
  <c r="R28" i="4"/>
  <c r="Z28" i="4"/>
  <c r="U28" i="4"/>
  <c r="Q28" i="4"/>
  <c r="N29" i="4"/>
  <c r="T28" i="4"/>
  <c r="P28" i="4"/>
  <c r="S28" i="4"/>
  <c r="W28" i="4"/>
  <c r="N31" i="3"/>
  <c r="T30" i="3"/>
  <c r="P30" i="3"/>
  <c r="S30" i="3"/>
  <c r="W30" i="3"/>
  <c r="R30" i="3"/>
  <c r="Q30" i="3"/>
  <c r="U27" i="5"/>
  <c r="X27" i="2"/>
  <c r="Z29" i="6"/>
  <c r="U29" i="6"/>
  <c r="Q29" i="6"/>
  <c r="T29" i="6"/>
  <c r="P29" i="6"/>
  <c r="V29" i="6"/>
  <c r="S29" i="6"/>
  <c r="N30" i="6"/>
  <c r="R29" i="6"/>
  <c r="W29" i="6"/>
  <c r="S28" i="7"/>
  <c r="W28" i="7"/>
  <c r="R28" i="7"/>
  <c r="N29" i="7"/>
  <c r="Q28" i="7"/>
  <c r="P28" i="7"/>
  <c r="T28" i="7"/>
  <c r="U29" i="3"/>
  <c r="W28" i="5"/>
  <c r="R28" i="5"/>
  <c r="N29" i="5"/>
  <c r="Q28" i="5"/>
  <c r="P28" i="5"/>
  <c r="T28" i="5"/>
  <c r="S28" i="5"/>
  <c r="W28" i="2"/>
  <c r="S28" i="2"/>
  <c r="Z28" i="2"/>
  <c r="U28" i="2"/>
  <c r="Q28" i="2"/>
  <c r="P28" i="2"/>
  <c r="V28" i="2"/>
  <c r="N29" i="2"/>
  <c r="T28" i="2"/>
  <c r="R28" i="2"/>
  <c r="N30" i="2" l="1"/>
  <c r="V29" i="2"/>
  <c r="R29" i="2"/>
  <c r="T29" i="2"/>
  <c r="P29" i="2"/>
  <c r="S29" i="2"/>
  <c r="Z29" i="2"/>
  <c r="Q29" i="2"/>
  <c r="W29" i="2"/>
  <c r="U29" i="2"/>
  <c r="U28" i="7"/>
  <c r="N31" i="6"/>
  <c r="V30" i="6"/>
  <c r="R30" i="6"/>
  <c r="Z30" i="6"/>
  <c r="U30" i="6"/>
  <c r="Q30" i="6"/>
  <c r="S30" i="6"/>
  <c r="P30" i="6"/>
  <c r="W30" i="6"/>
  <c r="T30" i="6"/>
  <c r="S31" i="3"/>
  <c r="W31" i="3"/>
  <c r="R31" i="3"/>
  <c r="Q31" i="3"/>
  <c r="N32" i="3"/>
  <c r="T31" i="3"/>
  <c r="P31" i="3"/>
  <c r="X28" i="2"/>
  <c r="U28" i="5"/>
  <c r="Z29" i="4"/>
  <c r="U29" i="4"/>
  <c r="Q29" i="4"/>
  <c r="T29" i="4"/>
  <c r="P29" i="4"/>
  <c r="W29" i="4"/>
  <c r="S29" i="4"/>
  <c r="V29" i="4"/>
  <c r="R29" i="4"/>
  <c r="N30" i="4"/>
  <c r="Q29" i="7"/>
  <c r="T29" i="7"/>
  <c r="P29" i="7"/>
  <c r="N30" i="7"/>
  <c r="S29" i="7"/>
  <c r="W29" i="7"/>
  <c r="R29" i="7"/>
  <c r="U30" i="3"/>
  <c r="T29" i="5"/>
  <c r="P29" i="5"/>
  <c r="N30" i="5"/>
  <c r="S29" i="5"/>
  <c r="W29" i="5"/>
  <c r="R29" i="5"/>
  <c r="Q29" i="5"/>
  <c r="X29" i="6"/>
  <c r="X28" i="4"/>
  <c r="Q30" i="7" l="1"/>
  <c r="N31" i="7"/>
  <c r="T30" i="7"/>
  <c r="P30" i="7"/>
  <c r="S30" i="7"/>
  <c r="W30" i="7"/>
  <c r="R30" i="7"/>
  <c r="N31" i="4"/>
  <c r="V30" i="4"/>
  <c r="R30" i="4"/>
  <c r="Z30" i="4"/>
  <c r="U30" i="4"/>
  <c r="Q30" i="4"/>
  <c r="T30" i="4"/>
  <c r="P30" i="4"/>
  <c r="W30" i="4"/>
  <c r="S30" i="4"/>
  <c r="U31" i="3"/>
  <c r="N32" i="6"/>
  <c r="W31" i="6"/>
  <c r="S31" i="6"/>
  <c r="V31" i="6"/>
  <c r="R31" i="6"/>
  <c r="Z31" i="6"/>
  <c r="Q31" i="6"/>
  <c r="P31" i="6"/>
  <c r="U31" i="6"/>
  <c r="T31" i="6"/>
  <c r="N31" i="5"/>
  <c r="T30" i="5"/>
  <c r="P30" i="5"/>
  <c r="S30" i="5"/>
  <c r="W30" i="5"/>
  <c r="R30" i="5"/>
  <c r="Q30" i="5"/>
  <c r="U29" i="7"/>
  <c r="X29" i="4"/>
  <c r="X30" i="6"/>
  <c r="U29" i="5"/>
  <c r="W32" i="3"/>
  <c r="R32" i="3"/>
  <c r="Q32" i="3"/>
  <c r="N33" i="3"/>
  <c r="T32" i="3"/>
  <c r="P32" i="3"/>
  <c r="S32" i="3"/>
  <c r="X29" i="2"/>
  <c r="W30" i="2"/>
  <c r="S30" i="2"/>
  <c r="N31" i="2"/>
  <c r="Z30" i="2"/>
  <c r="U30" i="2"/>
  <c r="Q30" i="2"/>
  <c r="P30" i="2"/>
  <c r="V30" i="2"/>
  <c r="T30" i="2"/>
  <c r="R30" i="2"/>
  <c r="X31" i="6" l="1"/>
  <c r="X30" i="2"/>
  <c r="N32" i="4"/>
  <c r="W31" i="4"/>
  <c r="S31" i="4"/>
  <c r="V31" i="4"/>
  <c r="R31" i="4"/>
  <c r="Z31" i="4"/>
  <c r="U31" i="4"/>
  <c r="Q31" i="4"/>
  <c r="T31" i="4"/>
  <c r="P31" i="4"/>
  <c r="U30" i="7"/>
  <c r="Q33" i="3"/>
  <c r="T33" i="3"/>
  <c r="P33" i="3"/>
  <c r="N34" i="3"/>
  <c r="S33" i="3"/>
  <c r="W33" i="3"/>
  <c r="R33" i="3"/>
  <c r="U30" i="5"/>
  <c r="W32" i="6"/>
  <c r="S32" i="6"/>
  <c r="N33" i="6"/>
  <c r="V32" i="6"/>
  <c r="R32" i="6"/>
  <c r="P32" i="6"/>
  <c r="U32" i="6"/>
  <c r="T32" i="6"/>
  <c r="Z32" i="6"/>
  <c r="Q32" i="6"/>
  <c r="X30" i="4"/>
  <c r="Z31" i="2"/>
  <c r="U31" i="2"/>
  <c r="Q31" i="2"/>
  <c r="T31" i="2"/>
  <c r="P31" i="2"/>
  <c r="N32" i="2"/>
  <c r="W31" i="2"/>
  <c r="S31" i="2"/>
  <c r="V31" i="2"/>
  <c r="R31" i="2"/>
  <c r="N32" i="7"/>
  <c r="T31" i="7"/>
  <c r="P31" i="7"/>
  <c r="S31" i="7"/>
  <c r="W31" i="7"/>
  <c r="R31" i="7"/>
  <c r="Q31" i="7"/>
  <c r="U32" i="3"/>
  <c r="S31" i="5"/>
  <c r="W31" i="5"/>
  <c r="R31" i="5"/>
  <c r="T31" i="5"/>
  <c r="Q31" i="5"/>
  <c r="N32" i="5"/>
  <c r="P31" i="5"/>
  <c r="X31" i="4" l="1"/>
  <c r="Z32" i="2"/>
  <c r="U32" i="2"/>
  <c r="Q32" i="2"/>
  <c r="T32" i="2"/>
  <c r="P32" i="2"/>
  <c r="W32" i="2"/>
  <c r="S32" i="2"/>
  <c r="N33" i="2"/>
  <c r="V32" i="2"/>
  <c r="R32" i="2"/>
  <c r="U31" i="5"/>
  <c r="U31" i="7"/>
  <c r="X31" i="2"/>
  <c r="Q34" i="3"/>
  <c r="T34" i="3"/>
  <c r="P34" i="3"/>
  <c r="N35" i="3"/>
  <c r="S34" i="3"/>
  <c r="W34" i="3"/>
  <c r="R34" i="3"/>
  <c r="T33" i="6"/>
  <c r="P33" i="6"/>
  <c r="W33" i="6"/>
  <c r="S33" i="6"/>
  <c r="R33" i="6"/>
  <c r="N34" i="6"/>
  <c r="Z33" i="6"/>
  <c r="Q33" i="6"/>
  <c r="V33" i="6"/>
  <c r="U33" i="6"/>
  <c r="U33" i="3"/>
  <c r="S32" i="5"/>
  <c r="R32" i="5"/>
  <c r="N33" i="5"/>
  <c r="W32" i="5"/>
  <c r="Q32" i="5"/>
  <c r="P32" i="5"/>
  <c r="T32" i="5"/>
  <c r="S32" i="7"/>
  <c r="W32" i="7"/>
  <c r="R32" i="7"/>
  <c r="Q32" i="7"/>
  <c r="N33" i="7"/>
  <c r="T32" i="7"/>
  <c r="P32" i="7"/>
  <c r="X32" i="6"/>
  <c r="W32" i="4"/>
  <c r="S32" i="4"/>
  <c r="N33" i="4"/>
  <c r="V32" i="4"/>
  <c r="R32" i="4"/>
  <c r="Z32" i="4"/>
  <c r="U32" i="4"/>
  <c r="Q32" i="4"/>
  <c r="T32" i="4"/>
  <c r="P32" i="4"/>
  <c r="U34" i="3" l="1"/>
  <c r="N34" i="2"/>
  <c r="V33" i="2"/>
  <c r="R33" i="2"/>
  <c r="Z33" i="2"/>
  <c r="U33" i="2"/>
  <c r="Q33" i="2"/>
  <c r="T33" i="2"/>
  <c r="P33" i="2"/>
  <c r="W33" i="2"/>
  <c r="S33" i="2"/>
  <c r="X32" i="4"/>
  <c r="W33" i="7"/>
  <c r="R33" i="7"/>
  <c r="Q33" i="7"/>
  <c r="T33" i="7"/>
  <c r="P33" i="7"/>
  <c r="S33" i="7"/>
  <c r="N34" i="7"/>
  <c r="W33" i="5"/>
  <c r="R33" i="5"/>
  <c r="N34" i="5"/>
  <c r="P33" i="5"/>
  <c r="T33" i="5"/>
  <c r="S33" i="5"/>
  <c r="Q33" i="5"/>
  <c r="N35" i="6"/>
  <c r="Z34" i="6"/>
  <c r="U34" i="6"/>
  <c r="Q34" i="6"/>
  <c r="T34" i="6"/>
  <c r="P34" i="6"/>
  <c r="R34" i="6"/>
  <c r="W34" i="6"/>
  <c r="V34" i="6"/>
  <c r="S34" i="6"/>
  <c r="X33" i="6"/>
  <c r="T33" i="4"/>
  <c r="P33" i="4"/>
  <c r="W33" i="4"/>
  <c r="S33" i="4"/>
  <c r="N34" i="4"/>
  <c r="V33" i="4"/>
  <c r="R33" i="4"/>
  <c r="U33" i="4"/>
  <c r="Q33" i="4"/>
  <c r="Z33" i="4"/>
  <c r="U32" i="7"/>
  <c r="U32" i="5"/>
  <c r="Q35" i="3"/>
  <c r="T35" i="3"/>
  <c r="P35" i="3"/>
  <c r="S35" i="3"/>
  <c r="N36" i="3"/>
  <c r="W35" i="3"/>
  <c r="R35" i="3"/>
  <c r="X32" i="2"/>
  <c r="U35" i="3" l="1"/>
  <c r="X34" i="6"/>
  <c r="X33" i="4"/>
  <c r="W35" i="6"/>
  <c r="S35" i="6"/>
  <c r="V35" i="6"/>
  <c r="R35" i="6"/>
  <c r="N36" i="6"/>
  <c r="U35" i="6"/>
  <c r="T35" i="6"/>
  <c r="Z35" i="6"/>
  <c r="Q35" i="6"/>
  <c r="P35" i="6"/>
  <c r="U33" i="5"/>
  <c r="W34" i="7"/>
  <c r="R34" i="7"/>
  <c r="Q34" i="7"/>
  <c r="T34" i="7"/>
  <c r="P34" i="7"/>
  <c r="S34" i="7"/>
  <c r="N35" i="7"/>
  <c r="W36" i="3"/>
  <c r="R36" i="3"/>
  <c r="N37" i="3"/>
  <c r="Q36" i="3"/>
  <c r="T36" i="3"/>
  <c r="P36" i="3"/>
  <c r="S36" i="3"/>
  <c r="N35" i="4"/>
  <c r="Z34" i="4"/>
  <c r="U34" i="4"/>
  <c r="Q34" i="4"/>
  <c r="T34" i="4"/>
  <c r="P34" i="4"/>
  <c r="W34" i="4"/>
  <c r="S34" i="4"/>
  <c r="V34" i="4"/>
  <c r="R34" i="4"/>
  <c r="W34" i="5"/>
  <c r="R34" i="5"/>
  <c r="N35" i="5"/>
  <c r="T34" i="5"/>
  <c r="S34" i="5"/>
  <c r="Q34" i="5"/>
  <c r="P34" i="5"/>
  <c r="W34" i="2"/>
  <c r="S34" i="2"/>
  <c r="V34" i="2"/>
  <c r="R34" i="2"/>
  <c r="N35" i="2"/>
  <c r="Z34" i="2"/>
  <c r="U34" i="2"/>
  <c r="Q34" i="2"/>
  <c r="T34" i="2"/>
  <c r="P34" i="2"/>
  <c r="U33" i="7"/>
  <c r="X33" i="2"/>
  <c r="U34" i="5" l="1"/>
  <c r="T37" i="3"/>
  <c r="P37" i="3"/>
  <c r="S37" i="3"/>
  <c r="W37" i="3"/>
  <c r="R37" i="3"/>
  <c r="N38" i="3"/>
  <c r="Q37" i="3"/>
  <c r="V36" i="6"/>
  <c r="R36" i="6"/>
  <c r="N37" i="6"/>
  <c r="Z36" i="6"/>
  <c r="U36" i="6"/>
  <c r="Q36" i="6"/>
  <c r="W36" i="6"/>
  <c r="T36" i="6"/>
  <c r="S36" i="6"/>
  <c r="P36" i="6"/>
  <c r="X34" i="2"/>
  <c r="U36" i="3"/>
  <c r="U34" i="7"/>
  <c r="Z35" i="2"/>
  <c r="U35" i="2"/>
  <c r="Q35" i="2"/>
  <c r="N36" i="2"/>
  <c r="T35" i="2"/>
  <c r="P35" i="2"/>
  <c r="W35" i="2"/>
  <c r="S35" i="2"/>
  <c r="V35" i="2"/>
  <c r="R35" i="2"/>
  <c r="X34" i="4"/>
  <c r="N36" i="5"/>
  <c r="W35" i="5"/>
  <c r="R35" i="5"/>
  <c r="Q35" i="5"/>
  <c r="T35" i="5"/>
  <c r="S35" i="5"/>
  <c r="P35" i="5"/>
  <c r="W35" i="4"/>
  <c r="S35" i="4"/>
  <c r="V35" i="4"/>
  <c r="R35" i="4"/>
  <c r="Z35" i="4"/>
  <c r="U35" i="4"/>
  <c r="Q35" i="4"/>
  <c r="T35" i="4"/>
  <c r="N36" i="4"/>
  <c r="P35" i="4"/>
  <c r="N36" i="7"/>
  <c r="W35" i="7"/>
  <c r="R35" i="7"/>
  <c r="Q35" i="7"/>
  <c r="T35" i="7"/>
  <c r="P35" i="7"/>
  <c r="S35" i="7"/>
  <c r="X35" i="6"/>
  <c r="X35" i="4" l="1"/>
  <c r="S36" i="5"/>
  <c r="W36" i="5"/>
  <c r="R36" i="5"/>
  <c r="N37" i="5"/>
  <c r="Q36" i="5"/>
  <c r="P36" i="5"/>
  <c r="T36" i="5"/>
  <c r="T36" i="2"/>
  <c r="P36" i="2"/>
  <c r="W36" i="2"/>
  <c r="S36" i="2"/>
  <c r="V36" i="2"/>
  <c r="R36" i="2"/>
  <c r="N37" i="2"/>
  <c r="Z36" i="2"/>
  <c r="U36" i="2"/>
  <c r="Q36" i="2"/>
  <c r="V36" i="4"/>
  <c r="R36" i="4"/>
  <c r="N37" i="4"/>
  <c r="Z36" i="4"/>
  <c r="U36" i="4"/>
  <c r="Q36" i="4"/>
  <c r="T36" i="4"/>
  <c r="P36" i="4"/>
  <c r="W36" i="4"/>
  <c r="S36" i="4"/>
  <c r="U35" i="7"/>
  <c r="U35" i="5"/>
  <c r="X35" i="2"/>
  <c r="N38" i="6"/>
  <c r="T37" i="6"/>
  <c r="P37" i="6"/>
  <c r="W37" i="6"/>
  <c r="S37" i="6"/>
  <c r="Z37" i="6"/>
  <c r="Q37" i="6"/>
  <c r="V37" i="6"/>
  <c r="U37" i="6"/>
  <c r="R37" i="6"/>
  <c r="T38" i="3"/>
  <c r="N39" i="3"/>
  <c r="R38" i="3"/>
  <c r="W38" i="3"/>
  <c r="Q38" i="3"/>
  <c r="P38" i="3"/>
  <c r="S38" i="3"/>
  <c r="U37" i="3"/>
  <c r="S36" i="7"/>
  <c r="W36" i="7"/>
  <c r="R36" i="7"/>
  <c r="N37" i="7"/>
  <c r="Q36" i="7"/>
  <c r="T36" i="7"/>
  <c r="P36" i="7"/>
  <c r="X36" i="6"/>
  <c r="U36" i="7" l="1"/>
  <c r="V38" i="6"/>
  <c r="R38" i="6"/>
  <c r="Z38" i="6"/>
  <c r="T38" i="6"/>
  <c r="N39" i="6"/>
  <c r="S38" i="6"/>
  <c r="Q38" i="6"/>
  <c r="P38" i="6"/>
  <c r="W38" i="6"/>
  <c r="U38" i="6"/>
  <c r="N38" i="7"/>
  <c r="Q37" i="7"/>
  <c r="T37" i="7"/>
  <c r="P37" i="7"/>
  <c r="S37" i="7"/>
  <c r="W37" i="7"/>
  <c r="R37" i="7"/>
  <c r="W39" i="3"/>
  <c r="R39" i="3"/>
  <c r="N40" i="3"/>
  <c r="Q39" i="3"/>
  <c r="T39" i="3"/>
  <c r="S39" i="3"/>
  <c r="P39" i="3"/>
  <c r="V37" i="2"/>
  <c r="R37" i="2"/>
  <c r="N38" i="2"/>
  <c r="Z37" i="2"/>
  <c r="U37" i="2"/>
  <c r="Q37" i="2"/>
  <c r="T37" i="2"/>
  <c r="P37" i="2"/>
  <c r="W37" i="2"/>
  <c r="S37" i="2"/>
  <c r="U36" i="5"/>
  <c r="U38" i="3"/>
  <c r="X37" i="6"/>
  <c r="X36" i="4"/>
  <c r="X36" i="2"/>
  <c r="T37" i="4"/>
  <c r="P37" i="4"/>
  <c r="W37" i="4"/>
  <c r="S37" i="4"/>
  <c r="V37" i="4"/>
  <c r="R37" i="4"/>
  <c r="N38" i="4"/>
  <c r="Z37" i="4"/>
  <c r="U37" i="4"/>
  <c r="Q37" i="4"/>
  <c r="N38" i="5"/>
  <c r="Q37" i="5"/>
  <c r="T37" i="5"/>
  <c r="P37" i="5"/>
  <c r="W37" i="5"/>
  <c r="S37" i="5"/>
  <c r="R37" i="5"/>
  <c r="X37" i="2" l="1"/>
  <c r="U39" i="3"/>
  <c r="X38" i="6"/>
  <c r="U37" i="5"/>
  <c r="T40" i="3"/>
  <c r="P40" i="3"/>
  <c r="S40" i="3"/>
  <c r="W40" i="3"/>
  <c r="R40" i="3"/>
  <c r="N41" i="3"/>
  <c r="Q40" i="3"/>
  <c r="T38" i="2"/>
  <c r="P38" i="2"/>
  <c r="W38" i="2"/>
  <c r="S38" i="2"/>
  <c r="V38" i="2"/>
  <c r="R38" i="2"/>
  <c r="N39" i="2"/>
  <c r="Z38" i="2"/>
  <c r="U38" i="2"/>
  <c r="Q38" i="2"/>
  <c r="S38" i="7"/>
  <c r="W38" i="7"/>
  <c r="R38" i="7"/>
  <c r="N39" i="7"/>
  <c r="Q38" i="7"/>
  <c r="T38" i="7"/>
  <c r="P38" i="7"/>
  <c r="S38" i="5"/>
  <c r="W38" i="5"/>
  <c r="R38" i="5"/>
  <c r="T38" i="5"/>
  <c r="N39" i="5"/>
  <c r="Q38" i="5"/>
  <c r="P38" i="5"/>
  <c r="V38" i="4"/>
  <c r="R38" i="4"/>
  <c r="N39" i="4"/>
  <c r="Z38" i="4"/>
  <c r="U38" i="4"/>
  <c r="Q38" i="4"/>
  <c r="T38" i="4"/>
  <c r="P38" i="4"/>
  <c r="W38" i="4"/>
  <c r="S38" i="4"/>
  <c r="U37" i="7"/>
  <c r="X37" i="4"/>
  <c r="T39" i="6"/>
  <c r="P39" i="6"/>
  <c r="V39" i="6"/>
  <c r="Q39" i="6"/>
  <c r="U39" i="6"/>
  <c r="Z39" i="6"/>
  <c r="W39" i="6"/>
  <c r="S39" i="6"/>
  <c r="N40" i="6"/>
  <c r="R39" i="6"/>
  <c r="U38" i="7" l="1"/>
  <c r="N41" i="6"/>
  <c r="V40" i="6"/>
  <c r="R40" i="6"/>
  <c r="Z40" i="6"/>
  <c r="U40" i="6"/>
  <c r="Q40" i="6"/>
  <c r="S40" i="6"/>
  <c r="P40" i="6"/>
  <c r="W40" i="6"/>
  <c r="T40" i="6"/>
  <c r="X38" i="4"/>
  <c r="U38" i="5"/>
  <c r="T39" i="4"/>
  <c r="P39" i="4"/>
  <c r="W39" i="4"/>
  <c r="S39" i="4"/>
  <c r="N40" i="4"/>
  <c r="V39" i="4"/>
  <c r="R39" i="4"/>
  <c r="Z39" i="4"/>
  <c r="U39" i="4"/>
  <c r="Q39" i="4"/>
  <c r="N40" i="2"/>
  <c r="V39" i="2"/>
  <c r="R39" i="2"/>
  <c r="Z39" i="2"/>
  <c r="U39" i="2"/>
  <c r="Q39" i="2"/>
  <c r="T39" i="2"/>
  <c r="P39" i="2"/>
  <c r="W39" i="2"/>
  <c r="S39" i="2"/>
  <c r="N42" i="3"/>
  <c r="Q41" i="3"/>
  <c r="T41" i="3"/>
  <c r="P41" i="3"/>
  <c r="W41" i="3"/>
  <c r="S41" i="3"/>
  <c r="R41" i="3"/>
  <c r="U40" i="3"/>
  <c r="X39" i="6"/>
  <c r="N40" i="5"/>
  <c r="Q39" i="5"/>
  <c r="T39" i="5"/>
  <c r="P39" i="5"/>
  <c r="S39" i="5"/>
  <c r="R39" i="5"/>
  <c r="W39" i="5"/>
  <c r="N40" i="7"/>
  <c r="Q39" i="7"/>
  <c r="T39" i="7"/>
  <c r="P39" i="7"/>
  <c r="S39" i="7"/>
  <c r="R39" i="7"/>
  <c r="W39" i="7"/>
  <c r="X38" i="2"/>
  <c r="X40" i="6" l="1"/>
  <c r="U39" i="5"/>
  <c r="U41" i="3"/>
  <c r="S40" i="7"/>
  <c r="N41" i="7"/>
  <c r="W40" i="7"/>
  <c r="R40" i="7"/>
  <c r="Q40" i="7"/>
  <c r="T40" i="7"/>
  <c r="P40" i="7"/>
  <c r="W40" i="2"/>
  <c r="S40" i="2"/>
  <c r="N41" i="2"/>
  <c r="V40" i="2"/>
  <c r="R40" i="2"/>
  <c r="Z40" i="2"/>
  <c r="U40" i="2"/>
  <c r="Q40" i="2"/>
  <c r="T40" i="2"/>
  <c r="P40" i="2"/>
  <c r="U39" i="7"/>
  <c r="S40" i="5"/>
  <c r="N41" i="5"/>
  <c r="W40" i="5"/>
  <c r="R40" i="5"/>
  <c r="Q40" i="5"/>
  <c r="P40" i="5"/>
  <c r="T40" i="5"/>
  <c r="X39" i="2"/>
  <c r="X39" i="4"/>
  <c r="N43" i="3"/>
  <c r="S42" i="3"/>
  <c r="W42" i="3"/>
  <c r="R42" i="3"/>
  <c r="T42" i="3"/>
  <c r="Q42" i="3"/>
  <c r="P42" i="3"/>
  <c r="Z40" i="4"/>
  <c r="U40" i="4"/>
  <c r="Q40" i="4"/>
  <c r="T40" i="4"/>
  <c r="P40" i="4"/>
  <c r="W40" i="4"/>
  <c r="S40" i="4"/>
  <c r="R40" i="4"/>
  <c r="N41" i="4"/>
  <c r="V40" i="4"/>
  <c r="W41" i="6"/>
  <c r="S41" i="6"/>
  <c r="V41" i="6"/>
  <c r="R41" i="6"/>
  <c r="Z41" i="6"/>
  <c r="U41" i="6"/>
  <c r="Q41" i="6"/>
  <c r="P41" i="6"/>
  <c r="N42" i="6"/>
  <c r="T41" i="6"/>
  <c r="X41" i="6" l="1"/>
  <c r="U40" i="5"/>
  <c r="S43" i="3"/>
  <c r="N44" i="3"/>
  <c r="W43" i="3"/>
  <c r="R43" i="3"/>
  <c r="P43" i="3"/>
  <c r="T43" i="3"/>
  <c r="Q43" i="3"/>
  <c r="T41" i="5"/>
  <c r="P41" i="5"/>
  <c r="S41" i="5"/>
  <c r="R41" i="5"/>
  <c r="Q41" i="5"/>
  <c r="N42" i="5"/>
  <c r="W41" i="5"/>
  <c r="V41" i="4"/>
  <c r="R41" i="4"/>
  <c r="Z41" i="4"/>
  <c r="U41" i="4"/>
  <c r="Q41" i="4"/>
  <c r="N42" i="4"/>
  <c r="T41" i="4"/>
  <c r="P41" i="4"/>
  <c r="S41" i="4"/>
  <c r="W41" i="4"/>
  <c r="X40" i="4"/>
  <c r="U40" i="7"/>
  <c r="U42" i="3"/>
  <c r="N42" i="2"/>
  <c r="T41" i="2"/>
  <c r="P41" i="2"/>
  <c r="W41" i="2"/>
  <c r="S41" i="2"/>
  <c r="V41" i="2"/>
  <c r="R41" i="2"/>
  <c r="Z41" i="2"/>
  <c r="U41" i="2"/>
  <c r="Q41" i="2"/>
  <c r="T41" i="7"/>
  <c r="P41" i="7"/>
  <c r="S41" i="7"/>
  <c r="W41" i="7"/>
  <c r="R41" i="7"/>
  <c r="Q41" i="7"/>
  <c r="N42" i="7"/>
  <c r="V42" i="6"/>
  <c r="R42" i="6"/>
  <c r="Z42" i="6"/>
  <c r="U42" i="6"/>
  <c r="Q42" i="6"/>
  <c r="N43" i="6"/>
  <c r="T42" i="6"/>
  <c r="P42" i="6"/>
  <c r="W42" i="6"/>
  <c r="S42" i="6"/>
  <c r="X40" i="2"/>
  <c r="X42" i="6" l="1"/>
  <c r="W42" i="2"/>
  <c r="S42" i="2"/>
  <c r="V42" i="2"/>
  <c r="R42" i="2"/>
  <c r="Z42" i="2"/>
  <c r="U42" i="2"/>
  <c r="Q42" i="2"/>
  <c r="N43" i="2"/>
  <c r="T42" i="2"/>
  <c r="P42" i="2"/>
  <c r="Z42" i="4"/>
  <c r="U42" i="4"/>
  <c r="Q42" i="4"/>
  <c r="N43" i="4"/>
  <c r="T42" i="4"/>
  <c r="P42" i="4"/>
  <c r="W42" i="4"/>
  <c r="S42" i="4"/>
  <c r="V42" i="4"/>
  <c r="R42" i="4"/>
  <c r="U41" i="7"/>
  <c r="W42" i="7"/>
  <c r="R42" i="7"/>
  <c r="Q42" i="7"/>
  <c r="T42" i="7"/>
  <c r="P42" i="7"/>
  <c r="S42" i="7"/>
  <c r="N43" i="7"/>
  <c r="Z43" i="6"/>
  <c r="U43" i="6"/>
  <c r="Q43" i="6"/>
  <c r="N44" i="6"/>
  <c r="T43" i="6"/>
  <c r="P43" i="6"/>
  <c r="W43" i="6"/>
  <c r="S43" i="6"/>
  <c r="V43" i="6"/>
  <c r="R43" i="6"/>
  <c r="X41" i="2"/>
  <c r="X41" i="4"/>
  <c r="N45" i="3"/>
  <c r="T44" i="3"/>
  <c r="P44" i="3"/>
  <c r="S44" i="3"/>
  <c r="W44" i="3"/>
  <c r="R44" i="3"/>
  <c r="Q44" i="3"/>
  <c r="W42" i="5"/>
  <c r="R42" i="5"/>
  <c r="Q42" i="5"/>
  <c r="S42" i="5"/>
  <c r="P42" i="5"/>
  <c r="N43" i="5"/>
  <c r="T42" i="5"/>
  <c r="U41" i="5"/>
  <c r="U43" i="3"/>
  <c r="X43" i="6" l="1"/>
  <c r="X42" i="2"/>
  <c r="U42" i="7"/>
  <c r="U42" i="5"/>
  <c r="T44" i="6"/>
  <c r="P44" i="6"/>
  <c r="N45" i="6"/>
  <c r="W44" i="6"/>
  <c r="S44" i="6"/>
  <c r="V44" i="6"/>
  <c r="R44" i="6"/>
  <c r="Z44" i="6"/>
  <c r="U44" i="6"/>
  <c r="Q44" i="6"/>
  <c r="N44" i="7"/>
  <c r="W43" i="7"/>
  <c r="R43" i="7"/>
  <c r="Q43" i="7"/>
  <c r="T43" i="7"/>
  <c r="P43" i="7"/>
  <c r="S43" i="7"/>
  <c r="X42" i="4"/>
  <c r="V43" i="2"/>
  <c r="R43" i="2"/>
  <c r="Z43" i="2"/>
  <c r="U43" i="2"/>
  <c r="Q43" i="2"/>
  <c r="N44" i="2"/>
  <c r="T43" i="2"/>
  <c r="P43" i="2"/>
  <c r="W43" i="2"/>
  <c r="S43" i="2"/>
  <c r="U44" i="3"/>
  <c r="N44" i="4"/>
  <c r="T43" i="4"/>
  <c r="P43" i="4"/>
  <c r="W43" i="4"/>
  <c r="S43" i="4"/>
  <c r="V43" i="4"/>
  <c r="R43" i="4"/>
  <c r="U43" i="4"/>
  <c r="Q43" i="4"/>
  <c r="Z43" i="4"/>
  <c r="N44" i="5"/>
  <c r="W43" i="5"/>
  <c r="R43" i="5"/>
  <c r="Q43" i="5"/>
  <c r="T43" i="5"/>
  <c r="S43" i="5"/>
  <c r="P43" i="5"/>
  <c r="S45" i="3"/>
  <c r="W45" i="3"/>
  <c r="R45" i="3"/>
  <c r="N46" i="3"/>
  <c r="Q45" i="3"/>
  <c r="T45" i="3"/>
  <c r="P45" i="3"/>
  <c r="S44" i="7" l="1"/>
  <c r="W44" i="7"/>
  <c r="R44" i="7"/>
  <c r="Q44" i="7"/>
  <c r="N45" i="7"/>
  <c r="T44" i="7"/>
  <c r="P44" i="7"/>
  <c r="T45" i="6"/>
  <c r="P45" i="6"/>
  <c r="W45" i="6"/>
  <c r="S45" i="6"/>
  <c r="N46" i="6"/>
  <c r="V45" i="6"/>
  <c r="R45" i="6"/>
  <c r="Z45" i="6"/>
  <c r="U45" i="6"/>
  <c r="Q45" i="6"/>
  <c r="Q46" i="3"/>
  <c r="T46" i="3"/>
  <c r="P46" i="3"/>
  <c r="S46" i="3"/>
  <c r="N47" i="3"/>
  <c r="W46" i="3"/>
  <c r="R46" i="3"/>
  <c r="U43" i="5"/>
  <c r="N45" i="4"/>
  <c r="W44" i="4"/>
  <c r="S44" i="4"/>
  <c r="V44" i="4"/>
  <c r="R44" i="4"/>
  <c r="Z44" i="4"/>
  <c r="U44" i="4"/>
  <c r="Q44" i="4"/>
  <c r="T44" i="4"/>
  <c r="P44" i="4"/>
  <c r="X43" i="2"/>
  <c r="X44" i="6"/>
  <c r="U45" i="3"/>
  <c r="S44" i="5"/>
  <c r="W44" i="5"/>
  <c r="R44" i="5"/>
  <c r="Q44" i="5"/>
  <c r="N45" i="5"/>
  <c r="P44" i="5"/>
  <c r="T44" i="5"/>
  <c r="X43" i="4"/>
  <c r="Z44" i="2"/>
  <c r="U44" i="2"/>
  <c r="Q44" i="2"/>
  <c r="T44" i="2"/>
  <c r="P44" i="2"/>
  <c r="N45" i="2"/>
  <c r="W44" i="2"/>
  <c r="S44" i="2"/>
  <c r="V44" i="2"/>
  <c r="R44" i="2"/>
  <c r="U43" i="7"/>
  <c r="U44" i="5" l="1"/>
  <c r="U46" i="3"/>
  <c r="N47" i="6"/>
  <c r="Z46" i="6"/>
  <c r="U46" i="6"/>
  <c r="Q46" i="6"/>
  <c r="T46" i="6"/>
  <c r="P46" i="6"/>
  <c r="W46" i="6"/>
  <c r="S46" i="6"/>
  <c r="V46" i="6"/>
  <c r="R46" i="6"/>
  <c r="X44" i="2"/>
  <c r="W45" i="5"/>
  <c r="R45" i="5"/>
  <c r="N46" i="5"/>
  <c r="Q45" i="5"/>
  <c r="P45" i="5"/>
  <c r="T45" i="5"/>
  <c r="S45" i="5"/>
  <c r="X44" i="4"/>
  <c r="U44" i="7"/>
  <c r="Z45" i="2"/>
  <c r="U45" i="2"/>
  <c r="Q45" i="2"/>
  <c r="T45" i="2"/>
  <c r="P45" i="2"/>
  <c r="W45" i="2"/>
  <c r="S45" i="2"/>
  <c r="N46" i="2"/>
  <c r="V45" i="2"/>
  <c r="R45" i="2"/>
  <c r="W45" i="4"/>
  <c r="S45" i="4"/>
  <c r="N46" i="4"/>
  <c r="V45" i="4"/>
  <c r="R45" i="4"/>
  <c r="Z45" i="4"/>
  <c r="U45" i="4"/>
  <c r="Q45" i="4"/>
  <c r="T45" i="4"/>
  <c r="P45" i="4"/>
  <c r="W47" i="3"/>
  <c r="R47" i="3"/>
  <c r="N48" i="3"/>
  <c r="Q47" i="3"/>
  <c r="T47" i="3"/>
  <c r="P47" i="3"/>
  <c r="S47" i="3"/>
  <c r="X45" i="6"/>
  <c r="W45" i="7"/>
  <c r="R45" i="7"/>
  <c r="N46" i="7"/>
  <c r="Q45" i="7"/>
  <c r="T45" i="7"/>
  <c r="P45" i="7"/>
  <c r="S45" i="7"/>
  <c r="X45" i="4" l="1"/>
  <c r="T46" i="7"/>
  <c r="P46" i="7"/>
  <c r="S46" i="7"/>
  <c r="N47" i="7"/>
  <c r="W46" i="7"/>
  <c r="R46" i="7"/>
  <c r="Q46" i="7"/>
  <c r="U45" i="7"/>
  <c r="U47" i="3"/>
  <c r="T46" i="5"/>
  <c r="P46" i="5"/>
  <c r="S46" i="5"/>
  <c r="W46" i="5"/>
  <c r="R46" i="5"/>
  <c r="N47" i="5"/>
  <c r="Q46" i="5"/>
  <c r="X46" i="6"/>
  <c r="T46" i="4"/>
  <c r="P46" i="4"/>
  <c r="W46" i="4"/>
  <c r="S46" i="4"/>
  <c r="V46" i="4"/>
  <c r="R46" i="4"/>
  <c r="Q46" i="4"/>
  <c r="N47" i="4"/>
  <c r="Z46" i="4"/>
  <c r="U46" i="4"/>
  <c r="X45" i="2"/>
  <c r="W47" i="6"/>
  <c r="S47" i="6"/>
  <c r="V47" i="6"/>
  <c r="R47" i="6"/>
  <c r="N48" i="6"/>
  <c r="Z47" i="6"/>
  <c r="U47" i="6"/>
  <c r="Q47" i="6"/>
  <c r="P47" i="6"/>
  <c r="T47" i="6"/>
  <c r="V46" i="2"/>
  <c r="R46" i="2"/>
  <c r="N47" i="2"/>
  <c r="Z46" i="2"/>
  <c r="U46" i="2"/>
  <c r="Q46" i="2"/>
  <c r="T46" i="2"/>
  <c r="P46" i="2"/>
  <c r="W46" i="2"/>
  <c r="S46" i="2"/>
  <c r="U45" i="5"/>
  <c r="T48" i="3"/>
  <c r="T49" i="3" s="1"/>
  <c r="P58" i="3" s="1"/>
  <c r="R58" i="3" s="1"/>
  <c r="P48" i="3"/>
  <c r="S48" i="3"/>
  <c r="S49" i="3" s="1"/>
  <c r="W48" i="3"/>
  <c r="R48" i="3"/>
  <c r="R49" i="3" s="1"/>
  <c r="Q48" i="3"/>
  <c r="Q49" i="3" s="1"/>
  <c r="P56" i="3" s="1"/>
  <c r="R56" i="3" s="1"/>
  <c r="X47" i="6" l="1"/>
  <c r="N48" i="7"/>
  <c r="Q47" i="7"/>
  <c r="T47" i="7"/>
  <c r="P47" i="7"/>
  <c r="S47" i="7"/>
  <c r="R47" i="7"/>
  <c r="W47" i="7"/>
  <c r="U48" i="3"/>
  <c r="U49" i="3" s="1"/>
  <c r="AB53" i="3" s="1"/>
  <c r="P49" i="3"/>
  <c r="P55" i="3" s="1"/>
  <c r="X46" i="4"/>
  <c r="N48" i="5"/>
  <c r="Q47" i="5"/>
  <c r="T47" i="5"/>
  <c r="P47" i="5"/>
  <c r="W47" i="5"/>
  <c r="S47" i="5"/>
  <c r="R47" i="5"/>
  <c r="U46" i="5"/>
  <c r="P57" i="3"/>
  <c r="R57" i="3" s="1"/>
  <c r="R50" i="3"/>
  <c r="X46" i="2"/>
  <c r="U46" i="7"/>
  <c r="T47" i="2"/>
  <c r="P47" i="2"/>
  <c r="W47" i="2"/>
  <c r="S47" i="2"/>
  <c r="V47" i="2"/>
  <c r="R47" i="2"/>
  <c r="N48" i="2"/>
  <c r="Z47" i="2"/>
  <c r="U47" i="2"/>
  <c r="Q47" i="2"/>
  <c r="Z48" i="6"/>
  <c r="U48" i="6"/>
  <c r="U49" i="6" s="1"/>
  <c r="Q48" i="6"/>
  <c r="Q49" i="6" s="1"/>
  <c r="T48" i="6"/>
  <c r="T49" i="6" s="1"/>
  <c r="P48" i="6"/>
  <c r="W48" i="6"/>
  <c r="W49" i="6" s="1"/>
  <c r="P59" i="6" s="1"/>
  <c r="R59" i="6" s="1"/>
  <c r="S48" i="6"/>
  <c r="S49" i="6" s="1"/>
  <c r="V48" i="6"/>
  <c r="V49" i="6" s="1"/>
  <c r="R48" i="6"/>
  <c r="R49" i="6" s="1"/>
  <c r="N48" i="4"/>
  <c r="Z47" i="4"/>
  <c r="U47" i="4"/>
  <c r="T47" i="4"/>
  <c r="R47" i="4"/>
  <c r="W47" i="4"/>
  <c r="Q47" i="4"/>
  <c r="V47" i="4"/>
  <c r="P47" i="4"/>
  <c r="S47" i="4"/>
  <c r="P57" i="6" l="1"/>
  <c r="R57" i="6" s="1"/>
  <c r="U47" i="7"/>
  <c r="X47" i="2"/>
  <c r="AG38" i="3"/>
  <c r="AB38" i="3"/>
  <c r="AG23" i="3"/>
  <c r="B2" i="3"/>
  <c r="B3" i="3" s="1"/>
  <c r="AB23" i="3"/>
  <c r="P56" i="6"/>
  <c r="R56" i="6" s="1"/>
  <c r="S48" i="5"/>
  <c r="S49" i="5" s="1"/>
  <c r="W48" i="5"/>
  <c r="R48" i="5"/>
  <c r="R49" i="5" s="1"/>
  <c r="T48" i="5"/>
  <c r="T49" i="5" s="1"/>
  <c r="P58" i="5" s="1"/>
  <c r="R58" i="5" s="1"/>
  <c r="Q48" i="5"/>
  <c r="Q49" i="5" s="1"/>
  <c r="P56" i="5" s="1"/>
  <c r="R56" i="5" s="1"/>
  <c r="P48" i="5"/>
  <c r="W48" i="4"/>
  <c r="W49" i="4" s="1"/>
  <c r="P59" i="4" s="1"/>
  <c r="R59" i="4" s="1"/>
  <c r="S48" i="4"/>
  <c r="S49" i="4" s="1"/>
  <c r="V48" i="4"/>
  <c r="V49" i="4" s="1"/>
  <c r="R48" i="4"/>
  <c r="R49" i="4" s="1"/>
  <c r="U48" i="4"/>
  <c r="U49" i="4" s="1"/>
  <c r="T48" i="4"/>
  <c r="T49" i="4" s="1"/>
  <c r="Z48" i="4"/>
  <c r="Q48" i="4"/>
  <c r="Q49" i="4" s="1"/>
  <c r="P48" i="4"/>
  <c r="P58" i="6"/>
  <c r="R58" i="6" s="1"/>
  <c r="U47" i="5"/>
  <c r="X47" i="4"/>
  <c r="X48" i="6"/>
  <c r="X49" i="6" s="1"/>
  <c r="P49" i="6"/>
  <c r="P55" i="6" s="1"/>
  <c r="V48" i="2"/>
  <c r="V49" i="2" s="1"/>
  <c r="R48" i="2"/>
  <c r="R49" i="2" s="1"/>
  <c r="Z48" i="2"/>
  <c r="U48" i="2"/>
  <c r="U49" i="2" s="1"/>
  <c r="Q48" i="2"/>
  <c r="Q49" i="2" s="1"/>
  <c r="T48" i="2"/>
  <c r="T49" i="2" s="1"/>
  <c r="P48" i="2"/>
  <c r="W48" i="2"/>
  <c r="W49" i="2" s="1"/>
  <c r="P59" i="2" s="1"/>
  <c r="R59" i="2" s="1"/>
  <c r="S48" i="2"/>
  <c r="S49" i="2" s="1"/>
  <c r="R55" i="3"/>
  <c r="R60" i="3" s="1"/>
  <c r="P60" i="3"/>
  <c r="S48" i="7"/>
  <c r="S49" i="7" s="1"/>
  <c r="W48" i="7"/>
  <c r="R48" i="7"/>
  <c r="R49" i="7" s="1"/>
  <c r="Q48" i="7"/>
  <c r="Q49" i="7" s="1"/>
  <c r="P56" i="7" s="1"/>
  <c r="R56" i="7" s="1"/>
  <c r="T48" i="7"/>
  <c r="T49" i="7" s="1"/>
  <c r="P58" i="7" s="1"/>
  <c r="R58" i="7" s="1"/>
  <c r="P48" i="7"/>
  <c r="AI53" i="6" l="1"/>
  <c r="AD68" i="6"/>
  <c r="P56" i="4"/>
  <c r="R56" i="4" s="1"/>
  <c r="P57" i="7"/>
  <c r="R57" i="7" s="1"/>
  <c r="P56" i="2"/>
  <c r="R56" i="2" s="1"/>
  <c r="S50" i="2"/>
  <c r="P57" i="2"/>
  <c r="R57" i="2" s="1"/>
  <c r="U48" i="7"/>
  <c r="U49" i="7" s="1"/>
  <c r="AB53" i="7" s="1"/>
  <c r="P49" i="7"/>
  <c r="P55" i="7" s="1"/>
  <c r="P58" i="2"/>
  <c r="R58" i="2" s="1"/>
  <c r="P60" i="6"/>
  <c r="R55" i="6"/>
  <c r="R60" i="6" s="1"/>
  <c r="P57" i="4"/>
  <c r="R57" i="4" s="1"/>
  <c r="S50" i="4"/>
  <c r="X48" i="2"/>
  <c r="X49" i="2" s="1"/>
  <c r="P49" i="2"/>
  <c r="P55" i="2" s="1"/>
  <c r="AD53" i="6"/>
  <c r="AD38" i="6"/>
  <c r="AI23" i="6"/>
  <c r="AD23" i="6"/>
  <c r="AI38" i="6"/>
  <c r="B2" i="6"/>
  <c r="B3" i="6" s="1"/>
  <c r="X48" i="4"/>
  <c r="X49" i="4" s="1"/>
  <c r="P49" i="4"/>
  <c r="P55" i="4" s="1"/>
  <c r="P58" i="4"/>
  <c r="R58" i="4" s="1"/>
  <c r="P57" i="5"/>
  <c r="R57" i="5" s="1"/>
  <c r="R50" i="5"/>
  <c r="U48" i="5"/>
  <c r="U49" i="5" s="1"/>
  <c r="AB53" i="5" s="1"/>
  <c r="P49" i="5"/>
  <c r="P55" i="5" s="1"/>
  <c r="AI53" i="4" l="1"/>
  <c r="AD68" i="4"/>
  <c r="AI53" i="2"/>
  <c r="AD68" i="2"/>
  <c r="AB38" i="5"/>
  <c r="AG23" i="5"/>
  <c r="B2" i="5"/>
  <c r="B3" i="5" s="1"/>
  <c r="AB23" i="5"/>
  <c r="AG38" i="5"/>
  <c r="P60" i="5"/>
  <c r="R55" i="5"/>
  <c r="R60" i="5" s="1"/>
  <c r="R55" i="7"/>
  <c r="R60" i="7" s="1"/>
  <c r="P60" i="7"/>
  <c r="R55" i="2"/>
  <c r="R60" i="2" s="1"/>
  <c r="P60" i="2"/>
  <c r="AB38" i="7"/>
  <c r="AG23" i="7"/>
  <c r="AB23" i="7"/>
  <c r="AG38" i="7"/>
  <c r="B2" i="7"/>
  <c r="B3" i="7" s="1"/>
  <c r="P60" i="4"/>
  <c r="R55" i="4"/>
  <c r="R60" i="4" s="1"/>
  <c r="AD38" i="4"/>
  <c r="AI23" i="4"/>
  <c r="AD23" i="4"/>
  <c r="AI38" i="4"/>
  <c r="AD53" i="4"/>
  <c r="B2" i="4"/>
  <c r="B3" i="4" s="1"/>
  <c r="AD53" i="2"/>
  <c r="AI38" i="2"/>
  <c r="AD38" i="2"/>
  <c r="AD23" i="2"/>
  <c r="B2" i="2"/>
  <c r="B3" i="2" s="1"/>
  <c r="AI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7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ID#AAABMmKZZZo
tc={D4CEFC3C-7325-4E34-A64D-30E52256CE03}    (2024-04-30 01:42:17)
[Threaded comment]
Your version of Excel allows you to read this threaded comment; however, any edits to it will get removed if the file is opened in a newer version of Excel. Learn more: https://go.microsoft.com/fwlink/?linkid=870924
Comment:
    Dipengaruhi dengan growth tidak? 25000 apakah diasumsikan konstan?</t>
        </r>
      </text>
    </comment>
    <comment ref="U7" authorId="0" shapeId="0" xr:uid="{00000000-0006-0000-0100-00000B000000}">
      <text>
        <r>
          <rPr>
            <sz val="11"/>
            <color theme="1"/>
            <rFont val="Calibri"/>
            <family val="2"/>
            <scheme val="minor"/>
          </rPr>
          <t>======
ID#AAABMmJcTvM
tc={928E7189-DF96-4AF8-901E-1C3117C12B69}    (2024-04-30 01:42:17)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V7" authorId="0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>======
ID#AAABMmKZZY0
tc={928E7189-DF96-4AF9-901E-1C3117C12B69}    (2024-04-30 01:42:17)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Q9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ID#AAABMmKZZaI
tc={BEE3DC45-D192-48E4-B051-DA830092375D}    (2024-04-30 01:42:17)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F12" authorId="0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======
ID#AAABMmKZZY4
tc={E41ACF69-01B3-4294-ABBC-3CDD6864AE75}    (2024-04-30 01:42:17)
[Threaded comment]
Your version of Excel allows you to read this threaded comment; however, any edits to it will get removed if the file is opened in a newer version of Excel. Learn more: https://go.microsoft.com/fwlink/?linkid=870924
Comment:
    Yang benar 70353</t>
        </r>
      </text>
    </comment>
    <comment ref="J12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ID#AAABMmKZZZY
tc={F2DB11B4-C1EA-4124-BA56-5F48EB7330B3}    (2024-04-30 01:42:17)
[Threaded comment]
Your version of Excel allows you to read this threaded comment; however, any edits to it will get removed if the file is opened in a newer version of Excel. Learn more: https://go.microsoft.com/fwlink/?linkid=870924
Comment:
    Sumber ??</t>
        </r>
      </text>
    </comment>
    <comment ref="B14" authorId="0" shapeId="0" xr:uid="{00000000-0006-0000-0100-00000A000000}">
      <text>
        <r>
          <rPr>
            <sz val="11"/>
            <color theme="1"/>
            <rFont val="Calibri"/>
            <family val="2"/>
            <scheme val="minor"/>
          </rPr>
          <t>======
ID#AAABMmJcTvQ
tc={385EEFF5-A841-4ED6-BE90-80A2C1B646C9}    (2024-04-30 01:42:17)
[Threaded comment]
Your version of Excel allows you to read this threaded comment; however, any edits to it will get removed if the file is opened in a newer version of Excel. Learn more: https://go.microsoft.com/fwlink/?linkid=870924
Comment:
    PERATURAN MENTERI KEUANGAN REPUBLIK INDONESIA NOMOR 41/PMK.010/ 2022</t>
        </r>
      </text>
    </comment>
    <comment ref="J14" authorId="0" shapeId="0" xr:uid="{00000000-0006-0000-0100-000007000000}">
      <text>
        <r>
          <rPr>
            <sz val="11"/>
            <color theme="1"/>
            <rFont val="Calibri"/>
            <family val="2"/>
            <scheme val="minor"/>
          </rPr>
          <t>======
ID#AAABMmKZZY8
Muhammad Indra al Irsyad    (2024-04-30 01:42:17)
Awalnya 15 tahun berbeda dengan Indo</t>
        </r>
      </text>
    </comment>
    <comment ref="F23" authorId="0" shapeId="0" xr:uid="{00000000-0006-0000-0100-00000C000000}">
      <text>
        <r>
          <rPr>
            <sz val="11"/>
            <color theme="1"/>
            <rFont val="Calibri"/>
            <family val="2"/>
            <scheme val="minor"/>
          </rPr>
          <t>======
ID#AAABMmJcTvA
tc={4864E3F9-0560-4288-92E6-9293BC3416B9}    (2024-04-30 01:42:17)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41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======
ID#AAABMmKZZZA
tc={004D7F3F-C5C1-4610-A019-7D9E4061B6F1}    (2024-04-30 01:42:17)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  <comment ref="A48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ID#AAABMmKZZZI
Muhammad Indra al Irsyad    (2024-04-30 01:42:17)
Tidak ada di exls filipina awalnya</t>
        </r>
      </text>
    </comment>
    <comment ref="B48" authorId="0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======
ID#AAABMmJcTvU
tc={C56CAB35-0F73-4DA9-9E08-15FB1529777D}    (2024-04-30 01:42:17)
[Threaded comment]
Your version of Excel allows you to read this threaded comment; however, any edits to it will get removed if the file is opened in a newer version of Excel. Learn more: https://go.microsoft.com/fwlink/?linkid=870924
Comment:
    Perlu di breakdown untuk analisa komposisi biaya TCO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ptLX4BZh1KBSXZxHCk4wTNGVqP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9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ID#AAABMmJcTuk
tc={BEE3DC45-D192-48E5-B051-DA830092375D}    (2024-04-30 01:42:17)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B16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ID#AAABMmKZZZE
tc={9A9FA5CC-E227-4B66-AD09-B395DB19CBD4}    (2024-04-30 01:42:17)
[Threaded comment]
Your version of Excel allows you to read this threaded comment; however, any edits to it will get removed if the file is opened in a newer version of Excel. Learn more: https://go.microsoft.com/fwlink/?linkid=870924
Comment:
    60%*12.5%
Reply:
    NOMOR 6 TAHUN 2019 TENTANG PERUBAHAN ATAS PERATURAN DAERAH NOMOR 9 TAHUN 2010 TENTANG BEA BALIK NAMA KENDARAAN BERMOTOR</t>
        </r>
      </text>
    </comment>
    <comment ref="F21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ID#AAABMmJcTus
tc={7833DF23-FE90-4F19-9FD0-611220B2E488}    (2024-04-30 01:42:17)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38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ID#AAABMlYlycY
tc={004D7F3F-C5C1-4611-A019-7D9E4061B6F1}    (2024-04-30 01:42:17)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ROS5DPmzLiLJ8b50wjk/GD7dQR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7" authorId="0" shapeId="0" xr:uid="{00000000-0006-0000-0300-000008000000}">
      <text>
        <r>
          <rPr>
            <sz val="11"/>
            <color theme="1"/>
            <rFont val="Calibri"/>
            <family val="2"/>
            <scheme val="minor"/>
          </rPr>
          <t>======
ID#AAABMmJcTu0
tc={D4CEFC3C-7325-4E34-A64D-30E52256CE03}    (2024-04-30 01:42:17)
[Threaded comment]
Your version of Excel allows you to read this threaded comment; however, any edits to it will get removed if the file is opened in a newer version of Excel. Learn more: https://go.microsoft.com/fwlink/?linkid=870924
Comment:
    Dipengaruhi dengan growth tidak? 25000 apakah diasumsikan konstan?</t>
        </r>
      </text>
    </comment>
    <comment ref="U7" authorId="0" shapeId="0" xr:uid="{00000000-0006-0000-0300-00000A000000}">
      <text>
        <r>
          <rPr>
            <sz val="11"/>
            <color theme="1"/>
            <rFont val="Calibri"/>
            <family val="2"/>
            <scheme val="minor"/>
          </rPr>
          <t>======
ID#AAABMmJcTuQ
tc={928E7189-DF96-4AF8-901E-1C3117C12B69}    (2024-04-30 01:42:17)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V7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ID#AAABMmKZZZk
tc={928E7189-DF96-4AF9-901E-1C3117C12B69}    (2024-04-30 01:42:17)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Q9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ID#AAABMmKZZZs
tc={BEE3DC45-D192-48E4-B051-DA830092375D}    (2024-04-30 01:42:17)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F12" authorId="0" shapeId="0" xr:uid="{00000000-0006-0000-0300-000005000000}">
      <text>
        <r>
          <rPr>
            <sz val="11"/>
            <color theme="1"/>
            <rFont val="Calibri"/>
            <family val="2"/>
            <scheme val="minor"/>
          </rPr>
          <t>======
ID#AAABMmJcTvE
tc={E41ACF69-01B3-4294-ABBC-3CDD6864AE75}    (2024-04-30 01:42:17)
[Threaded comment]
Your version of Excel allows you to read this threaded comment; however, any edits to it will get removed if the file is opened in a newer version of Excel. Learn more: https://go.microsoft.com/fwlink/?linkid=870924
Comment:
    Yang benar 70353</t>
        </r>
      </text>
    </comment>
    <comment ref="J12" authorId="0" shapeId="0" xr:uid="{00000000-0006-0000-0300-000007000000}">
      <text>
        <r>
          <rPr>
            <sz val="11"/>
            <color theme="1"/>
            <rFont val="Calibri"/>
            <family val="2"/>
            <scheme val="minor"/>
          </rPr>
          <t>======
ID#AAABMmJcTu4
tc={F2DB11B4-C1EA-4124-BA56-5F48EB7330B3}    (2024-04-30 01:42:17)
[Threaded comment]
Your version of Excel allows you to read this threaded comment; however, any edits to it will get removed if the file is opened in a newer version of Excel. Learn more: https://go.microsoft.com/fwlink/?linkid=870924
Comment:
    Sumber ??</t>
        </r>
      </text>
    </comment>
    <comment ref="B14" authorId="0" shapeId="0" xr:uid="{00000000-0006-0000-0300-00000C000000}">
      <text>
        <r>
          <rPr>
            <sz val="11"/>
            <color theme="1"/>
            <rFont val="Calibri"/>
            <family val="2"/>
            <scheme val="minor"/>
          </rPr>
          <t>======
ID#AAABMmJcTuA
tc={385EEFF5-A841-4ED6-BE90-80A2C1B646C9}    (2024-04-30 01:42:17)
[Threaded comment]
Your version of Excel allows you to read this threaded comment; however, any edits to it will get removed if the file is opened in a newer version of Excel. Learn more: https://go.microsoft.com/fwlink/?linkid=870924
Comment:
    PERATURAN MENTERI KEUANGAN REPUBLIK INDONESIA NOMOR 41/PMK.010/ 2022</t>
        </r>
      </text>
    </comment>
    <comment ref="J1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ID#AAABMmKZZZw
Muhammad Indra al Irsyad    (2024-04-30 01:42:17)
Awalnya 15 tahun berbeda dengan Indo</t>
        </r>
      </text>
    </comment>
    <comment ref="F23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ID#AAABMmKZZZc
tc={4864E3F9-0560-4288-92E6-9293BC3416B9}    (2024-04-30 01:42:17)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41" authorId="0" shapeId="0" xr:uid="{00000000-0006-0000-0300-00000B000000}">
      <text>
        <r>
          <rPr>
            <sz val="11"/>
            <color theme="1"/>
            <rFont val="Calibri"/>
            <family val="2"/>
            <scheme val="minor"/>
          </rPr>
          <t>======
ID#AAABMmJcTuE
tc={004D7F3F-C5C1-4610-A019-7D9E4061B6F1}    (2024-04-30 01:42:17)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  <comment ref="A48" authorId="0" shapeId="0" xr:uid="{00000000-0006-0000-0300-000009000000}">
      <text>
        <r>
          <rPr>
            <sz val="11"/>
            <color theme="1"/>
            <rFont val="Calibri"/>
            <family val="2"/>
            <scheme val="minor"/>
          </rPr>
          <t>======
ID#AAABMmJcTuU
Muhammad Indra al Irsyad    (2024-04-30 01:42:17)
Tidak ada di exls filipina awalnya</t>
        </r>
      </text>
    </comment>
    <comment ref="B48" authorId="0" shapeId="0" xr:uid="{00000000-0006-0000-0300-000006000000}">
      <text>
        <r>
          <rPr>
            <sz val="11"/>
            <color theme="1"/>
            <rFont val="Calibri"/>
            <family val="2"/>
            <scheme val="minor"/>
          </rPr>
          <t>======
ID#AAABMmJcTu8
tc={C56CAB35-0F73-4DA9-9E08-15FB1529777D}    (2024-04-30 01:42:17)
[Threaded comment]
Your version of Excel allows you to read this threaded comment; however, any edits to it will get removed if the file is opened in a newer version of Excel. Learn more: https://go.microsoft.com/fwlink/?linkid=870924
Comment:
    Perlu di breakdown untuk analisa komposisi biaya TCO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/sq6HNl5Icvqe6beI2jm50aLbI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9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ID#AAABMmKZZZ0
tc={BEE3DC45-D192-48E5-B051-DA830092375D}    (2024-04-30 01:42:17)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B16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ID#AAABMmKZZZM
tc={9A9FA5CC-E227-4B66-AD09-B395DB19CBD4}    (2024-04-30 01:42:17)
[Threaded comment]
Your version of Excel allows you to read this threaded comment; however, any edits to it will get removed if the file is opened in a newer version of Excel. Learn more: https://go.microsoft.com/fwlink/?linkid=870924
Comment:
    60%*12.5%
Reply:
    NOMOR 6 TAHUN 2019 TENTANG PERUBAHAN ATAS PERATURAN DAERAH NOMOR 9 TAHUN 2010 TENTANG BEA BALIK NAMA KENDARAAN BERMOTOR</t>
        </r>
      </text>
    </comment>
    <comment ref="F21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ID#AAABMmJcTuo
tc={7833DF23-FE90-4F19-9FD0-611220B2E488}    (2024-04-30 01:42:17)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38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ID#AAABMmKZZaM
tc={004D7F3F-C5C1-4611-A019-7D9E4061B6F1}    (2024-04-30 01:42:17)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8tCUi6t74JsP6qt4mGWxXN2GQ7g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7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ID#AAABMmKZZZ4
tc={D4CEFC3C-7325-4E34-A64D-30E52256CE03}    (2024-04-30 01:42:17)
[Threaded comment]
Your version of Excel allows you to read this threaded comment; however, any edits to it will get removed if the file is opened in a newer version of Excel. Learn more: https://go.microsoft.com/fwlink/?linkid=870924
Comment:
    Dipengaruhi dengan growth tidak? 25000 apakah diasumsikan konstan?</t>
        </r>
      </text>
    </comment>
    <comment ref="U7" authorId="0" shapeId="0" xr:uid="{00000000-0006-0000-0500-000008000000}">
      <text>
        <r>
          <rPr>
            <sz val="11"/>
            <color theme="1"/>
            <rFont val="Calibri"/>
            <family val="2"/>
            <scheme val="minor"/>
          </rPr>
          <t>======
ID#AAABMmJcTvI
tc={928E7189-DF96-4AF8-901E-1C3117C12B69}    (2024-04-30 01:42:17)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V7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ID#AAABMmKZZaE
tc={928E7189-DF96-4AF9-901E-1C3117C12B69}    (2024-04-30 01:42:17)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Q9" authorId="0" shapeId="0" xr:uid="{00000000-0006-0000-0500-000005000000}">
      <text>
        <r>
          <rPr>
            <sz val="11"/>
            <color theme="1"/>
            <rFont val="Calibri"/>
            <family val="2"/>
            <scheme val="minor"/>
          </rPr>
          <t>======
ID#AAABMmKZZZg
tc={BEE3DC45-D192-48E4-B051-DA830092375D}    (2024-04-30 01:42:17)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F12" authorId="0" shapeId="0" xr:uid="{00000000-0006-0000-0500-00000B000000}">
      <text>
        <r>
          <rPr>
            <sz val="11"/>
            <color theme="1"/>
            <rFont val="Calibri"/>
            <family val="2"/>
            <scheme val="minor"/>
          </rPr>
          <t>======
ID#AAABMmJcTuY
tc={E41ACF69-01B3-4294-ABBC-3CDD6864AE75}    (2024-04-30 01:42:17)
[Threaded comment]
Your version of Excel allows you to read this threaded comment; however, any edits to it will get removed if the file is opened in a newer version of Excel. Learn more: https://go.microsoft.com/fwlink/?linkid=870924
Comment:
    Yang benar 70353</t>
        </r>
      </text>
    </comment>
    <comment ref="J12" authorId="0" shapeId="0" xr:uid="{00000000-0006-0000-0500-00000A000000}">
      <text>
        <r>
          <rPr>
            <sz val="11"/>
            <color theme="1"/>
            <rFont val="Calibri"/>
            <family val="2"/>
            <scheme val="minor"/>
          </rPr>
          <t>======
ID#AAABMmJcTuc
tc={F2DB11B4-C1EA-4124-BA56-5F48EB7330B3}    (2024-04-30 01:42:17)
[Threaded comment]
Your version of Excel allows you to read this threaded comment; however, any edits to it will get removed if the file is opened in a newer version of Excel. Learn more: https://go.microsoft.com/fwlink/?linkid=870924
Comment:
    Sumber ??</t>
        </r>
      </text>
    </comment>
    <comment ref="B1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ID#AAABMmKZZZ8
tc={385EEFF5-A841-4ED6-BE90-80A2C1B646C9}    (2024-04-30 01:42:17)
[Threaded comment]
Your version of Excel allows you to read this threaded comment; however, any edits to it will get removed if the file is opened in a newer version of Excel. Learn more: https://go.microsoft.com/fwlink/?linkid=870924
Comment:
    PERATURAN MENTERI KEUANGAN REPUBLIK INDONESIA NOMOR 41/PMK.010/ 2022</t>
        </r>
      </text>
    </comment>
    <comment ref="J14" authorId="0" shapeId="0" xr:uid="{00000000-0006-0000-0500-00000C000000}">
      <text>
        <r>
          <rPr>
            <sz val="11"/>
            <color theme="1"/>
            <rFont val="Calibri"/>
            <family val="2"/>
            <scheme val="minor"/>
          </rPr>
          <t>======
ID#AAABMmJcTt8
Muhammad Indra al Irsyad    (2024-04-30 01:42:17)
Awalnya 15 tahun berbeda dengan Indo</t>
        </r>
      </text>
    </comment>
    <comment ref="F23" authorId="0" shapeId="0" xr:uid="{00000000-0006-0000-0500-000007000000}">
      <text>
        <r>
          <rPr>
            <sz val="11"/>
            <color theme="1"/>
            <rFont val="Calibri"/>
            <family val="2"/>
            <scheme val="minor"/>
          </rPr>
          <t>======
ID#AAABMmKZZZQ
tc={4864E3F9-0560-4288-92E6-9293BC3416B9}    (2024-04-30 01:42:17)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41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ID#AAABMmKZZaA
tc={004D7F3F-C5C1-4610-A019-7D9E4061B6F1}    (2024-04-30 01:42:17)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  <comment ref="A48" authorId="0" shapeId="0" xr:uid="{00000000-0006-0000-0500-000009000000}">
      <text>
        <r>
          <rPr>
            <sz val="11"/>
            <color theme="1"/>
            <rFont val="Calibri"/>
            <family val="2"/>
            <scheme val="minor"/>
          </rPr>
          <t>======
ID#AAABMmJcTuw
Muhammad Indra al Irsyad    (2024-04-30 01:42:17)
Tidak ada di exls filipina awalnya</t>
        </r>
      </text>
    </comment>
    <comment ref="B48" authorId="0" shapeId="0" xr:uid="{00000000-0006-0000-0500-000006000000}">
      <text>
        <r>
          <rPr>
            <sz val="11"/>
            <color theme="1"/>
            <rFont val="Calibri"/>
            <family val="2"/>
            <scheme val="minor"/>
          </rPr>
          <t>======
ID#AAABMmKZZZU
tc={C56CAB35-0F73-4DA9-9E08-15FB1529777D}    (2024-04-30 01:42:17)
[Threaded comment]
Your version of Excel allows you to read this threaded comment; however, any edits to it will get removed if the file is opened in a newer version of Excel. Learn more: https://go.microsoft.com/fwlink/?linkid=870924
Comment:
    Perlu di breakdown untuk analisa komposisi biaya TCO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5owV6cWn+o8TeWBNVQTHIUtIvvQ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9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>======
ID#AAABMmJcTug
tc={BEE3DC45-D192-48E5-B051-DA830092375D}    (2024-04-30 01:42:17)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B16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ID#AAABMmJcTuI
tc={9A9FA5CC-E227-4B66-AD09-B395DB19CBD4}    (2024-04-30 01:42:17)
[Threaded comment]
Your version of Excel allows you to read this threaded comment; however, any edits to it will get removed if the file is opened in a newer version of Excel. Learn more: https://go.microsoft.com/fwlink/?linkid=870924
Comment:
    60%*12.5%
Reply:
    NOMOR 6 TAHUN 2019 TENTANG PERUBAHAN ATAS PERATURAN DAERAH NOMOR 9 TAHUN 2010 TENTANG BEA BALIK NAMA KENDARAAN BERMOTOR</t>
        </r>
      </text>
    </comment>
    <comment ref="F21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>======
ID#AAABMmJcTuM
tc={7833DF23-FE90-4F19-9FD0-611220B2E488}    (2024-04-30 01:42:17)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38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ID#AAABMmKZZaQ
tc={004D7F3F-C5C1-4611-A019-7D9E4061B6F1}    (2024-04-30 01:42:17)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nSoMFR4ivXAiR/R1ftFt8ETojRA=="/>
    </ext>
  </extLst>
</comments>
</file>

<file path=xl/sharedStrings.xml><?xml version="1.0" encoding="utf-8"?>
<sst xmlns="http://schemas.openxmlformats.org/spreadsheetml/2006/main" count="1468" uniqueCount="186">
  <si>
    <t>Country name</t>
  </si>
  <si>
    <t>Myanmar</t>
  </si>
  <si>
    <t>TCO</t>
  </si>
  <si>
    <t>US$</t>
  </si>
  <si>
    <t>US$/km</t>
  </si>
  <si>
    <t>ASSUMPTIONS</t>
  </si>
  <si>
    <t>TCO Estimation</t>
  </si>
  <si>
    <t>Sensitivity Analysis</t>
  </si>
  <si>
    <t>Analysis period</t>
  </si>
  <si>
    <t>Years</t>
  </si>
  <si>
    <t>Discounted TCO</t>
  </si>
  <si>
    <t>Country specific costs</t>
  </si>
  <si>
    <t>Vehicle-related Costs</t>
  </si>
  <si>
    <t>Year</t>
  </si>
  <si>
    <t>Equity (US$)</t>
  </si>
  <si>
    <t>Installment (US$)</t>
  </si>
  <si>
    <t>Electricity cost (US$)</t>
  </si>
  <si>
    <t>Charging surcharge cost (US$)</t>
  </si>
  <si>
    <t>O&amp;M Costs  (US$)</t>
  </si>
  <si>
    <t>Taxes (US$)</t>
  </si>
  <si>
    <t>Battery replacement costs (US$)</t>
  </si>
  <si>
    <t>Battery leasing costs (US$)</t>
  </si>
  <si>
    <t>Resale Value (US$)</t>
  </si>
  <si>
    <t>TCO (US$)</t>
  </si>
  <si>
    <t>Vehicle values (US$) for tax calculation</t>
  </si>
  <si>
    <t>Please copy paste following values (values only) to the formula value if there is update/ differences with reference values in tables</t>
  </si>
  <si>
    <t>Exchange rate</t>
  </si>
  <si>
    <t>MMK/US$</t>
  </si>
  <si>
    <t>Vehicle price</t>
  </si>
  <si>
    <t>MMK</t>
  </si>
  <si>
    <t>Electricity tariff</t>
  </si>
  <si>
    <t>US$/kWh</t>
  </si>
  <si>
    <t>Weight</t>
  </si>
  <si>
    <t>kg</t>
  </si>
  <si>
    <t>Battery cost</t>
  </si>
  <si>
    <t>One-time Costs</t>
  </si>
  <si>
    <t>Related to Yearly Costs</t>
  </si>
  <si>
    <t>Battery cost unit</t>
  </si>
  <si>
    <t>%</t>
  </si>
  <si>
    <t>Discount rate</t>
  </si>
  <si>
    <t>Battery capacity</t>
  </si>
  <si>
    <t>kWh</t>
  </si>
  <si>
    <t>Annual kilometres travelled (AKT)</t>
  </si>
  <si>
    <t>km/year</t>
  </si>
  <si>
    <t>Special Commercial Tax</t>
  </si>
  <si>
    <t>Annual kilometres traveled (AKT)</t>
  </si>
  <si>
    <t>Battery lifecycle</t>
  </si>
  <si>
    <t>cycles</t>
  </si>
  <si>
    <t>Other O&amp;M costs</t>
  </si>
  <si>
    <t>US$/year</t>
  </si>
  <si>
    <t>Commercial Tax</t>
  </si>
  <si>
    <t>MMK/kWh</t>
  </si>
  <si>
    <t>Battery range</t>
  </si>
  <si>
    <t>km/cycle</t>
  </si>
  <si>
    <t>Road Transport Administration Department TAX</t>
  </si>
  <si>
    <t>Electricity tariff growth</t>
  </si>
  <si>
    <t>%/year</t>
  </si>
  <si>
    <t>Vehicle lifespan</t>
  </si>
  <si>
    <t>years</t>
  </si>
  <si>
    <t>Income Tax</t>
  </si>
  <si>
    <t>Battery leasing cost</t>
  </si>
  <si>
    <t>MMK/year</t>
  </si>
  <si>
    <t>SOC</t>
  </si>
  <si>
    <t>Initial Inspection Fee</t>
  </si>
  <si>
    <t>Vehicle Depreciation</t>
  </si>
  <si>
    <t>%/ year</t>
  </si>
  <si>
    <t>License Renewal Fee</t>
  </si>
  <si>
    <t>%/Year</t>
  </si>
  <si>
    <t>Battery Depreciation</t>
  </si>
  <si>
    <t>Initial Licences Fee</t>
  </si>
  <si>
    <t>The imposition of vehicle tax</t>
  </si>
  <si>
    <t>Electricity consumption</t>
  </si>
  <si>
    <t>kWh/km</t>
  </si>
  <si>
    <t>Road insurance</t>
  </si>
  <si>
    <t>Initial/Surcharge Charging Cost</t>
  </si>
  <si>
    <t>MMK/times</t>
  </si>
  <si>
    <t>MMK/km</t>
  </si>
  <si>
    <t>Interest rate (flat)</t>
  </si>
  <si>
    <t>Financing costs</t>
  </si>
  <si>
    <t>Relative change (%)</t>
  </si>
  <si>
    <t>Electricity tariff (US$/kWh)</t>
  </si>
  <si>
    <t>TCO changes (%)</t>
  </si>
  <si>
    <t>Vehicle price (US$)</t>
  </si>
  <si>
    <t>Loan length</t>
  </si>
  <si>
    <t>Reference value</t>
  </si>
  <si>
    <t>Downpayment</t>
  </si>
  <si>
    <t>% of capital cost</t>
  </si>
  <si>
    <t>TCO ESTIMATION</t>
  </si>
  <si>
    <t>Country specific cost</t>
  </si>
  <si>
    <t>Financing cost</t>
  </si>
  <si>
    <t>Battery</t>
  </si>
  <si>
    <t>Equity</t>
  </si>
  <si>
    <t>Battery lifespan</t>
  </si>
  <si>
    <t>Debt</t>
  </si>
  <si>
    <t>Debt interest</t>
  </si>
  <si>
    <t>Total kilometres travelled during lifecycle</t>
  </si>
  <si>
    <t>km</t>
  </si>
  <si>
    <t>Energy costs</t>
  </si>
  <si>
    <t>Annual kilometres travelled</t>
  </si>
  <si>
    <t>Charging cost</t>
  </si>
  <si>
    <t>Yearly Operational Cost</t>
  </si>
  <si>
    <t>Battery cost (US$)</t>
  </si>
  <si>
    <t>AKT (km/year)</t>
  </si>
  <si>
    <t>Electricity cost per km</t>
  </si>
  <si>
    <t>Yearly charging surcharge cost</t>
  </si>
  <si>
    <t>Emission test costs</t>
  </si>
  <si>
    <t>Yearly charging cost</t>
  </si>
  <si>
    <t>Capital cost</t>
  </si>
  <si>
    <t>Base Annual Tax</t>
  </si>
  <si>
    <t>Battery price</t>
  </si>
  <si>
    <t>Vehicle price + import levy</t>
  </si>
  <si>
    <t>Battery Price + import levy</t>
  </si>
  <si>
    <t xml:space="preserve">   CIF (Cost, Insurance, Freight)</t>
  </si>
  <si>
    <t>Total</t>
  </si>
  <si>
    <t>Vehicle Price+taxes</t>
  </si>
  <si>
    <t>Subsidy &amp; discount</t>
  </si>
  <si>
    <t>Other O&amp;M costs (US$)</t>
  </si>
  <si>
    <t>Electric Bus</t>
  </si>
  <si>
    <t>Cost component</t>
  </si>
  <si>
    <t>MM</t>
  </si>
  <si>
    <t>Capital costs</t>
  </si>
  <si>
    <t>Yearly Cost + Taxes</t>
  </si>
  <si>
    <t>Battery costs</t>
  </si>
  <si>
    <t>Resale value</t>
  </si>
  <si>
    <t>Fuel cost (US$)</t>
  </si>
  <si>
    <t>O&amp;M Cost  (US$)</t>
  </si>
  <si>
    <t>Fuel price</t>
  </si>
  <si>
    <t>US$/L</t>
  </si>
  <si>
    <t>Specific fuel consumption</t>
  </si>
  <si>
    <t>L/km</t>
  </si>
  <si>
    <t>MMK/liter</t>
  </si>
  <si>
    <t>Fuel price growth</t>
  </si>
  <si>
    <t>Fuel price (US$/L)</t>
  </si>
  <si>
    <t>Formula value</t>
  </si>
  <si>
    <t>Other O&amp;M costs (US$/L)</t>
  </si>
  <si>
    <t>Yearly fuel cost</t>
  </si>
  <si>
    <t>Base Yearly Annual Tax</t>
  </si>
  <si>
    <t>Vehicle price + taxes/costs</t>
  </si>
  <si>
    <t>Electric Truck</t>
  </si>
  <si>
    <t>ICE Bus</t>
  </si>
  <si>
    <t>Electric Cargo</t>
  </si>
  <si>
    <t>Import tariff</t>
  </si>
  <si>
    <t>No</t>
  </si>
  <si>
    <t>Battery leasing model</t>
  </si>
  <si>
    <t>Battery leasing?</t>
  </si>
  <si>
    <t>Profit ratio</t>
  </si>
  <si>
    <t>(minimum: 1)</t>
  </si>
  <si>
    <t>Minimimum Kilometre Travelled</t>
  </si>
  <si>
    <t>km/day</t>
  </si>
  <si>
    <t>Battery Leasing Model</t>
  </si>
  <si>
    <t>Battery price (plus profit &amp; interests)</t>
  </si>
  <si>
    <t>Battery rental cost unit</t>
  </si>
  <si>
    <t>Minimum AKT</t>
  </si>
  <si>
    <t>Minimum battery rental cost</t>
  </si>
  <si>
    <t>Additional battery rental cost</t>
  </si>
  <si>
    <t>Battery price (plus taxes)</t>
  </si>
  <si>
    <t>Battery price (plus interests)</t>
  </si>
  <si>
    <t>Mininum travelled (km)</t>
  </si>
  <si>
    <t>Mininum Kilometres traveled</t>
  </si>
  <si>
    <t>Net vehicle Price</t>
  </si>
  <si>
    <t>Basic vehicle price</t>
  </si>
  <si>
    <t>Diesel price per L</t>
  </si>
  <si>
    <t>Diesel cost per km</t>
  </si>
  <si>
    <t>Gasoline price per L</t>
  </si>
  <si>
    <t>Gasoline cost per km</t>
  </si>
  <si>
    <t>Gasoline price</t>
  </si>
  <si>
    <t>Diesel price</t>
  </si>
  <si>
    <t>Inspection Renewal Fee</t>
  </si>
  <si>
    <t>New Registration Fee</t>
  </si>
  <si>
    <t>Net vehicle price</t>
  </si>
  <si>
    <t>E-bus</t>
  </si>
  <si>
    <t>ICE-bus</t>
  </si>
  <si>
    <t>Parameter change (%)</t>
  </si>
  <si>
    <t>TCO Change (%)</t>
  </si>
  <si>
    <t>Vehicle Price</t>
  </si>
  <si>
    <t>Electricity tarrif</t>
  </si>
  <si>
    <t>AKT</t>
  </si>
  <si>
    <t>O&amp;M costs</t>
  </si>
  <si>
    <t>E-truck</t>
  </si>
  <si>
    <t>ICE-truck</t>
  </si>
  <si>
    <t>E-cargo</t>
  </si>
  <si>
    <t>ICE-cargo</t>
  </si>
  <si>
    <t>MYANMAR</t>
  </si>
  <si>
    <t>Fuel Price</t>
  </si>
  <si>
    <t>Energy Efficiency</t>
  </si>
  <si>
    <t>Manufacturer’s Recommended Retail Price (MRRP)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</si>
</sst>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_-;\-* #,##0_-;_-* &quot;-&quot;??_-;_-@"/>
    <numFmt numFmtId="165" formatCode="_-* #,##0_-;\-* #,##0_-;_-* &quot;-&quot;_-;_-@"/>
    <numFmt numFmtId="166" formatCode="_(* #,##0_);_(* \(#,##0\);_(* &quot;-&quot;??_);_(@_)"/>
    <numFmt numFmtId="167" formatCode="_-* #,##0.0_-;\-* #,##0.0_-;_-* &quot;-&quot;_-;_-@"/>
    <numFmt numFmtId="168" formatCode="_-* #,##0.0000_-;\-* #,##0.0000_-;_-* &quot;-&quot;_-;_-@"/>
    <numFmt numFmtId="169" formatCode="_-* #,##0.00_-;\-* #,##0.00_-;_-* &quot;-&quot;??_-;_-@"/>
    <numFmt numFmtId="170" formatCode="_-* #,##0.00_-;\-* #,##0.00_-;_-* &quot;-&quot;_-;_-@"/>
    <numFmt numFmtId="171" formatCode="_-* #,##0.0_-;\-* #,##0.0_-;_-* &quot;-&quot;??_-;_-@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0" fontId="8" fillId="0" borderId="1"/>
  </cellStyleXfs>
  <cellXfs count="101">
    <xf numFmtId="0" fontId="0" fillId="0" borderId="0" xfId="0"/>
    <xf numFmtId="0" fontId="4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164" fontId="5" fillId="2" borderId="1" xfId="0" applyNumberFormat="1" applyFont="1" applyFill="1" applyBorder="1"/>
    <xf numFmtId="2" fontId="5" fillId="2" borderId="1" xfId="0" applyNumberFormat="1" applyFont="1" applyFill="1" applyBorder="1"/>
    <xf numFmtId="165" fontId="6" fillId="2" borderId="1" xfId="0" applyNumberFormat="1" applyFont="1" applyFill="1" applyBorder="1"/>
    <xf numFmtId="43" fontId="6" fillId="2" borderId="1" xfId="0" applyNumberFormat="1" applyFont="1" applyFill="1" applyBorder="1"/>
    <xf numFmtId="166" fontId="6" fillId="2" borderId="1" xfId="0" applyNumberFormat="1" applyFont="1" applyFill="1" applyBorder="1"/>
    <xf numFmtId="0" fontId="5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5" fillId="2" borderId="3" xfId="0" applyFont="1" applyFill="1" applyBorder="1"/>
    <xf numFmtId="0" fontId="6" fillId="3" borderId="1" xfId="0" applyFont="1" applyFill="1" applyBorder="1"/>
    <xf numFmtId="0" fontId="5" fillId="3" borderId="1" xfId="0" applyFont="1" applyFill="1" applyBorder="1"/>
    <xf numFmtId="0" fontId="6" fillId="2" borderId="5" xfId="0" applyFont="1" applyFill="1" applyBorder="1"/>
    <xf numFmtId="167" fontId="6" fillId="2" borderId="1" xfId="0" applyNumberFormat="1" applyFont="1" applyFill="1" applyBorder="1"/>
    <xf numFmtId="0" fontId="6" fillId="2" borderId="6" xfId="0" applyFont="1" applyFill="1" applyBorder="1"/>
    <xf numFmtId="0" fontId="6" fillId="2" borderId="1" xfId="0" applyFont="1" applyFill="1" applyBorder="1" applyAlignment="1">
      <alignment horizontal="left"/>
    </xf>
    <xf numFmtId="164" fontId="6" fillId="3" borderId="1" xfId="0" applyNumberFormat="1" applyFont="1" applyFill="1" applyBorder="1"/>
    <xf numFmtId="164" fontId="5" fillId="3" borderId="1" xfId="0" applyNumberFormat="1" applyFont="1" applyFill="1" applyBorder="1"/>
    <xf numFmtId="168" fontId="6" fillId="2" borderId="1" xfId="0" applyNumberFormat="1" applyFont="1" applyFill="1" applyBorder="1"/>
    <xf numFmtId="169" fontId="6" fillId="2" borderId="1" xfId="0" applyNumberFormat="1" applyFont="1" applyFill="1" applyBorder="1"/>
    <xf numFmtId="165" fontId="6" fillId="3" borderId="1" xfId="0" applyNumberFormat="1" applyFont="1" applyFill="1" applyBorder="1"/>
    <xf numFmtId="170" fontId="6" fillId="3" borderId="1" xfId="0" applyNumberFormat="1" applyFont="1" applyFill="1" applyBorder="1"/>
    <xf numFmtId="0" fontId="5" fillId="2" borderId="5" xfId="0" applyFont="1" applyFill="1" applyBorder="1"/>
    <xf numFmtId="164" fontId="6" fillId="2" borderId="1" xfId="0" applyNumberFormat="1" applyFont="1" applyFill="1" applyBorder="1"/>
    <xf numFmtId="0" fontId="6" fillId="2" borderId="5" xfId="0" applyFont="1" applyFill="1" applyBorder="1" applyAlignment="1">
      <alignment horizontal="left"/>
    </xf>
    <xf numFmtId="170" fontId="6" fillId="2" borderId="1" xfId="0" applyNumberFormat="1" applyFont="1" applyFill="1" applyBorder="1"/>
    <xf numFmtId="0" fontId="6" fillId="0" borderId="0" xfId="0" applyFont="1"/>
    <xf numFmtId="0" fontId="5" fillId="4" borderId="1" xfId="0" applyFont="1" applyFill="1" applyBorder="1"/>
    <xf numFmtId="0" fontId="6" fillId="4" borderId="1" xfId="0" applyFont="1" applyFill="1" applyBorder="1"/>
    <xf numFmtId="0" fontId="7" fillId="2" borderId="1" xfId="0" applyFont="1" applyFill="1" applyBorder="1"/>
    <xf numFmtId="169" fontId="6" fillId="4" borderId="1" xfId="0" applyNumberFormat="1" applyFont="1" applyFill="1" applyBorder="1"/>
    <xf numFmtId="165" fontId="6" fillId="4" borderId="1" xfId="0" applyNumberFormat="1" applyFont="1" applyFill="1" applyBorder="1"/>
    <xf numFmtId="164" fontId="6" fillId="4" borderId="1" xfId="0" applyNumberFormat="1" applyFont="1" applyFill="1" applyBorder="1"/>
    <xf numFmtId="169" fontId="7" fillId="2" borderId="1" xfId="0" applyNumberFormat="1" applyFont="1" applyFill="1" applyBorder="1"/>
    <xf numFmtId="165" fontId="7" fillId="2" borderId="1" xfId="0" applyNumberFormat="1" applyFont="1" applyFill="1" applyBorder="1"/>
    <xf numFmtId="1" fontId="6" fillId="4" borderId="1" xfId="0" applyNumberFormat="1" applyFont="1" applyFill="1" applyBorder="1"/>
    <xf numFmtId="1" fontId="7" fillId="2" borderId="1" xfId="0" applyNumberFormat="1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6" fillId="2" borderId="9" xfId="0" applyFont="1" applyFill="1" applyBorder="1"/>
    <xf numFmtId="0" fontId="6" fillId="5" borderId="1" xfId="0" applyFont="1" applyFill="1" applyBorder="1"/>
    <xf numFmtId="169" fontId="6" fillId="5" borderId="1" xfId="0" applyNumberFormat="1" applyFont="1" applyFill="1" applyBorder="1"/>
    <xf numFmtId="165" fontId="6" fillId="5" borderId="1" xfId="0" applyNumberFormat="1" applyFont="1" applyFill="1" applyBorder="1"/>
    <xf numFmtId="1" fontId="6" fillId="5" borderId="1" xfId="0" applyNumberFormat="1" applyFont="1" applyFill="1" applyBorder="1"/>
    <xf numFmtId="164" fontId="6" fillId="5" borderId="1" xfId="0" applyNumberFormat="1" applyFont="1" applyFill="1" applyBorder="1"/>
    <xf numFmtId="165" fontId="6" fillId="2" borderId="3" xfId="0" applyNumberFormat="1" applyFont="1" applyFill="1" applyBorder="1"/>
    <xf numFmtId="170" fontId="5" fillId="2" borderId="1" xfId="0" applyNumberFormat="1" applyFont="1" applyFill="1" applyBorder="1"/>
    <xf numFmtId="2" fontId="6" fillId="2" borderId="1" xfId="0" applyNumberFormat="1" applyFont="1" applyFill="1" applyBorder="1"/>
    <xf numFmtId="169" fontId="5" fillId="2" borderId="1" xfId="0" applyNumberFormat="1" applyFont="1" applyFill="1" applyBorder="1"/>
    <xf numFmtId="0" fontId="6" fillId="0" borderId="10" xfId="0" applyFont="1" applyBorder="1" applyAlignment="1">
      <alignment horizontal="left"/>
    </xf>
    <xf numFmtId="166" fontId="6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166" fontId="6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/>
    <xf numFmtId="4" fontId="6" fillId="2" borderId="1" xfId="0" applyNumberFormat="1" applyFont="1" applyFill="1" applyBorder="1"/>
    <xf numFmtId="10" fontId="6" fillId="2" borderId="1" xfId="0" applyNumberFormat="1" applyFont="1" applyFill="1" applyBorder="1"/>
    <xf numFmtId="171" fontId="6" fillId="2" borderId="1" xfId="0" applyNumberFormat="1" applyFont="1" applyFill="1" applyBorder="1"/>
    <xf numFmtId="165" fontId="6" fillId="0" borderId="0" xfId="0" applyNumberFormat="1" applyFont="1"/>
    <xf numFmtId="0" fontId="9" fillId="6" borderId="0" xfId="0" applyFont="1" applyFill="1"/>
    <xf numFmtId="0" fontId="0" fillId="6" borderId="0" xfId="0" applyFill="1"/>
    <xf numFmtId="0" fontId="6" fillId="7" borderId="6" xfId="0" applyFont="1" applyFill="1" applyBorder="1"/>
    <xf numFmtId="0" fontId="0" fillId="8" borderId="0" xfId="0" applyFill="1"/>
    <xf numFmtId="0" fontId="6" fillId="7" borderId="1" xfId="0" applyFont="1" applyFill="1" applyBorder="1"/>
    <xf numFmtId="165" fontId="6" fillId="2" borderId="8" xfId="0" applyNumberFormat="1" applyFont="1" applyFill="1" applyBorder="1"/>
    <xf numFmtId="166" fontId="6" fillId="2" borderId="1" xfId="1" applyNumberFormat="1" applyFont="1" applyFill="1" applyBorder="1"/>
    <xf numFmtId="43" fontId="6" fillId="2" borderId="1" xfId="1" applyFont="1" applyFill="1" applyBorder="1"/>
    <xf numFmtId="0" fontId="3" fillId="9" borderId="0" xfId="0" applyFont="1" applyFill="1"/>
    <xf numFmtId="165" fontId="6" fillId="2" borderId="0" xfId="0" applyNumberFormat="1" applyFont="1" applyFill="1"/>
    <xf numFmtId="0" fontId="2" fillId="9" borderId="0" xfId="0" applyFont="1" applyFill="1"/>
    <xf numFmtId="164" fontId="6" fillId="10" borderId="1" xfId="0" applyNumberFormat="1" applyFont="1" applyFill="1" applyBorder="1"/>
    <xf numFmtId="1" fontId="6" fillId="10" borderId="1" xfId="0" applyNumberFormat="1" applyFont="1" applyFill="1" applyBorder="1"/>
    <xf numFmtId="0" fontId="0" fillId="9" borderId="0" xfId="0" applyFill="1"/>
    <xf numFmtId="0" fontId="10" fillId="0" borderId="1" xfId="2" applyFont="1"/>
    <xf numFmtId="0" fontId="8" fillId="0" borderId="1" xfId="2"/>
    <xf numFmtId="0" fontId="8" fillId="0" borderId="1" xfId="2" applyAlignment="1">
      <alignment wrapText="1"/>
    </xf>
    <xf numFmtId="0" fontId="1" fillId="0" borderId="1" xfId="2" applyFont="1"/>
    <xf numFmtId="0" fontId="9" fillId="11" borderId="1" xfId="2" applyFont="1" applyFill="1" applyAlignment="1">
      <alignment horizontal="center" vertical="center"/>
    </xf>
    <xf numFmtId="0" fontId="9" fillId="11" borderId="1" xfId="2" applyFont="1" applyFill="1" applyAlignment="1">
      <alignment horizontal="center" wrapText="1"/>
    </xf>
    <xf numFmtId="0" fontId="9" fillId="11" borderId="1" xfId="2" applyFont="1" applyFill="1" applyAlignment="1">
      <alignment horizontal="center" vertical="center" wrapText="1"/>
    </xf>
    <xf numFmtId="0" fontId="9" fillId="0" borderId="1" xfId="2" applyFont="1" applyAlignment="1">
      <alignment wrapText="1"/>
    </xf>
    <xf numFmtId="0" fontId="9" fillId="11" borderId="1" xfId="2" applyFont="1" applyFill="1"/>
    <xf numFmtId="1" fontId="8" fillId="9" borderId="1" xfId="2" applyNumberFormat="1" applyFill="1" applyAlignment="1">
      <alignment wrapText="1"/>
    </xf>
    <xf numFmtId="1" fontId="8" fillId="9" borderId="1" xfId="2" applyNumberFormat="1" applyFill="1"/>
    <xf numFmtId="0" fontId="8" fillId="11" borderId="1" xfId="2" applyFill="1"/>
    <xf numFmtId="0" fontId="11" fillId="12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169" fontId="6" fillId="10" borderId="1" xfId="0" applyNumberFormat="1" applyFont="1" applyFill="1" applyBorder="1"/>
    <xf numFmtId="0" fontId="5" fillId="12" borderId="1" xfId="0" applyFont="1" applyFill="1" applyBorder="1"/>
    <xf numFmtId="0" fontId="12" fillId="2" borderId="1" xfId="0" applyFont="1" applyFill="1" applyBorder="1"/>
    <xf numFmtId="170" fontId="12" fillId="2" borderId="1" xfId="0" applyNumberFormat="1" applyFont="1" applyFill="1" applyBorder="1"/>
    <xf numFmtId="170" fontId="6" fillId="4" borderId="1" xfId="0" applyNumberFormat="1" applyFont="1" applyFill="1" applyBorder="1"/>
    <xf numFmtId="0" fontId="9" fillId="11" borderId="1" xfId="2" applyFont="1" applyFill="1" applyAlignment="1">
      <alignment horizontal="center" vertical="center"/>
    </xf>
    <xf numFmtId="0" fontId="9" fillId="11" borderId="1" xfId="2" applyFont="1" applyFill="1" applyAlignment="1">
      <alignment horizontal="center" wrapText="1"/>
    </xf>
    <xf numFmtId="0" fontId="9" fillId="11" borderId="1" xfId="2" applyFont="1" applyFill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xr:uid="{FC7D38AC-15A4-421B-AF07-38D90EC182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buses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MM'!$P$55</c:f>
              <c:numCache>
                <c:formatCode>_-* #,##0_-;\-* #,##0_-;_-* "-"??_-;_-@</c:formatCode>
                <c:ptCount val="1"/>
                <c:pt idx="0">
                  <c:v>483665.36201421445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E02-46A1-89BC-C5965501933D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MM'!$P$56</c:f>
              <c:numCache>
                <c:formatCode>_-* #,##0_-;\-* #,##0_-;_-* "-"??_-;_-@</c:formatCode>
                <c:ptCount val="1"/>
                <c:pt idx="0">
                  <c:v>24751.442415720834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E02-46A1-89BC-C5965501933D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MM'!$P$57</c:f>
              <c:numCache>
                <c:formatCode>_-* #,##0_-;\-* #,##0_-;_-* "-"??_-;_-@</c:formatCode>
                <c:ptCount val="1"/>
                <c:pt idx="0">
                  <c:v>121962.48546664917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DE02-46A1-89BC-C5965501933D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MM'!$P$58</c:f>
              <c:numCache>
                <c:formatCode>_-* #,##0_-;\-* #,##0_-;_-* "-"??_-;_-@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DE02-46A1-89BC-C5965501933D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MM'!$P$59</c:f>
              <c:numCache>
                <c:formatCode>_-* #,##0_-;\-* #,##0_-;_-* "-"??_-;_-@</c:formatCode>
                <c:ptCount val="1"/>
                <c:pt idx="0">
                  <c:v>-85078.887494391136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DE02-46A1-89BC-C59655019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5878488"/>
        <c:axId val="1726062747"/>
      </c:barChart>
      <c:catAx>
        <c:axId val="595878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726062747"/>
        <c:crosses val="autoZero"/>
        <c:auto val="1"/>
        <c:lblAlgn val="ctr"/>
        <c:lblOffset val="100"/>
        <c:noMultiLvlLbl val="1"/>
      </c:catAx>
      <c:valAx>
        <c:axId val="17260627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59587848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buses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3667786526684161"/>
          <c:y val="0.1299050076454176"/>
          <c:w val="0.83221102362204724"/>
          <c:h val="0.82942978465521655"/>
        </c:manualLayout>
      </c:layout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MM'!$R$55</c:f>
              <c:numCache>
                <c:formatCode>0.00</c:formatCode>
                <c:ptCount val="1"/>
                <c:pt idx="0">
                  <c:v>1.0748119155871432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F74-44C4-BFEE-4F8AB2F91AFE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MM'!$R$56</c:f>
              <c:numCache>
                <c:formatCode>0.00</c:formatCode>
                <c:ptCount val="1"/>
                <c:pt idx="0">
                  <c:v>5.5003205368268519E-2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EF74-44C4-BFEE-4F8AB2F91AFE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MM'!$R$57</c:f>
              <c:numCache>
                <c:formatCode>0.00</c:formatCode>
                <c:ptCount val="1"/>
                <c:pt idx="0">
                  <c:v>0.27102774548144259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EF74-44C4-BFEE-4F8AB2F91AFE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MM'!$R$58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EF74-44C4-BFEE-4F8AB2F91AFE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MM'!$R$59</c:f>
              <c:numCache>
                <c:formatCode>0.00</c:formatCode>
                <c:ptCount val="1"/>
                <c:pt idx="0">
                  <c:v>-0.1890641944319803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EF74-44C4-BFEE-4F8AB2F91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22126968"/>
        <c:axId val="1130141398"/>
      </c:barChart>
      <c:catAx>
        <c:axId val="2022126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130141398"/>
        <c:crosses val="autoZero"/>
        <c:auto val="1"/>
        <c:lblAlgn val="ctr"/>
        <c:lblOffset val="100"/>
        <c:noMultiLvlLbl val="1"/>
      </c:catAx>
      <c:valAx>
        <c:axId val="11301413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202212696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buses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MM'!$P$55</c:f>
              <c:numCache>
                <c:formatCode>_-* #,##0_-;\-* #,##0_-;_-* "-"??_-;_-@</c:formatCode>
                <c:ptCount val="1"/>
                <c:pt idx="0">
                  <c:v>186355.85362895555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12D-48E2-96CC-4C9D0834700F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MM'!$P$56</c:f>
              <c:numCache>
                <c:formatCode>_-* #,##0_-;\-* #,##0_-;_-* "-"??_-;_-@</c:formatCode>
                <c:ptCount val="1"/>
                <c:pt idx="0">
                  <c:v>211219.20556780227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12D-48E2-96CC-4C9D0834700F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MM'!$P$57</c:f>
              <c:numCache>
                <c:formatCode>_-* #,##0_-;\-* #,##0_-;_-* "-"??_-;_-@</c:formatCode>
                <c:ptCount val="1"/>
                <c:pt idx="0">
                  <c:v>72351.752369021226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712D-48E2-96CC-4C9D0834700F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MM'!$P$58</c:f>
              <c:numCache>
                <c:formatCode>_-* #,##0_-;\-* #,##0_-;_-* "-"??_-;_-@</c:formatCode>
                <c:ptCount val="1"/>
                <c:pt idx="0">
                  <c:v>-33030.64805311722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712D-48E2-96CC-4C9D08347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840054"/>
        <c:axId val="59764669"/>
      </c:barChart>
      <c:catAx>
        <c:axId val="1608400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59764669"/>
        <c:crosses val="autoZero"/>
        <c:auto val="1"/>
        <c:lblAlgn val="ctr"/>
        <c:lblOffset val="100"/>
        <c:noMultiLvlLbl val="1"/>
      </c:catAx>
      <c:valAx>
        <c:axId val="597646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6084005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buses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MM'!$R$55</c:f>
              <c:numCache>
                <c:formatCode>0.00</c:formatCode>
                <c:ptCount val="1"/>
                <c:pt idx="0">
                  <c:v>0.41412411917545677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07B-490F-AFEC-B6EDF0841D90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MM'!$R$56</c:f>
              <c:numCache>
                <c:formatCode>0.00</c:formatCode>
                <c:ptCount val="1"/>
                <c:pt idx="0">
                  <c:v>0.46937601237289395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07B-490F-AFEC-B6EDF0841D90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MM'!$R$57</c:f>
              <c:numCache>
                <c:formatCode>0.00</c:formatCode>
                <c:ptCount val="1"/>
                <c:pt idx="0">
                  <c:v>0.16078167193115828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207B-490F-AFEC-B6EDF0841D90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MM'!$R$58</c:f>
              <c:numCache>
                <c:formatCode>0.00</c:formatCode>
                <c:ptCount val="1"/>
                <c:pt idx="0">
                  <c:v>-7.3401440118038272E-2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207B-490F-AFEC-B6EDF0841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4515300"/>
        <c:axId val="129182178"/>
      </c:barChart>
      <c:catAx>
        <c:axId val="5445153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29182178"/>
        <c:crosses val="autoZero"/>
        <c:auto val="1"/>
        <c:lblAlgn val="ctr"/>
        <c:lblOffset val="100"/>
        <c:noMultiLvlLbl val="1"/>
      </c:catAx>
      <c:valAx>
        <c:axId val="1291821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54451530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Truck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MM '!$P$55</c:f>
              <c:numCache>
                <c:formatCode>_-* #,##0_-;\-* #,##0_-;_-* "-"??_-;_-@</c:formatCode>
                <c:ptCount val="1"/>
                <c:pt idx="0">
                  <c:v>97328.36722113844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95C-4AA8-9669-9F8D3F8C4592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MM '!$P$56</c:f>
              <c:numCache>
                <c:formatCode>_-* #,##0_-;\-* #,##0_-;_-* "-"??_-;_-@</c:formatCode>
                <c:ptCount val="1"/>
                <c:pt idx="0">
                  <c:v>4750.2768272595531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995C-4AA8-9669-9F8D3F8C4592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MM '!$P$57</c:f>
              <c:numCache>
                <c:formatCode>_-* #,##0_-;\-* #,##0_-;_-* "-"??_-;_-@</c:formatCode>
                <c:ptCount val="1"/>
                <c:pt idx="0">
                  <c:v>20869.666682078529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995C-4AA8-9669-9F8D3F8C4592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MM '!$P$58</c:f>
              <c:numCache>
                <c:formatCode>_-* #,##0_-;\-* #,##0_-;_-* "-"??_-;_-@</c:formatCode>
                <c:ptCount val="1"/>
                <c:pt idx="0">
                  <c:v>12753.603322158941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995C-4AA8-9669-9F8D3F8C4592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MM '!$P$59</c:f>
              <c:numCache>
                <c:formatCode>_-* #,##0_-;\-* #,##0_-;_-* "-"??_-;_-@</c:formatCode>
                <c:ptCount val="1"/>
                <c:pt idx="0">
                  <c:v>-17005.662312819433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995C-4AA8-9669-9F8D3F8C4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44536504"/>
        <c:axId val="1800882852"/>
      </c:barChart>
      <c:catAx>
        <c:axId val="1944536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800882852"/>
        <c:crosses val="autoZero"/>
        <c:auto val="1"/>
        <c:lblAlgn val="ctr"/>
        <c:lblOffset val="100"/>
        <c:noMultiLvlLbl val="1"/>
      </c:catAx>
      <c:valAx>
        <c:axId val="18008828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94453650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Truck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3667786526684161"/>
          <c:y val="0.1299050076454176"/>
          <c:w val="0.83221102362204724"/>
          <c:h val="0.82942978465521655"/>
        </c:manualLayout>
      </c:layout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MM '!$R$55</c:f>
              <c:numCache>
                <c:formatCode>0.00</c:formatCode>
                <c:ptCount val="1"/>
                <c:pt idx="0">
                  <c:v>0.21628526049141875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65F-443A-80D6-7B5854496070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MM '!$R$56</c:f>
              <c:numCache>
                <c:formatCode>0.00</c:formatCode>
                <c:ptCount val="1"/>
                <c:pt idx="0">
                  <c:v>1.0556170727243451E-2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565F-443A-80D6-7B5854496070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MM '!$R$57</c:f>
              <c:numCache>
                <c:formatCode>0.00</c:formatCode>
                <c:ptCount val="1"/>
                <c:pt idx="0">
                  <c:v>4.6377037071285619E-2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565F-443A-80D6-7B5854496070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MM '!$R$58</c:f>
              <c:numCache>
                <c:formatCode>0.00</c:formatCode>
                <c:ptCount val="1"/>
                <c:pt idx="0">
                  <c:v>2.8341340715908755E-2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565F-443A-80D6-7B5854496070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MM '!$R$59</c:f>
              <c:numCache>
                <c:formatCode>0.00</c:formatCode>
                <c:ptCount val="1"/>
                <c:pt idx="0">
                  <c:v>-3.7790360695154297E-2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565F-443A-80D6-7B5854496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33753927"/>
        <c:axId val="1583135658"/>
      </c:barChart>
      <c:catAx>
        <c:axId val="1933753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583135658"/>
        <c:crosses val="autoZero"/>
        <c:auto val="1"/>
        <c:lblAlgn val="ctr"/>
        <c:lblOffset val="100"/>
        <c:noMultiLvlLbl val="1"/>
      </c:catAx>
      <c:valAx>
        <c:axId val="15831356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933753927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Truck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MM '!$P$55</c:f>
              <c:numCache>
                <c:formatCode>_-* #,##0_-;\-* #,##0_-;_-* "-"??_-;_-@</c:formatCode>
                <c:ptCount val="1"/>
                <c:pt idx="0">
                  <c:v>17524.675112968165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BD7-49E9-8831-EAAB7A7CAFC2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MM '!$P$56</c:f>
              <c:numCache>
                <c:formatCode>_-* #,##0_-;\-* #,##0_-;_-* "-"??_-;_-@</c:formatCode>
                <c:ptCount val="1"/>
                <c:pt idx="0">
                  <c:v>68969.536511935425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5BD7-49E9-8831-EAAB7A7CAFC2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MM '!$P$57</c:f>
              <c:numCache>
                <c:formatCode>_-* #,##0_-;\-* #,##0_-;_-* "-"??_-;_-@</c:formatCode>
                <c:ptCount val="1"/>
                <c:pt idx="0">
                  <c:v>34751.466548284756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5BD7-49E9-8831-EAAB7A7CAFC2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MM '!$P$58</c:f>
              <c:numCache>
                <c:formatCode>_-* #,##0_-;\-* #,##0_-;_-* "-"??_-;_-@</c:formatCode>
                <c:ptCount val="1"/>
                <c:pt idx="0">
                  <c:v>-3135.8210177010014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5BD7-49E9-8831-EAAB7A7CA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6391120"/>
        <c:axId val="1515643416"/>
      </c:barChart>
      <c:catAx>
        <c:axId val="276391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515643416"/>
        <c:crosses val="autoZero"/>
        <c:auto val="1"/>
        <c:lblAlgn val="ctr"/>
        <c:lblOffset val="100"/>
        <c:noMultiLvlLbl val="1"/>
      </c:catAx>
      <c:valAx>
        <c:axId val="15156434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27639112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Truck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MM '!$R$55</c:f>
              <c:numCache>
                <c:formatCode>0.00</c:formatCode>
                <c:ptCount val="1"/>
                <c:pt idx="0">
                  <c:v>3.8943722473262589E-2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E1D-47ED-B2AE-33BEBC15B815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MM '!$R$56</c:f>
              <c:numCache>
                <c:formatCode>0.00</c:formatCode>
                <c:ptCount val="1"/>
                <c:pt idx="0">
                  <c:v>0.15326563669318982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6E1D-47ED-B2AE-33BEBC15B815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MM '!$R$57</c:f>
              <c:numCache>
                <c:formatCode>0.00</c:formatCode>
                <c:ptCount val="1"/>
                <c:pt idx="0">
                  <c:v>7.7225481218410566E-2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6E1D-47ED-B2AE-33BEBC15B815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MM '!$R$58</c:f>
              <c:numCache>
                <c:formatCode>0.00</c:formatCode>
                <c:ptCount val="1"/>
                <c:pt idx="0">
                  <c:v>-6.9684911504466701E-3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6E1D-47ED-B2AE-33BEBC15B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5607478"/>
        <c:axId val="54132981"/>
      </c:barChart>
      <c:catAx>
        <c:axId val="20856074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54132981"/>
        <c:crosses val="autoZero"/>
        <c:auto val="1"/>
        <c:lblAlgn val="ctr"/>
        <c:lblOffset val="100"/>
        <c:noMultiLvlLbl val="1"/>
      </c:catAx>
      <c:valAx>
        <c:axId val="541329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208560747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Cargo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MM  '!$P$55</c:f>
              <c:numCache>
                <c:formatCode>_-* #,##0_-;\-* #,##0_-;_-* "-"??_-;_-@</c:formatCode>
                <c:ptCount val="1"/>
                <c:pt idx="0">
                  <c:v>30819.540063290031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EA7-4E10-BC95-A2098D50875B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MM  '!$P$56</c:f>
              <c:numCache>
                <c:formatCode>_-* #,##0_-;\-* #,##0_-;_-* "-"??_-;_-@</c:formatCode>
                <c:ptCount val="1"/>
                <c:pt idx="0">
                  <c:v>1711.2108336794649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EA7-4E10-BC95-A2098D50875B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MM  '!$P$57</c:f>
              <c:numCache>
                <c:formatCode>_-* #,##0_-;\-* #,##0_-;_-* "-"??_-;_-@</c:formatCode>
                <c:ptCount val="1"/>
                <c:pt idx="0">
                  <c:v>4233.6915090646662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DEA7-4E10-BC95-A2098D50875B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MM  '!$P$58</c:f>
              <c:numCache>
                <c:formatCode>_-* #,##0_-;\-* #,##0_-;_-* "-"??_-;_-@</c:formatCode>
                <c:ptCount val="1"/>
                <c:pt idx="0">
                  <c:v>3134.1046658738355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DEA7-4E10-BC95-A2098D50875B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MM  '!$P$59</c:f>
              <c:numCache>
                <c:formatCode>_-* #,##0_-;\-* #,##0_-;_-* "-"??_-;_-@</c:formatCode>
                <c:ptCount val="1"/>
                <c:pt idx="0">
                  <c:v>-5163.7274692533001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DEA7-4E10-BC95-A2098D508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2201918"/>
        <c:axId val="506807935"/>
      </c:barChart>
      <c:catAx>
        <c:axId val="6122019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506807935"/>
        <c:crosses val="autoZero"/>
        <c:auto val="1"/>
        <c:lblAlgn val="ctr"/>
        <c:lblOffset val="100"/>
        <c:noMultiLvlLbl val="1"/>
      </c:catAx>
      <c:valAx>
        <c:axId val="5068079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61220191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Cargo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3667786526684161"/>
          <c:y val="0.1299050076454176"/>
          <c:w val="0.83221102362204724"/>
          <c:h val="0.82942978465521655"/>
        </c:manualLayout>
      </c:layout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MM  '!$R$55</c:f>
              <c:numCache>
                <c:formatCode>0.00</c:formatCode>
                <c:ptCount val="1"/>
                <c:pt idx="0">
                  <c:v>0.14008881846950014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CB1-4FFF-8F8D-9E3B7F956735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MM  '!$R$56</c:f>
              <c:numCache>
                <c:formatCode>0.00</c:formatCode>
                <c:ptCount val="1"/>
                <c:pt idx="0">
                  <c:v>7.7782310621793858E-3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6CB1-4FFF-8F8D-9E3B7F956735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MM  '!$R$57</c:f>
              <c:numCache>
                <c:formatCode>0.00</c:formatCode>
                <c:ptCount val="1"/>
                <c:pt idx="0">
                  <c:v>1.9244052313930299E-2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6CB1-4FFF-8F8D-9E3B7F956735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MM  '!$R$58</c:f>
              <c:numCache>
                <c:formatCode>0.00</c:formatCode>
                <c:ptCount val="1"/>
                <c:pt idx="0">
                  <c:v>1.4245930299426526E-2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6CB1-4FFF-8F8D-9E3B7F956735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MM  '!$R$59</c:f>
              <c:numCache>
                <c:formatCode>0.00</c:formatCode>
                <c:ptCount val="1"/>
                <c:pt idx="0">
                  <c:v>-2.3471488496605911E-2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6CB1-4FFF-8F8D-9E3B7F956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5351267"/>
        <c:axId val="186977516"/>
      </c:barChart>
      <c:catAx>
        <c:axId val="13753512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86977516"/>
        <c:crosses val="autoZero"/>
        <c:auto val="1"/>
        <c:lblAlgn val="ctr"/>
        <c:lblOffset val="100"/>
        <c:noMultiLvlLbl val="1"/>
      </c:catAx>
      <c:valAx>
        <c:axId val="1869775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375351267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Cargo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MM '!$P$55</c:f>
              <c:numCache>
                <c:formatCode>_-* #,##0_-;\-* #,##0_-;_-* "-"??_-;_-@</c:formatCode>
                <c:ptCount val="1"/>
                <c:pt idx="0">
                  <c:v>8405.6654828707869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2A7-4D05-B6CC-8A54B2FD7AAC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MM '!$P$56</c:f>
              <c:numCache>
                <c:formatCode>_-* #,##0_-;\-* #,##0_-;_-* "-"??_-;_-@</c:formatCode>
                <c:ptCount val="1"/>
                <c:pt idx="0">
                  <c:v>14056.374705224174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E2A7-4D05-B6CC-8A54B2FD7AAC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MM '!$P$57</c:f>
              <c:numCache>
                <c:formatCode>_-* #,##0_-;\-* #,##0_-;_-* "-"??_-;_-@</c:formatCode>
                <c:ptCount val="1"/>
                <c:pt idx="0">
                  <c:v>5369.1462384364904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E2A7-4D05-B6CC-8A54B2FD7AAC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MM '!$P$58</c:f>
              <c:numCache>
                <c:formatCode>_-* #,##0_-;\-* #,##0_-;_-* "-"??_-;_-@</c:formatCode>
                <c:ptCount val="1"/>
                <c:pt idx="0">
                  <c:v>-1505.1940884964808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E2A7-4D05-B6CC-8A54B2FD7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841969"/>
        <c:axId val="100070898"/>
      </c:barChart>
      <c:catAx>
        <c:axId val="1338419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00070898"/>
        <c:crosses val="autoZero"/>
        <c:auto val="1"/>
        <c:lblAlgn val="ctr"/>
        <c:lblOffset val="100"/>
        <c:noMultiLvlLbl val="1"/>
      </c:catAx>
      <c:valAx>
        <c:axId val="1000708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3384196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Cargo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MM '!$R$55</c:f>
              <c:numCache>
                <c:formatCode>0.00</c:formatCode>
                <c:ptCount val="1"/>
                <c:pt idx="0">
                  <c:v>3.8207570376685394E-2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E18-4328-B667-0785344B7CA4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MM '!$R$56</c:f>
              <c:numCache>
                <c:formatCode>0.00</c:formatCode>
                <c:ptCount val="1"/>
                <c:pt idx="0">
                  <c:v>6.3892612296473514E-2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E18-4328-B667-0785344B7CA4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MM '!$R$57</c:f>
              <c:numCache>
                <c:formatCode>0.00</c:formatCode>
                <c:ptCount val="1"/>
                <c:pt idx="0">
                  <c:v>2.4405210174711318E-2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BE18-4328-B667-0785344B7CA4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MM '!$R$58</c:f>
              <c:numCache>
                <c:formatCode>0.00</c:formatCode>
                <c:ptCount val="1"/>
                <c:pt idx="0">
                  <c:v>-6.8417913113476402E-3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BE18-4328-B667-0785344B7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3157787"/>
        <c:axId val="1172559660"/>
      </c:barChart>
      <c:catAx>
        <c:axId val="15231577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172559660"/>
        <c:crosses val="autoZero"/>
        <c:auto val="1"/>
        <c:lblAlgn val="ctr"/>
        <c:lblOffset val="100"/>
        <c:noMultiLvlLbl val="1"/>
      </c:catAx>
      <c:valAx>
        <c:axId val="11725596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523157787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E-bus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0305023314883552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Sensitivity!$C$4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Sensitivity!$C$5:$C$15</c:f>
              <c:numCache>
                <c:formatCode>0</c:formatCode>
                <c:ptCount val="11"/>
                <c:pt idx="0">
                  <c:v>-44.348524215601159</c:v>
                </c:pt>
                <c:pt idx="1">
                  <c:v>-35.478819372480942</c:v>
                </c:pt>
                <c:pt idx="2">
                  <c:v>-26.609114529360717</c:v>
                </c:pt>
                <c:pt idx="3">
                  <c:v>-17.739409686240464</c:v>
                </c:pt>
                <c:pt idx="4">
                  <c:v>-8.8697048431202212</c:v>
                </c:pt>
                <c:pt idx="5">
                  <c:v>0</c:v>
                </c:pt>
                <c:pt idx="6">
                  <c:v>8.8697048431202425</c:v>
                </c:pt>
                <c:pt idx="7">
                  <c:v>17.739409686240442</c:v>
                </c:pt>
                <c:pt idx="8">
                  <c:v>26.609114529360667</c:v>
                </c:pt>
                <c:pt idx="9">
                  <c:v>35.478819372480864</c:v>
                </c:pt>
                <c:pt idx="10">
                  <c:v>44.348524215601124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B7-4878-83F1-2B2A8D07C73F}"/>
            </c:ext>
          </c:extLst>
        </c:ser>
        <c:ser>
          <c:idx val="2"/>
          <c:order val="1"/>
          <c:tx>
            <c:strRef>
              <c:f>Sensitivity!$D$4</c:f>
              <c:strCache>
                <c:ptCount val="1"/>
                <c:pt idx="0">
                  <c:v>Electricity tarrif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Sensitivity!$D$5:$D$15</c:f>
              <c:numCache>
                <c:formatCode>0</c:formatCode>
                <c:ptCount val="11"/>
                <c:pt idx="0">
                  <c:v>-2.2695235788094346</c:v>
                </c:pt>
                <c:pt idx="1">
                  <c:v>-1.8156188630475436</c:v>
                </c:pt>
                <c:pt idx="2">
                  <c:v>-1.3617141472856522</c:v>
                </c:pt>
                <c:pt idx="3">
                  <c:v>-0.90780943152378235</c:v>
                </c:pt>
                <c:pt idx="4">
                  <c:v>-0.45390471576189118</c:v>
                </c:pt>
                <c:pt idx="5">
                  <c:v>0</c:v>
                </c:pt>
                <c:pt idx="6">
                  <c:v>0.45390471576186986</c:v>
                </c:pt>
                <c:pt idx="7">
                  <c:v>0.90780943152373972</c:v>
                </c:pt>
                <c:pt idx="8">
                  <c:v>1.3617141472856309</c:v>
                </c:pt>
                <c:pt idx="9">
                  <c:v>1.8156188630475005</c:v>
                </c:pt>
                <c:pt idx="10">
                  <c:v>2.2695235788094132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B7-4878-83F1-2B2A8D07C73F}"/>
            </c:ext>
          </c:extLst>
        </c:ser>
        <c:ser>
          <c:idx val="3"/>
          <c:order val="2"/>
          <c:tx>
            <c:strRef>
              <c:f>Sensitivity!$E$4</c:f>
              <c:strCache>
                <c:ptCount val="1"/>
                <c:pt idx="0">
                  <c:v>Battery cost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Sensitivity!$E$5:$E$15</c:f>
              <c:numCache>
                <c:formatCode>0</c:formatCode>
                <c:ptCount val="11"/>
                <c:pt idx="0">
                  <c:v>-5.2282354199009768</c:v>
                </c:pt>
                <c:pt idx="1">
                  <c:v>-4.18258833592082</c:v>
                </c:pt>
                <c:pt idx="2">
                  <c:v>-3.1369412519405988</c:v>
                </c:pt>
                <c:pt idx="3">
                  <c:v>-2.091294167960442</c:v>
                </c:pt>
                <c:pt idx="4">
                  <c:v>-1.0456470839801997</c:v>
                </c:pt>
                <c:pt idx="5">
                  <c:v>0</c:v>
                </c:pt>
                <c:pt idx="6">
                  <c:v>1.0456470839801997</c:v>
                </c:pt>
                <c:pt idx="7">
                  <c:v>2.0912941679603994</c:v>
                </c:pt>
                <c:pt idx="8">
                  <c:v>3.1369412519405557</c:v>
                </c:pt>
                <c:pt idx="9">
                  <c:v>4.1825883359207765</c:v>
                </c:pt>
                <c:pt idx="10">
                  <c:v>5.2282354199009768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B7-4878-83F1-2B2A8D07C73F}"/>
            </c:ext>
          </c:extLst>
        </c:ser>
        <c:ser>
          <c:idx val="4"/>
          <c:order val="3"/>
          <c:tx>
            <c:strRef>
              <c:f>Sensitivity!$F$4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Sensitivity!$F$5:$F$15</c:f>
              <c:numCache>
                <c:formatCode>0</c:formatCode>
                <c:ptCount val="11"/>
                <c:pt idx="0">
                  <c:v>-13.433674185247375</c:v>
                </c:pt>
                <c:pt idx="1">
                  <c:v>-10.746939348197905</c:v>
                </c:pt>
                <c:pt idx="2">
                  <c:v>-8.0602045111484255</c:v>
                </c:pt>
                <c:pt idx="3">
                  <c:v>-5.373469674098958</c:v>
                </c:pt>
                <c:pt idx="4">
                  <c:v>-2.6867348370494684</c:v>
                </c:pt>
                <c:pt idx="5">
                  <c:v>0</c:v>
                </c:pt>
                <c:pt idx="6">
                  <c:v>2.686734837049447</c:v>
                </c:pt>
                <c:pt idx="7">
                  <c:v>5.3734696740989154</c:v>
                </c:pt>
                <c:pt idx="8">
                  <c:v>8.0602045111484255</c:v>
                </c:pt>
                <c:pt idx="9">
                  <c:v>10.746939348197873</c:v>
                </c:pt>
                <c:pt idx="10">
                  <c:v>13.433674185247362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B7-4878-83F1-2B2A8D07C73F}"/>
            </c:ext>
          </c:extLst>
        </c:ser>
        <c:ser>
          <c:idx val="5"/>
          <c:order val="4"/>
          <c:tx>
            <c:strRef>
              <c:f>Sensitivity!$G$4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Sensitivity!$G$5:$G$15</c:f>
              <c:numCache>
                <c:formatCode>0</c:formatCode>
                <c:ptCount val="11"/>
                <c:pt idx="0">
                  <c:v>-11.164150606437961</c:v>
                </c:pt>
                <c:pt idx="1">
                  <c:v>-8.931320485150362</c:v>
                </c:pt>
                <c:pt idx="2">
                  <c:v>-6.6984903638628159</c:v>
                </c:pt>
                <c:pt idx="3">
                  <c:v>-4.4656602425752183</c:v>
                </c:pt>
                <c:pt idx="4">
                  <c:v>-2.2328301212876198</c:v>
                </c:pt>
                <c:pt idx="5">
                  <c:v>0</c:v>
                </c:pt>
                <c:pt idx="6">
                  <c:v>2.2328301212875985</c:v>
                </c:pt>
                <c:pt idx="7">
                  <c:v>4.4656602425751544</c:v>
                </c:pt>
                <c:pt idx="8">
                  <c:v>6.6984903638627529</c:v>
                </c:pt>
                <c:pt idx="9">
                  <c:v>8.9313204851503301</c:v>
                </c:pt>
                <c:pt idx="10">
                  <c:v>11.164150606437929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B7-4878-83F1-2B2A8D07C73F}"/>
            </c:ext>
          </c:extLst>
        </c:ser>
        <c:ser>
          <c:idx val="0"/>
          <c:order val="5"/>
          <c:tx>
            <c:strRef>
              <c:f>Sensitivity!$H$4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Sensitivity!$H$5:$H$15</c:f>
              <c:numCache>
                <c:formatCode>0</c:formatCode>
                <c:ptCount val="11"/>
                <c:pt idx="0">
                  <c:v>2.2695235788094132</c:v>
                </c:pt>
                <c:pt idx="1">
                  <c:v>1.8156188630475005</c:v>
                </c:pt>
                <c:pt idx="2">
                  <c:v>1.3617141472856309</c:v>
                </c:pt>
                <c:pt idx="3">
                  <c:v>0.90780943152373972</c:v>
                </c:pt>
                <c:pt idx="4">
                  <c:v>0.45390471576186986</c:v>
                </c:pt>
                <c:pt idx="5">
                  <c:v>0</c:v>
                </c:pt>
                <c:pt idx="6">
                  <c:v>-0.45390471576189118</c:v>
                </c:pt>
                <c:pt idx="7">
                  <c:v>-0.90780943152378235</c:v>
                </c:pt>
                <c:pt idx="8">
                  <c:v>-1.3617141472856522</c:v>
                </c:pt>
                <c:pt idx="9">
                  <c:v>-1.8156188630475436</c:v>
                </c:pt>
                <c:pt idx="10">
                  <c:v>-2.2695235788094346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8B7-4878-83F1-2B2A8D07C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189275070103599"/>
              <c:y val="0.484194553802959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2798793642239705"/>
              <c:y val="9.691319224969896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74890194164904E-2"/>
          <c:y val="0.85037360035678544"/>
          <c:w val="0.93649009886074819"/>
          <c:h val="0.1199632590961503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E-truck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0305023314883552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Sensitivity!$C$19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Sensitivity!$C$20:$C$30</c:f>
              <c:numCache>
                <c:formatCode>0</c:formatCode>
                <c:ptCount val="11"/>
                <c:pt idx="0">
                  <c:v>-40.998921951842114</c:v>
                </c:pt>
                <c:pt idx="1">
                  <c:v>-32.7991375614737</c:v>
                </c:pt>
                <c:pt idx="2">
                  <c:v>-24.599353171105278</c:v>
                </c:pt>
                <c:pt idx="3">
                  <c:v>-16.399568780736864</c:v>
                </c:pt>
                <c:pt idx="4">
                  <c:v>-8.1997843903684497</c:v>
                </c:pt>
                <c:pt idx="5">
                  <c:v>0</c:v>
                </c:pt>
                <c:pt idx="6">
                  <c:v>8.1997843903684142</c:v>
                </c:pt>
                <c:pt idx="7">
                  <c:v>16.399568780736804</c:v>
                </c:pt>
                <c:pt idx="8">
                  <c:v>24.599353171105264</c:v>
                </c:pt>
                <c:pt idx="9">
                  <c:v>32.799137561473657</c:v>
                </c:pt>
                <c:pt idx="10">
                  <c:v>40.998921951842114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3A-4CE1-B9B8-8793B152A947}"/>
            </c:ext>
          </c:extLst>
        </c:ser>
        <c:ser>
          <c:idx val="2"/>
          <c:order val="1"/>
          <c:tx>
            <c:strRef>
              <c:f>Sensitivity!$D$19</c:f>
              <c:strCache>
                <c:ptCount val="1"/>
                <c:pt idx="0">
                  <c:v>Electricity tarrif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Sensitivity!$D$20:$D$30</c:f>
              <c:numCache>
                <c:formatCode>0</c:formatCode>
                <c:ptCount val="11"/>
                <c:pt idx="0">
                  <c:v>-2.0010222553919843</c:v>
                </c:pt>
                <c:pt idx="1">
                  <c:v>-1.6008178043135728</c:v>
                </c:pt>
                <c:pt idx="2">
                  <c:v>-1.2006133532351737</c:v>
                </c:pt>
                <c:pt idx="3">
                  <c:v>-0.80040890215677429</c:v>
                </c:pt>
                <c:pt idx="4">
                  <c:v>-0.40020445107839936</c:v>
                </c:pt>
                <c:pt idx="5">
                  <c:v>0</c:v>
                </c:pt>
                <c:pt idx="6">
                  <c:v>0.40020445107839936</c:v>
                </c:pt>
                <c:pt idx="7">
                  <c:v>0.80040890215677429</c:v>
                </c:pt>
                <c:pt idx="8">
                  <c:v>1.2006133532351613</c:v>
                </c:pt>
                <c:pt idx="9">
                  <c:v>1.6008178043135608</c:v>
                </c:pt>
                <c:pt idx="10">
                  <c:v>2.0010222553919355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3A-4CE1-B9B8-8793B152A947}"/>
            </c:ext>
          </c:extLst>
        </c:ser>
        <c:ser>
          <c:idx val="3"/>
          <c:order val="2"/>
          <c:tx>
            <c:strRef>
              <c:f>Sensitivity!$E$19</c:f>
              <c:strCache>
                <c:ptCount val="1"/>
                <c:pt idx="0">
                  <c:v>Battery cost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Sensitivity!$E$20:$E$30</c:f>
              <c:numCache>
                <c:formatCode>0</c:formatCode>
                <c:ptCount val="11"/>
                <c:pt idx="0">
                  <c:v>-6.0041887494332551</c:v>
                </c:pt>
                <c:pt idx="1">
                  <c:v>-4.8033509995465842</c:v>
                </c:pt>
                <c:pt idx="2">
                  <c:v>-3.6025132496599381</c:v>
                </c:pt>
                <c:pt idx="3">
                  <c:v>-2.401675499773317</c:v>
                </c:pt>
                <c:pt idx="4">
                  <c:v>-1.2008377498866585</c:v>
                </c:pt>
                <c:pt idx="5">
                  <c:v>0</c:v>
                </c:pt>
                <c:pt idx="6">
                  <c:v>1.2008377498866705</c:v>
                </c:pt>
                <c:pt idx="7">
                  <c:v>2.4016754997732801</c:v>
                </c:pt>
                <c:pt idx="8">
                  <c:v>3.6025132496599381</c:v>
                </c:pt>
                <c:pt idx="9">
                  <c:v>4.8033509995465842</c:v>
                </c:pt>
                <c:pt idx="10">
                  <c:v>6.0041887494332427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3A-4CE1-B9B8-8793B152A947}"/>
            </c:ext>
          </c:extLst>
        </c:ser>
        <c:ser>
          <c:idx val="4"/>
          <c:order val="3"/>
          <c:tx>
            <c:strRef>
              <c:f>Sensitivity!$F$19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Sensitivity!$F$20:$F$30</c:f>
              <c:numCache>
                <c:formatCode>0</c:formatCode>
                <c:ptCount val="11"/>
                <c:pt idx="0">
                  <c:v>-16.678340576018023</c:v>
                </c:pt>
                <c:pt idx="1">
                  <c:v>-14.024558976535747</c:v>
                </c:pt>
                <c:pt idx="2">
                  <c:v>-7.2016338094109278</c:v>
                </c:pt>
                <c:pt idx="3">
                  <c:v>-5.044955669972123</c:v>
                </c:pt>
                <c:pt idx="4">
                  <c:v>-2.1566781394388048</c:v>
                </c:pt>
                <c:pt idx="5">
                  <c:v>0</c:v>
                </c:pt>
                <c:pt idx="6">
                  <c:v>7.5673765735021465</c:v>
                </c:pt>
                <c:pt idx="7">
                  <c:v>9.7240547129409265</c:v>
                </c:pt>
                <c:pt idx="8">
                  <c:v>11.880732852379756</c:v>
                </c:pt>
                <c:pt idx="9">
                  <c:v>24.871690475264497</c:v>
                </c:pt>
                <c:pt idx="10">
                  <c:v>27.028368614703286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3A-4CE1-B9B8-8793B152A947}"/>
            </c:ext>
          </c:extLst>
        </c:ser>
        <c:ser>
          <c:idx val="5"/>
          <c:order val="4"/>
          <c:tx>
            <c:strRef>
              <c:f>Sensitivity!$G$19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Sensitivity!$G$20:$G$30</c:f>
              <c:numCache>
                <c:formatCode>0</c:formatCode>
                <c:ptCount val="11"/>
                <c:pt idx="0">
                  <c:v>-8.782368441802026</c:v>
                </c:pt>
                <c:pt idx="1">
                  <c:v>-7.0258947534416212</c:v>
                </c:pt>
                <c:pt idx="2">
                  <c:v>-5.2694210650812279</c:v>
                </c:pt>
                <c:pt idx="3">
                  <c:v>-3.5129473767208106</c:v>
                </c:pt>
                <c:pt idx="4">
                  <c:v>-1.7564736883604053</c:v>
                </c:pt>
                <c:pt idx="5">
                  <c:v>0</c:v>
                </c:pt>
                <c:pt idx="6">
                  <c:v>1.7564736883603806</c:v>
                </c:pt>
                <c:pt idx="7">
                  <c:v>3.5129473767207977</c:v>
                </c:pt>
                <c:pt idx="8">
                  <c:v>5.2694210650812279</c:v>
                </c:pt>
                <c:pt idx="9">
                  <c:v>7.0258947534416212</c:v>
                </c:pt>
                <c:pt idx="10">
                  <c:v>8.782368441802026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3A-4CE1-B9B8-8793B152A947}"/>
            </c:ext>
          </c:extLst>
        </c:ser>
        <c:ser>
          <c:idx val="0"/>
          <c:order val="5"/>
          <c:tx>
            <c:strRef>
              <c:f>Sensitivity!$H$19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Sensitivity!$H$20:$H$30</c:f>
              <c:numCache>
                <c:formatCode>0</c:formatCode>
                <c:ptCount val="11"/>
                <c:pt idx="0">
                  <c:v>2.0010222553919355</c:v>
                </c:pt>
                <c:pt idx="1">
                  <c:v>1.6008178043135608</c:v>
                </c:pt>
                <c:pt idx="2">
                  <c:v>1.2006133532351613</c:v>
                </c:pt>
                <c:pt idx="3">
                  <c:v>0.80040890215677429</c:v>
                </c:pt>
                <c:pt idx="4">
                  <c:v>0.40020445107839936</c:v>
                </c:pt>
                <c:pt idx="5">
                  <c:v>0</c:v>
                </c:pt>
                <c:pt idx="6">
                  <c:v>-0.40020445107839936</c:v>
                </c:pt>
                <c:pt idx="7">
                  <c:v>-0.80040890215677429</c:v>
                </c:pt>
                <c:pt idx="8">
                  <c:v>-1.2006133532351737</c:v>
                </c:pt>
                <c:pt idx="9">
                  <c:v>-1.6008178043135728</c:v>
                </c:pt>
                <c:pt idx="10">
                  <c:v>-2.0010222553919843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3A-4CE1-B9B8-8793B152A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2575371243996611"/>
              <c:y val="0.48534828107634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2537078366796508"/>
              <c:y val="6.82559211348581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74890194164904E-2"/>
          <c:y val="0.84045314648168978"/>
          <c:w val="0.93649009886074819"/>
          <c:h val="0.1298837645294338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E-</a:t>
            </a:r>
            <a:r>
              <a:rPr lang="en-US"/>
              <a:t>van</a:t>
            </a:r>
            <a:endParaRPr lang="id-ID"/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0305023314883552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Sensitivity!$C$34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Sensitivity!$C$35:$C$45</c:f>
              <c:numCache>
                <c:formatCode>0</c:formatCode>
                <c:ptCount val="11"/>
                <c:pt idx="0">
                  <c:v>-44.364042214479461</c:v>
                </c:pt>
                <c:pt idx="1">
                  <c:v>-35.491233771583587</c:v>
                </c:pt>
                <c:pt idx="2">
                  <c:v>-26.618425328687689</c:v>
                </c:pt>
                <c:pt idx="3">
                  <c:v>-17.745616885791787</c:v>
                </c:pt>
                <c:pt idx="4">
                  <c:v>-8.8728084428958933</c:v>
                </c:pt>
                <c:pt idx="5">
                  <c:v>0</c:v>
                </c:pt>
                <c:pt idx="6">
                  <c:v>8.8728084428958933</c:v>
                </c:pt>
                <c:pt idx="7">
                  <c:v>17.745616885791765</c:v>
                </c:pt>
                <c:pt idx="8">
                  <c:v>26.61842532868766</c:v>
                </c:pt>
                <c:pt idx="9">
                  <c:v>35.491233771583531</c:v>
                </c:pt>
                <c:pt idx="10">
                  <c:v>44.364042214479468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B6-4193-BBA9-2A92235F9D02}"/>
            </c:ext>
          </c:extLst>
        </c:ser>
        <c:ser>
          <c:idx val="2"/>
          <c:order val="1"/>
          <c:tx>
            <c:strRef>
              <c:f>Sensitivity!$D$34</c:f>
              <c:strCache>
                <c:ptCount val="1"/>
                <c:pt idx="0">
                  <c:v>Electricity tarrif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Sensitivity!$D$35:$D$45</c:f>
              <c:numCache>
                <c:formatCode>0</c:formatCode>
                <c:ptCount val="11"/>
                <c:pt idx="0">
                  <c:v>-2.4632499222029836</c:v>
                </c:pt>
                <c:pt idx="1">
                  <c:v>-1.9705999377623578</c:v>
                </c:pt>
                <c:pt idx="2">
                  <c:v>-1.4779499533217524</c:v>
                </c:pt>
                <c:pt idx="3">
                  <c:v>-0.98529996888121019</c:v>
                </c:pt>
                <c:pt idx="4">
                  <c:v>-0.49264998444058411</c:v>
                </c:pt>
                <c:pt idx="5">
                  <c:v>0</c:v>
                </c:pt>
                <c:pt idx="6">
                  <c:v>0.49264998444056324</c:v>
                </c:pt>
                <c:pt idx="7">
                  <c:v>0.9852999688811892</c:v>
                </c:pt>
                <c:pt idx="8">
                  <c:v>1.4779499533217944</c:v>
                </c:pt>
                <c:pt idx="9">
                  <c:v>1.9705999377623578</c:v>
                </c:pt>
                <c:pt idx="10">
                  <c:v>2.4632499222029627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B6-4193-BBA9-2A92235F9D02}"/>
            </c:ext>
          </c:extLst>
        </c:ser>
        <c:ser>
          <c:idx val="3"/>
          <c:order val="2"/>
          <c:tx>
            <c:strRef>
              <c:f>Sensitivity!$E$34</c:f>
              <c:strCache>
                <c:ptCount val="1"/>
                <c:pt idx="0">
                  <c:v>Battery cost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Sensitivity!$E$35:$E$45</c:f>
              <c:numCache>
                <c:formatCode>0</c:formatCode>
                <c:ptCount val="11"/>
                <c:pt idx="0">
                  <c:v>-10.656023161124246</c:v>
                </c:pt>
                <c:pt idx="1">
                  <c:v>-8.5248185288993934</c:v>
                </c:pt>
                <c:pt idx="2">
                  <c:v>-6.3936138966745419</c:v>
                </c:pt>
                <c:pt idx="3">
                  <c:v>-4.2624092644496816</c:v>
                </c:pt>
                <c:pt idx="4">
                  <c:v>-2.1312046322248408</c:v>
                </c:pt>
                <c:pt idx="5">
                  <c:v>0</c:v>
                </c:pt>
                <c:pt idx="6">
                  <c:v>2.1312046322248408</c:v>
                </c:pt>
                <c:pt idx="7">
                  <c:v>4.2624092644496603</c:v>
                </c:pt>
                <c:pt idx="8">
                  <c:v>6.3936138966745633</c:v>
                </c:pt>
                <c:pt idx="9">
                  <c:v>8.5248185288993827</c:v>
                </c:pt>
                <c:pt idx="10">
                  <c:v>10.656023161124203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B6-4193-BBA9-2A92235F9D02}"/>
            </c:ext>
          </c:extLst>
        </c:ser>
        <c:ser>
          <c:idx val="4"/>
          <c:order val="3"/>
          <c:tx>
            <c:strRef>
              <c:f>Sensitivity!$F$34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Sensitivity!$F$35:$F$45</c:f>
              <c:numCache>
                <c:formatCode>0</c:formatCode>
                <c:ptCount val="11"/>
                <c:pt idx="0">
                  <c:v>-17.575140304890834</c:v>
                </c:pt>
                <c:pt idx="1">
                  <c:v>-15.864701818135938</c:v>
                </c:pt>
                <c:pt idx="2">
                  <c:v>-6.3599017107212008</c:v>
                </c:pt>
                <c:pt idx="3">
                  <c:v>-4.2597451429333155</c:v>
                </c:pt>
                <c:pt idx="4">
                  <c:v>-2.1401026710937767</c:v>
                </c:pt>
                <c:pt idx="5">
                  <c:v>0</c:v>
                </c:pt>
                <c:pt idx="6">
                  <c:v>2.1615858803107137</c:v>
                </c:pt>
                <c:pt idx="7">
                  <c:v>3.8720243670656016</c:v>
                </c:pt>
                <c:pt idx="8">
                  <c:v>13.850529237713943</c:v>
                </c:pt>
                <c:pt idx="9">
                  <c:v>15.560967724468833</c:v>
                </c:pt>
                <c:pt idx="10">
                  <c:v>18.567718278736649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B6-4193-BBA9-2A92235F9D02}"/>
            </c:ext>
          </c:extLst>
        </c:ser>
        <c:ser>
          <c:idx val="5"/>
          <c:order val="4"/>
          <c:tx>
            <c:strRef>
              <c:f>Sensitivity!$G$34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Sensitivity!$G$35:$G$45</c:f>
              <c:numCache>
                <c:formatCode>0</c:formatCode>
                <c:ptCount val="11"/>
                <c:pt idx="0">
                  <c:v>-6.0889425115715419</c:v>
                </c:pt>
                <c:pt idx="1">
                  <c:v>-4.871154009257217</c:v>
                </c:pt>
                <c:pt idx="2">
                  <c:v>-3.6533655069429125</c:v>
                </c:pt>
                <c:pt idx="3">
                  <c:v>-2.4355770046285872</c:v>
                </c:pt>
                <c:pt idx="4">
                  <c:v>-1.2177885023143042</c:v>
                </c:pt>
                <c:pt idx="5">
                  <c:v>0</c:v>
                </c:pt>
                <c:pt idx="6">
                  <c:v>1.2177885023142623</c:v>
                </c:pt>
                <c:pt idx="7">
                  <c:v>2.4355770046286085</c:v>
                </c:pt>
                <c:pt idx="8">
                  <c:v>3.6533655069428921</c:v>
                </c:pt>
                <c:pt idx="9">
                  <c:v>4.8711540092572374</c:v>
                </c:pt>
                <c:pt idx="10">
                  <c:v>6.0889425115715214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B6-4193-BBA9-2A92235F9D02}"/>
            </c:ext>
          </c:extLst>
        </c:ser>
        <c:ser>
          <c:idx val="0"/>
          <c:order val="5"/>
          <c:tx>
            <c:strRef>
              <c:f>Sensitivity!$H$34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Sensitivity!$H$35:$H$45</c:f>
              <c:numCache>
                <c:formatCode>0</c:formatCode>
                <c:ptCount val="11"/>
                <c:pt idx="0">
                  <c:v>2.4632499222029627</c:v>
                </c:pt>
                <c:pt idx="1">
                  <c:v>1.9705999377623578</c:v>
                </c:pt>
                <c:pt idx="2">
                  <c:v>1.4779499533217944</c:v>
                </c:pt>
                <c:pt idx="3">
                  <c:v>0.9852999688811892</c:v>
                </c:pt>
                <c:pt idx="4">
                  <c:v>0.49264998444056324</c:v>
                </c:pt>
                <c:pt idx="5">
                  <c:v>0</c:v>
                </c:pt>
                <c:pt idx="6">
                  <c:v>-0.49264998444058411</c:v>
                </c:pt>
                <c:pt idx="7">
                  <c:v>-0.98529996888121019</c:v>
                </c:pt>
                <c:pt idx="8">
                  <c:v>-1.4779499533217524</c:v>
                </c:pt>
                <c:pt idx="9">
                  <c:v>-1.9705999377623578</c:v>
                </c:pt>
                <c:pt idx="10">
                  <c:v>-2.4632499222029836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B6-4193-BBA9-2A92235F9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1688876220583397"/>
              <c:y val="0.50351757868330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2531261858585176"/>
              <c:y val="6.634176592546905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74890194164904E-2"/>
          <c:y val="0.85037360035678544"/>
          <c:w val="0.93649009886074819"/>
          <c:h val="0.1199632590961503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ICE-bus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140144195932564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Sensitivity!$P$4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Sensitivity!$P$5:$P$15</c:f>
              <c:numCache>
                <c:formatCode>0</c:formatCode>
                <c:ptCount val="11"/>
                <c:pt idx="0">
                  <c:v>-21.327247661165913</c:v>
                </c:pt>
                <c:pt idx="1">
                  <c:v>-17.061798128932729</c:v>
                </c:pt>
                <c:pt idx="2">
                  <c:v>-12.796348596699541</c:v>
                </c:pt>
                <c:pt idx="3">
                  <c:v>-8.5308990644663716</c:v>
                </c:pt>
                <c:pt idx="4">
                  <c:v>-4.2654495322331858</c:v>
                </c:pt>
                <c:pt idx="5">
                  <c:v>0</c:v>
                </c:pt>
                <c:pt idx="6">
                  <c:v>4.2654495322331991</c:v>
                </c:pt>
                <c:pt idx="7">
                  <c:v>8.5308990644663716</c:v>
                </c:pt>
                <c:pt idx="8">
                  <c:v>12.796348596699556</c:v>
                </c:pt>
                <c:pt idx="9">
                  <c:v>17.061798128932729</c:v>
                </c:pt>
                <c:pt idx="10">
                  <c:v>21.327247661165941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34-4349-B376-8F35DFA75560}"/>
            </c:ext>
          </c:extLst>
        </c:ser>
        <c:ser>
          <c:idx val="2"/>
          <c:order val="1"/>
          <c:tx>
            <c:strRef>
              <c:f>Sensitivity!$Q$4</c:f>
              <c:strCache>
                <c:ptCount val="1"/>
                <c:pt idx="0">
                  <c:v>Fuel price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Sensitivity!$Q$5:$Q$15</c:f>
              <c:numCache>
                <c:formatCode>0</c:formatCode>
                <c:ptCount val="11"/>
                <c:pt idx="0">
                  <c:v>-24.172700884987403</c:v>
                </c:pt>
                <c:pt idx="1">
                  <c:v>-19.338160707989907</c:v>
                </c:pt>
                <c:pt idx="2">
                  <c:v>-14.503620530992453</c:v>
                </c:pt>
                <c:pt idx="3">
                  <c:v>-9.6690803539949606</c:v>
                </c:pt>
                <c:pt idx="4">
                  <c:v>-4.834540176997467</c:v>
                </c:pt>
                <c:pt idx="5">
                  <c:v>0</c:v>
                </c:pt>
                <c:pt idx="6">
                  <c:v>4.834540176997467</c:v>
                </c:pt>
                <c:pt idx="7">
                  <c:v>9.6690803539949339</c:v>
                </c:pt>
                <c:pt idx="8">
                  <c:v>14.503620530992428</c:v>
                </c:pt>
                <c:pt idx="9">
                  <c:v>19.338160707989882</c:v>
                </c:pt>
                <c:pt idx="10">
                  <c:v>24.172700884987361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34-4349-B376-8F35DFA75560}"/>
            </c:ext>
          </c:extLst>
        </c:ser>
        <c:ser>
          <c:idx val="3"/>
          <c:order val="2"/>
          <c:tx>
            <c:strRef>
              <c:f>Sensitivity!$R$4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rgbClr val="5B9BD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5B9BD5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Sensitivity!$R$5:$R$15</c:f>
              <c:numCache>
                <c:formatCode>0</c:formatCode>
                <c:ptCount val="11"/>
                <c:pt idx="0">
                  <c:v>-8.2714664230594934</c:v>
                </c:pt>
                <c:pt idx="1">
                  <c:v>-6.6171731384476056</c:v>
                </c:pt>
                <c:pt idx="2">
                  <c:v>-4.9628798538357177</c:v>
                </c:pt>
                <c:pt idx="3">
                  <c:v>-3.308586569223789</c:v>
                </c:pt>
                <c:pt idx="4">
                  <c:v>-1.6542932846118878</c:v>
                </c:pt>
                <c:pt idx="5">
                  <c:v>0</c:v>
                </c:pt>
                <c:pt idx="6">
                  <c:v>1.6542932846118878</c:v>
                </c:pt>
                <c:pt idx="7">
                  <c:v>3.3085865692238028</c:v>
                </c:pt>
                <c:pt idx="8">
                  <c:v>4.9628798538357044</c:v>
                </c:pt>
                <c:pt idx="9">
                  <c:v>6.6171731384475923</c:v>
                </c:pt>
                <c:pt idx="10">
                  <c:v>8.2714664230594934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34-4349-B376-8F35DFA75560}"/>
            </c:ext>
          </c:extLst>
        </c:ser>
        <c:ser>
          <c:idx val="4"/>
          <c:order val="3"/>
          <c:tx>
            <c:strRef>
              <c:f>Sensitivity!$S$4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Sensitivity!$S$5:$S$15</c:f>
              <c:numCache>
                <c:formatCode>0</c:formatCode>
                <c:ptCount val="11"/>
                <c:pt idx="0">
                  <c:v>-32.444167308046886</c:v>
                </c:pt>
                <c:pt idx="1">
                  <c:v>-25.955333846437529</c:v>
                </c:pt>
                <c:pt idx="2">
                  <c:v>-19.466500384828116</c:v>
                </c:pt>
                <c:pt idx="3">
                  <c:v>-12.977666923218765</c:v>
                </c:pt>
                <c:pt idx="4">
                  <c:v>-6.4888334616093681</c:v>
                </c:pt>
                <c:pt idx="5">
                  <c:v>0</c:v>
                </c:pt>
                <c:pt idx="6">
                  <c:v>6.4888334616093948</c:v>
                </c:pt>
                <c:pt idx="7">
                  <c:v>12.977666923218736</c:v>
                </c:pt>
                <c:pt idx="8">
                  <c:v>19.466500384828091</c:v>
                </c:pt>
                <c:pt idx="9">
                  <c:v>25.955333846437501</c:v>
                </c:pt>
                <c:pt idx="10">
                  <c:v>32.444167308046865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34-4349-B376-8F35DFA75560}"/>
            </c:ext>
          </c:extLst>
        </c:ser>
        <c:ser>
          <c:idx val="5"/>
          <c:order val="4"/>
          <c:tx>
            <c:strRef>
              <c:f>Sensitivity!$T$4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Sensitivity!$T$5:$T$15</c:f>
              <c:numCache>
                <c:formatCode>0</c:formatCode>
                <c:ptCount val="11"/>
                <c:pt idx="0">
                  <c:v>24.172700884987361</c:v>
                </c:pt>
                <c:pt idx="1">
                  <c:v>19.338160707989882</c:v>
                </c:pt>
                <c:pt idx="2">
                  <c:v>14.503620530992428</c:v>
                </c:pt>
                <c:pt idx="3">
                  <c:v>9.6690803539949339</c:v>
                </c:pt>
                <c:pt idx="4">
                  <c:v>4.834540176997467</c:v>
                </c:pt>
                <c:pt idx="5">
                  <c:v>0</c:v>
                </c:pt>
                <c:pt idx="6">
                  <c:v>-4.834540176997467</c:v>
                </c:pt>
                <c:pt idx="7">
                  <c:v>-9.6690803539949606</c:v>
                </c:pt>
                <c:pt idx="8">
                  <c:v>-14.503620530992453</c:v>
                </c:pt>
                <c:pt idx="9">
                  <c:v>-19.338160707989907</c:v>
                </c:pt>
                <c:pt idx="10">
                  <c:v>-24.172700884987403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934-4349-B376-8F35DFA75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1017322242378667"/>
              <c:y val="0.44719021196936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3335261534572731"/>
              <c:y val="6.337712713547610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050823694356817E-2"/>
          <c:y val="0.85681146643479378"/>
          <c:w val="0.94665685519593967"/>
          <c:h val="0.1302926187140717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ICE-truck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140144195932564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Sensitivity!$P$19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Sensitivity!$P$20:$P$30</c:f>
              <c:numCache>
                <c:formatCode>0</c:formatCode>
                <c:ptCount val="11"/>
                <c:pt idx="0">
                  <c:v>-7.4188029411878773</c:v>
                </c:pt>
                <c:pt idx="1">
                  <c:v>-5.9350423529502967</c:v>
                </c:pt>
                <c:pt idx="2">
                  <c:v>-4.451281764712717</c:v>
                </c:pt>
                <c:pt idx="3">
                  <c:v>-2.9675211764751608</c:v>
                </c:pt>
                <c:pt idx="4">
                  <c:v>-1.4837605882375804</c:v>
                </c:pt>
                <c:pt idx="5">
                  <c:v>0</c:v>
                </c:pt>
                <c:pt idx="6">
                  <c:v>1.4837605882375557</c:v>
                </c:pt>
                <c:pt idx="7">
                  <c:v>2.9675211764751364</c:v>
                </c:pt>
                <c:pt idx="8">
                  <c:v>4.451281764712717</c:v>
                </c:pt>
                <c:pt idx="9">
                  <c:v>5.9350423529502727</c:v>
                </c:pt>
                <c:pt idx="10">
                  <c:v>7.4188029411878533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FE-42D2-8032-B2EDAC64A856}"/>
            </c:ext>
          </c:extLst>
        </c:ser>
        <c:ser>
          <c:idx val="2"/>
          <c:order val="1"/>
          <c:tx>
            <c:strRef>
              <c:f>Sensitivity!$Q$19</c:f>
              <c:strCache>
                <c:ptCount val="1"/>
                <c:pt idx="0">
                  <c:v>Fuel price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Sensitivity!$Q$20:$Q$30</c:f>
              <c:numCache>
                <c:formatCode>0</c:formatCode>
                <c:ptCount val="11"/>
                <c:pt idx="0">
                  <c:v>-29.197197496030974</c:v>
                </c:pt>
                <c:pt idx="1">
                  <c:v>-23.357757996824784</c:v>
                </c:pt>
                <c:pt idx="2">
                  <c:v>-17.518318497618584</c:v>
                </c:pt>
                <c:pt idx="3">
                  <c:v>-11.678878998412403</c:v>
                </c:pt>
                <c:pt idx="4">
                  <c:v>-5.839439499206196</c:v>
                </c:pt>
                <c:pt idx="5">
                  <c:v>0</c:v>
                </c:pt>
                <c:pt idx="6">
                  <c:v>5.8394394992061827</c:v>
                </c:pt>
                <c:pt idx="7">
                  <c:v>11.678878998412403</c:v>
                </c:pt>
                <c:pt idx="8">
                  <c:v>17.518318497618584</c:v>
                </c:pt>
                <c:pt idx="9">
                  <c:v>23.35775799682477</c:v>
                </c:pt>
                <c:pt idx="10">
                  <c:v>29.197197496030952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FE-42D2-8032-B2EDAC64A856}"/>
            </c:ext>
          </c:extLst>
        </c:ser>
        <c:ser>
          <c:idx val="3"/>
          <c:order val="2"/>
          <c:tx>
            <c:strRef>
              <c:f>Sensitivity!$R$19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rgbClr val="5B9BD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5B9BD5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Sensitivity!$R$20:$R$30</c:f>
              <c:numCache>
                <c:formatCode>0</c:formatCode>
                <c:ptCount val="11"/>
                <c:pt idx="0">
                  <c:v>-14.70995225046604</c:v>
                </c:pt>
                <c:pt idx="1">
                  <c:v>-11.767961800372815</c:v>
                </c:pt>
                <c:pt idx="2">
                  <c:v>-8.8259713502796266</c:v>
                </c:pt>
                <c:pt idx="3">
                  <c:v>-5.8839809001864136</c:v>
                </c:pt>
                <c:pt idx="4">
                  <c:v>-2.941990450093213</c:v>
                </c:pt>
                <c:pt idx="5">
                  <c:v>0</c:v>
                </c:pt>
                <c:pt idx="6">
                  <c:v>2.9419904500931882</c:v>
                </c:pt>
                <c:pt idx="7">
                  <c:v>5.8839809001863888</c:v>
                </c:pt>
                <c:pt idx="8">
                  <c:v>8.8259713502796018</c:v>
                </c:pt>
                <c:pt idx="9">
                  <c:v>11.767961800372815</c:v>
                </c:pt>
                <c:pt idx="10">
                  <c:v>14.709952250466005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FE-42D2-8032-B2EDAC64A856}"/>
            </c:ext>
          </c:extLst>
        </c:ser>
        <c:ser>
          <c:idx val="4"/>
          <c:order val="3"/>
          <c:tx>
            <c:strRef>
              <c:f>Sensitivity!$S$19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Sensitivity!$S$20:$S$30</c:f>
              <c:numCache>
                <c:formatCode>0</c:formatCode>
                <c:ptCount val="11"/>
                <c:pt idx="0">
                  <c:v>-43.907149746497005</c:v>
                </c:pt>
                <c:pt idx="1">
                  <c:v>-35.125719797197604</c:v>
                </c:pt>
                <c:pt idx="2">
                  <c:v>-26.344289847898221</c:v>
                </c:pt>
                <c:pt idx="3">
                  <c:v>-17.562859898598802</c:v>
                </c:pt>
                <c:pt idx="4">
                  <c:v>-8.7814299492994081</c:v>
                </c:pt>
                <c:pt idx="5">
                  <c:v>0</c:v>
                </c:pt>
                <c:pt idx="6">
                  <c:v>8.7814299492994206</c:v>
                </c:pt>
                <c:pt idx="7">
                  <c:v>17.562859898598777</c:v>
                </c:pt>
                <c:pt idx="8">
                  <c:v>26.344289847898178</c:v>
                </c:pt>
                <c:pt idx="9">
                  <c:v>35.125719797197547</c:v>
                </c:pt>
                <c:pt idx="10">
                  <c:v>43.907149746496991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FE-42D2-8032-B2EDAC64A856}"/>
            </c:ext>
          </c:extLst>
        </c:ser>
        <c:ser>
          <c:idx val="5"/>
          <c:order val="4"/>
          <c:tx>
            <c:strRef>
              <c:f>Sensitivity!$T$19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Sensitivity!$T$20:$T$30</c:f>
              <c:numCache>
                <c:formatCode>0</c:formatCode>
                <c:ptCount val="11"/>
                <c:pt idx="0">
                  <c:v>29.197197496030952</c:v>
                </c:pt>
                <c:pt idx="1">
                  <c:v>23.35775799682477</c:v>
                </c:pt>
                <c:pt idx="2">
                  <c:v>17.518318497618584</c:v>
                </c:pt>
                <c:pt idx="3">
                  <c:v>11.678878998412403</c:v>
                </c:pt>
                <c:pt idx="4">
                  <c:v>5.8394394992061827</c:v>
                </c:pt>
                <c:pt idx="5">
                  <c:v>0</c:v>
                </c:pt>
                <c:pt idx="6">
                  <c:v>-5.839439499206196</c:v>
                </c:pt>
                <c:pt idx="7">
                  <c:v>-11.678878998412403</c:v>
                </c:pt>
                <c:pt idx="8">
                  <c:v>-17.518318497618584</c:v>
                </c:pt>
                <c:pt idx="9">
                  <c:v>-23.357757996824784</c:v>
                </c:pt>
                <c:pt idx="10">
                  <c:v>-29.197197496030974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FFE-42D2-8032-B2EDAC64A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1456332154786084"/>
              <c:y val="0.442511129299841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3335261534572731"/>
              <c:y val="6.337712713547610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050823694356817E-2"/>
          <c:y val="0.85681146643479378"/>
          <c:w val="0.94665685519593967"/>
          <c:h val="0.1302926187140717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ICE-van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140144195932564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Sensitivity!$P$34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Sensitivity!$P$35:$P$45</c:f>
              <c:numCache>
                <c:formatCode>0</c:formatCode>
                <c:ptCount val="11"/>
                <c:pt idx="0">
                  <c:v>-15.964574810588511</c:v>
                </c:pt>
                <c:pt idx="1">
                  <c:v>-12.771659848470804</c:v>
                </c:pt>
                <c:pt idx="2">
                  <c:v>-9.5787448863531015</c:v>
                </c:pt>
                <c:pt idx="3">
                  <c:v>-6.3858299242353951</c:v>
                </c:pt>
                <c:pt idx="4">
                  <c:v>-3.1929149621176913</c:v>
                </c:pt>
                <c:pt idx="5">
                  <c:v>0</c:v>
                </c:pt>
                <c:pt idx="6">
                  <c:v>3.1929149621177184</c:v>
                </c:pt>
                <c:pt idx="7">
                  <c:v>6.3858299242354093</c:v>
                </c:pt>
                <c:pt idx="8">
                  <c:v>9.5787448863531139</c:v>
                </c:pt>
                <c:pt idx="9">
                  <c:v>12.771659848470819</c:v>
                </c:pt>
                <c:pt idx="10">
                  <c:v>15.964574810588525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2E-4616-8C33-81D39088C710}"/>
            </c:ext>
          </c:extLst>
        </c:ser>
        <c:ser>
          <c:idx val="2"/>
          <c:order val="1"/>
          <c:tx>
            <c:strRef>
              <c:f>Sensitivity!$Q$34</c:f>
              <c:strCache>
                <c:ptCount val="1"/>
                <c:pt idx="0">
                  <c:v>Fuel price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Sensitivity!$Q$35:$Q$45</c:f>
              <c:numCache>
                <c:formatCode>0</c:formatCode>
                <c:ptCount val="11"/>
                <c:pt idx="0">
                  <c:v>-26.696761369401369</c:v>
                </c:pt>
                <c:pt idx="1">
                  <c:v>-21.357409095521088</c:v>
                </c:pt>
                <c:pt idx="2">
                  <c:v>-16.018056821640819</c:v>
                </c:pt>
                <c:pt idx="3">
                  <c:v>-10.678704547760537</c:v>
                </c:pt>
                <c:pt idx="4">
                  <c:v>-5.3393522738802686</c:v>
                </c:pt>
                <c:pt idx="5">
                  <c:v>0</c:v>
                </c:pt>
                <c:pt idx="6">
                  <c:v>5.3393522738802952</c:v>
                </c:pt>
                <c:pt idx="7">
                  <c:v>10.678704547760564</c:v>
                </c:pt>
                <c:pt idx="8">
                  <c:v>16.018056821640847</c:v>
                </c:pt>
                <c:pt idx="9">
                  <c:v>21.357409095521113</c:v>
                </c:pt>
                <c:pt idx="10">
                  <c:v>26.696761369401383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2E-4616-8C33-81D39088C710}"/>
            </c:ext>
          </c:extLst>
        </c:ser>
        <c:ser>
          <c:idx val="3"/>
          <c:order val="2"/>
          <c:tx>
            <c:strRef>
              <c:f>Sensitivity!$R$34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rgbClr val="5B9BD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5B9BD5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Sensitivity!$R$35:$R$45</c:f>
              <c:numCache>
                <c:formatCode>0</c:formatCode>
                <c:ptCount val="11"/>
                <c:pt idx="0">
                  <c:v>-10.195532335192413</c:v>
                </c:pt>
                <c:pt idx="1">
                  <c:v>-8.1564258681539332</c:v>
                </c:pt>
                <c:pt idx="2">
                  <c:v>-6.1173194011154663</c:v>
                </c:pt>
                <c:pt idx="3">
                  <c:v>-4.0782129340769728</c:v>
                </c:pt>
                <c:pt idx="4">
                  <c:v>-2.0391064670384935</c:v>
                </c:pt>
                <c:pt idx="5">
                  <c:v>0</c:v>
                </c:pt>
                <c:pt idx="6">
                  <c:v>2.0391064670384935</c:v>
                </c:pt>
                <c:pt idx="7">
                  <c:v>4.0782129340769595</c:v>
                </c:pt>
                <c:pt idx="8">
                  <c:v>6.1173194011154948</c:v>
                </c:pt>
                <c:pt idx="9">
                  <c:v>8.1564258681539599</c:v>
                </c:pt>
                <c:pt idx="10">
                  <c:v>10.195532335192453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2E-4616-8C33-81D39088C710}"/>
            </c:ext>
          </c:extLst>
        </c:ser>
        <c:ser>
          <c:idx val="4"/>
          <c:order val="3"/>
          <c:tx>
            <c:strRef>
              <c:f>Sensitivity!$S$34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Sensitivity!$S$35:$S$45</c:f>
              <c:numCache>
                <c:formatCode>0</c:formatCode>
                <c:ptCount val="11"/>
                <c:pt idx="0">
                  <c:v>-36.892293704593818</c:v>
                </c:pt>
                <c:pt idx="1">
                  <c:v>-29.513834963675063</c:v>
                </c:pt>
                <c:pt idx="2">
                  <c:v>-22.135376222756285</c:v>
                </c:pt>
                <c:pt idx="3">
                  <c:v>-14.756917481837522</c:v>
                </c:pt>
                <c:pt idx="4">
                  <c:v>-7.378458740918747</c:v>
                </c:pt>
                <c:pt idx="5">
                  <c:v>0</c:v>
                </c:pt>
                <c:pt idx="6">
                  <c:v>7.3784587409187754</c:v>
                </c:pt>
                <c:pt idx="7">
                  <c:v>14.756917481837537</c:v>
                </c:pt>
                <c:pt idx="8">
                  <c:v>22.1353762227563</c:v>
                </c:pt>
                <c:pt idx="9">
                  <c:v>29.513834963675034</c:v>
                </c:pt>
                <c:pt idx="10">
                  <c:v>36.892293704593847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2E-4616-8C33-81D39088C710}"/>
            </c:ext>
          </c:extLst>
        </c:ser>
        <c:ser>
          <c:idx val="5"/>
          <c:order val="4"/>
          <c:tx>
            <c:strRef>
              <c:f>Sensitivity!$T$34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Sensitivity!$T$35:$T$45</c:f>
              <c:numCache>
                <c:formatCode>0</c:formatCode>
                <c:ptCount val="11"/>
                <c:pt idx="0">
                  <c:v>26.696761369401383</c:v>
                </c:pt>
                <c:pt idx="1">
                  <c:v>21.357409095521113</c:v>
                </c:pt>
                <c:pt idx="2">
                  <c:v>16.018056821640847</c:v>
                </c:pt>
                <c:pt idx="3">
                  <c:v>10.678704547760564</c:v>
                </c:pt>
                <c:pt idx="4">
                  <c:v>5.3393522738802952</c:v>
                </c:pt>
                <c:pt idx="5">
                  <c:v>0</c:v>
                </c:pt>
                <c:pt idx="6">
                  <c:v>-5.3393522738802686</c:v>
                </c:pt>
                <c:pt idx="7">
                  <c:v>-10.678704547760537</c:v>
                </c:pt>
                <c:pt idx="8">
                  <c:v>-16.018056821640819</c:v>
                </c:pt>
                <c:pt idx="9">
                  <c:v>-21.357409095521088</c:v>
                </c:pt>
                <c:pt idx="10">
                  <c:v>-26.696761369401369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2E-4616-8C33-81D39088C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2215807039974622"/>
              <c:y val="0.439659336318922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∆TCO (%)</a:t>
                </a:r>
              </a:p>
            </c:rich>
          </c:tx>
          <c:layout>
            <c:manualLayout>
              <c:xMode val="edge"/>
              <c:yMode val="edge"/>
              <c:x val="0.52920813154493507"/>
              <c:y val="6.383081575746381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050823694356817E-2"/>
          <c:y val="0.85182033803049384"/>
          <c:w val="0.94665685519593967"/>
          <c:h val="0.1352837259205838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62600" cy="4029075"/>
    <xdr:graphicFrame macro="">
      <xdr:nvGraphicFramePr>
        <xdr:cNvPr id="1824194818" name="Chart 1">
          <a:extLst>
            <a:ext uri="{FF2B5EF4-FFF2-40B4-BE49-F238E27FC236}">
              <a16:creationId xmlns:a16="http://schemas.microsoft.com/office/drawing/2014/main" id="{00000000-0008-0000-0100-00000201BB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5572125" cy="4029075"/>
    <xdr:graphicFrame macro="">
      <xdr:nvGraphicFramePr>
        <xdr:cNvPr id="203906877" name="Chart 2">
          <a:extLst>
            <a:ext uri="{FF2B5EF4-FFF2-40B4-BE49-F238E27FC236}">
              <a16:creationId xmlns:a16="http://schemas.microsoft.com/office/drawing/2014/main" id="{00000000-0008-0000-0100-00003D5F2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43550" cy="4029075"/>
    <xdr:graphicFrame macro="">
      <xdr:nvGraphicFramePr>
        <xdr:cNvPr id="47332026" name="Chart 4">
          <a:extLst>
            <a:ext uri="{FF2B5EF4-FFF2-40B4-BE49-F238E27FC236}">
              <a16:creationId xmlns:a16="http://schemas.microsoft.com/office/drawing/2014/main" id="{00000000-0008-0000-0200-0000BA3AD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4657725" cy="4029075"/>
    <xdr:graphicFrame macro="">
      <xdr:nvGraphicFramePr>
        <xdr:cNvPr id="1406135795" name="Chart 5">
          <a:extLst>
            <a:ext uri="{FF2B5EF4-FFF2-40B4-BE49-F238E27FC236}">
              <a16:creationId xmlns:a16="http://schemas.microsoft.com/office/drawing/2014/main" id="{00000000-0008-0000-0200-0000F3EDC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62600" cy="4029075"/>
    <xdr:graphicFrame macro="">
      <xdr:nvGraphicFramePr>
        <xdr:cNvPr id="1475806320" name="Chart 7">
          <a:extLst>
            <a:ext uri="{FF2B5EF4-FFF2-40B4-BE49-F238E27FC236}">
              <a16:creationId xmlns:a16="http://schemas.microsoft.com/office/drawing/2014/main" id="{00000000-0008-0000-0300-00007004F7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5572125" cy="4029075"/>
    <xdr:graphicFrame macro="">
      <xdr:nvGraphicFramePr>
        <xdr:cNvPr id="926944346" name="Chart 8">
          <a:extLst>
            <a:ext uri="{FF2B5EF4-FFF2-40B4-BE49-F238E27FC236}">
              <a16:creationId xmlns:a16="http://schemas.microsoft.com/office/drawing/2014/main" id="{00000000-0008-0000-0300-00005A0C40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43550" cy="4029075"/>
    <xdr:graphicFrame macro="">
      <xdr:nvGraphicFramePr>
        <xdr:cNvPr id="2124115916" name="Chart 10">
          <a:extLst>
            <a:ext uri="{FF2B5EF4-FFF2-40B4-BE49-F238E27FC236}">
              <a16:creationId xmlns:a16="http://schemas.microsoft.com/office/drawing/2014/main" id="{00000000-0008-0000-0400-0000CC6F9B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4657725" cy="4029075"/>
    <xdr:graphicFrame macro="">
      <xdr:nvGraphicFramePr>
        <xdr:cNvPr id="1447747063" name="Chart 11">
          <a:extLst>
            <a:ext uri="{FF2B5EF4-FFF2-40B4-BE49-F238E27FC236}">
              <a16:creationId xmlns:a16="http://schemas.microsoft.com/office/drawing/2014/main" id="{00000000-0008-0000-0400-0000F7DD4A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62600" cy="4029075"/>
    <xdr:graphicFrame macro="">
      <xdr:nvGraphicFramePr>
        <xdr:cNvPr id="788266121" name="Chart 13">
          <a:extLst>
            <a:ext uri="{FF2B5EF4-FFF2-40B4-BE49-F238E27FC236}">
              <a16:creationId xmlns:a16="http://schemas.microsoft.com/office/drawing/2014/main" id="{00000000-0008-0000-0500-000089FCFB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5572125" cy="4029075"/>
    <xdr:graphicFrame macro="">
      <xdr:nvGraphicFramePr>
        <xdr:cNvPr id="369090592" name="Chart 14">
          <a:extLst>
            <a:ext uri="{FF2B5EF4-FFF2-40B4-BE49-F238E27FC236}">
              <a16:creationId xmlns:a16="http://schemas.microsoft.com/office/drawing/2014/main" id="{00000000-0008-0000-0500-000020E0F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43550" cy="4029075"/>
    <xdr:graphicFrame macro="">
      <xdr:nvGraphicFramePr>
        <xdr:cNvPr id="2056312792" name="Chart 16">
          <a:extLst>
            <a:ext uri="{FF2B5EF4-FFF2-40B4-BE49-F238E27FC236}">
              <a16:creationId xmlns:a16="http://schemas.microsoft.com/office/drawing/2014/main" id="{00000000-0008-0000-0600-0000D8D790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4657725" cy="4029075"/>
    <xdr:graphicFrame macro="">
      <xdr:nvGraphicFramePr>
        <xdr:cNvPr id="963846776" name="Chart 17">
          <a:extLst>
            <a:ext uri="{FF2B5EF4-FFF2-40B4-BE49-F238E27FC236}">
              <a16:creationId xmlns:a16="http://schemas.microsoft.com/office/drawing/2014/main" id="{00000000-0008-0000-0600-0000782273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336860</xdr:colOff>
      <xdr:row>2</xdr:row>
      <xdr:rowOff>0</xdr:rowOff>
    </xdr:from>
    <xdr:to>
      <xdr:col>13</xdr:col>
      <xdr:colOff>124516</xdr:colOff>
      <xdr:row>15</xdr:row>
      <xdr:rowOff>144223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96DD8A9-B024-472C-A591-52CB795FFF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336860</xdr:colOff>
      <xdr:row>17</xdr:row>
      <xdr:rowOff>0</xdr:rowOff>
    </xdr:from>
    <xdr:to>
      <xdr:col>13</xdr:col>
      <xdr:colOff>121674</xdr:colOff>
      <xdr:row>30</xdr:row>
      <xdr:rowOff>144222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D416514-5957-4A4F-942F-8E2724E83D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336859</xdr:colOff>
      <xdr:row>32</xdr:row>
      <xdr:rowOff>0</xdr:rowOff>
    </xdr:from>
    <xdr:to>
      <xdr:col>13</xdr:col>
      <xdr:colOff>121673</xdr:colOff>
      <xdr:row>45</xdr:row>
      <xdr:rowOff>144222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94FEFD5-5B23-41E7-864E-B0AF98F445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21</xdr:col>
      <xdr:colOff>0</xdr:colOff>
      <xdr:row>2</xdr:row>
      <xdr:rowOff>0</xdr:rowOff>
    </xdr:from>
    <xdr:to>
      <xdr:col>25</xdr:col>
      <xdr:colOff>460869</xdr:colOff>
      <xdr:row>15</xdr:row>
      <xdr:rowOff>144223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266E0C3-FB76-4EAC-BB4D-88FCB2CA50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20</xdr:col>
      <xdr:colOff>592408</xdr:colOff>
      <xdr:row>17</xdr:row>
      <xdr:rowOff>34847</xdr:rowOff>
    </xdr:from>
    <xdr:to>
      <xdr:col>25</xdr:col>
      <xdr:colOff>449253</xdr:colOff>
      <xdr:row>30</xdr:row>
      <xdr:rowOff>179069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6B779F8-D35F-4C76-A468-FC133EFB87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21</xdr:col>
      <xdr:colOff>0</xdr:colOff>
      <xdr:row>32</xdr:row>
      <xdr:rowOff>0</xdr:rowOff>
    </xdr:from>
    <xdr:to>
      <xdr:col>25</xdr:col>
      <xdr:colOff>460869</xdr:colOff>
      <xdr:row>45</xdr:row>
      <xdr:rowOff>144222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FDA450F-26B0-47C3-86B9-61623AD060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6908e728f1b34df/Paper%20ERIA/Xls%20baru%2029092024/TCO_Thailand%2025092024.xlsx" TargetMode="External"/><Relationship Id="rId1" Type="http://schemas.openxmlformats.org/officeDocument/2006/relationships/externalLinkPath" Target="TCO_Thailand%202509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-Bus TH"/>
      <sheetName val="ICE-Bus TH"/>
      <sheetName val="E-Truck TH"/>
      <sheetName val="ICE-Truck TH"/>
      <sheetName val="E-Cargo TH"/>
      <sheetName val="ICE-Cargo TH"/>
      <sheetName val="Sensitivity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C4" t="str">
            <v>Vehicle Price</v>
          </cell>
          <cell r="D4" t="str">
            <v>Electricity tarrif</v>
          </cell>
          <cell r="E4" t="str">
            <v>Battery cost</v>
          </cell>
          <cell r="F4" t="str">
            <v>AKT</v>
          </cell>
          <cell r="G4" t="str">
            <v>O&amp;M costs</v>
          </cell>
          <cell r="H4" t="str">
            <v>Energy Efficiency</v>
          </cell>
          <cell r="P4" t="str">
            <v>Vehicle Price</v>
          </cell>
          <cell r="Q4" t="str">
            <v>Fuel price</v>
          </cell>
          <cell r="R4" t="str">
            <v>O&amp;M costs</v>
          </cell>
          <cell r="S4" t="str">
            <v>AKT</v>
          </cell>
          <cell r="T4" t="str">
            <v>Energy Efficiency</v>
          </cell>
        </row>
        <row r="5">
          <cell r="B5">
            <v>-50</v>
          </cell>
          <cell r="C5">
            <v>-33.91886901865854</v>
          </cell>
          <cell r="D5">
            <v>-8.6848791959787892</v>
          </cell>
          <cell r="E5">
            <v>-3.9335217890154777</v>
          </cell>
          <cell r="F5">
            <v>-22.706613958277778</v>
          </cell>
          <cell r="G5">
            <v>-14.021734762298971</v>
          </cell>
          <cell r="H5">
            <v>8.6848791959788212</v>
          </cell>
          <cell r="O5">
            <v>-50</v>
          </cell>
          <cell r="P5">
            <v>-15.854368027842799</v>
          </cell>
          <cell r="Q5">
            <v>-29.202684266710367</v>
          </cell>
          <cell r="R5">
            <v>-9.252787616740612</v>
          </cell>
          <cell r="S5">
            <v>-38.455471883450983</v>
          </cell>
          <cell r="T5">
            <v>29.202684266710367</v>
          </cell>
        </row>
        <row r="6">
          <cell r="B6">
            <v>-40</v>
          </cell>
          <cell r="C6">
            <v>-27.135095214926842</v>
          </cell>
          <cell r="D6">
            <v>-6.9479033567830477</v>
          </cell>
          <cell r="E6">
            <v>-3.1468174312123667</v>
          </cell>
          <cell r="F6">
            <v>-18.165291166622222</v>
          </cell>
          <cell r="G6">
            <v>-11.217387809839174</v>
          </cell>
          <cell r="H6">
            <v>6.9479033567830788</v>
          </cell>
          <cell r="O6">
            <v>-40</v>
          </cell>
          <cell r="P6">
            <v>-12.683494422274244</v>
          </cell>
          <cell r="Q6">
            <v>-23.362147413368277</v>
          </cell>
          <cell r="R6">
            <v>-7.402230093392502</v>
          </cell>
          <cell r="S6">
            <v>-30.764377506760798</v>
          </cell>
          <cell r="T6">
            <v>23.362147413368277</v>
          </cell>
        </row>
        <row r="7">
          <cell r="B7">
            <v>-30</v>
          </cell>
          <cell r="C7">
            <v>-20.35132141119513</v>
          </cell>
          <cell r="D7">
            <v>-5.2109275175872742</v>
          </cell>
          <cell r="E7">
            <v>-2.3601130734092868</v>
          </cell>
          <cell r="F7">
            <v>-13.623968374966635</v>
          </cell>
          <cell r="G7">
            <v>-8.4130408573793929</v>
          </cell>
          <cell r="H7">
            <v>5.2109275175873053</v>
          </cell>
          <cell r="O7">
            <v>-30</v>
          </cell>
          <cell r="P7">
            <v>-9.512620816705688</v>
          </cell>
          <cell r="Q7">
            <v>-17.521610560026208</v>
          </cell>
          <cell r="R7">
            <v>-5.5516725700443592</v>
          </cell>
          <cell r="S7">
            <v>-23.073283130070585</v>
          </cell>
          <cell r="T7">
            <v>17.521610560026208</v>
          </cell>
        </row>
        <row r="8">
          <cell r="B8">
            <v>-20</v>
          </cell>
          <cell r="C8">
            <v>-13.567547607463407</v>
          </cell>
          <cell r="D8">
            <v>-3.4739516783915008</v>
          </cell>
          <cell r="E8">
            <v>-1.5734087156061911</v>
          </cell>
          <cell r="F8">
            <v>-9.0826455833110806</v>
          </cell>
          <cell r="G8">
            <v>-5.6086939049195639</v>
          </cell>
          <cell r="H8">
            <v>3.4739516783915318</v>
          </cell>
          <cell r="O8">
            <v>-20</v>
          </cell>
          <cell r="P8">
            <v>-6.3417472111371138</v>
          </cell>
          <cell r="Q8">
            <v>-11.681073706684156</v>
          </cell>
          <cell r="R8">
            <v>-3.701115046696251</v>
          </cell>
          <cell r="S8">
            <v>-15.38218875338039</v>
          </cell>
          <cell r="T8">
            <v>11.681073706684138</v>
          </cell>
        </row>
        <row r="9">
          <cell r="B9">
            <v>-10</v>
          </cell>
          <cell r="C9">
            <v>-6.7837738037316946</v>
          </cell>
          <cell r="D9">
            <v>-1.7369758391957268</v>
          </cell>
          <cell r="E9">
            <v>-0.78670435780309556</v>
          </cell>
          <cell r="F9">
            <v>-4.5413227916555243</v>
          </cell>
          <cell r="G9">
            <v>-2.8043469524597819</v>
          </cell>
          <cell r="H9">
            <v>1.7369758391957892</v>
          </cell>
          <cell r="O9">
            <v>-10</v>
          </cell>
          <cell r="P9">
            <v>-3.1708736055685569</v>
          </cell>
          <cell r="Q9">
            <v>-5.8405368533420523</v>
          </cell>
          <cell r="R9">
            <v>-1.8505575233481255</v>
          </cell>
          <cell r="S9">
            <v>-7.691094376690212</v>
          </cell>
          <cell r="T9">
            <v>5.8405368533420869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</row>
        <row r="11">
          <cell r="B11">
            <v>10</v>
          </cell>
          <cell r="C11">
            <v>6.7837738037317266</v>
          </cell>
          <cell r="D11">
            <v>1.7369758391957892</v>
          </cell>
          <cell r="E11">
            <v>0.78670435780309556</v>
          </cell>
          <cell r="F11">
            <v>4.5413227916556025</v>
          </cell>
          <cell r="G11">
            <v>2.8043469524598286</v>
          </cell>
          <cell r="H11">
            <v>-1.7369758391957268</v>
          </cell>
          <cell r="O11">
            <v>10</v>
          </cell>
          <cell r="P11">
            <v>3.1708736055685569</v>
          </cell>
          <cell r="Q11">
            <v>5.8405368533420869</v>
          </cell>
          <cell r="R11">
            <v>1.8505575233481428</v>
          </cell>
          <cell r="S11">
            <v>7.691094376690212</v>
          </cell>
          <cell r="T11">
            <v>-5.8405368533420523</v>
          </cell>
        </row>
        <row r="12">
          <cell r="B12">
            <v>20</v>
          </cell>
          <cell r="C12">
            <v>13.567547607463421</v>
          </cell>
          <cell r="D12">
            <v>3.4739516783915318</v>
          </cell>
          <cell r="E12">
            <v>1.5734087156062067</v>
          </cell>
          <cell r="F12">
            <v>11.867236970441136</v>
          </cell>
          <cell r="G12">
            <v>5.608693904919611</v>
          </cell>
          <cell r="H12">
            <v>-3.4739516783915008</v>
          </cell>
          <cell r="O12">
            <v>20</v>
          </cell>
          <cell r="P12">
            <v>6.3417472111371307</v>
          </cell>
          <cell r="Q12">
            <v>11.681073706684138</v>
          </cell>
          <cell r="R12">
            <v>3.701115046696251</v>
          </cell>
          <cell r="S12">
            <v>15.38218875338039</v>
          </cell>
          <cell r="T12">
            <v>-11.681073706684156</v>
          </cell>
        </row>
        <row r="13">
          <cell r="B13">
            <v>30</v>
          </cell>
          <cell r="C13">
            <v>20.35132141119513</v>
          </cell>
          <cell r="D13">
            <v>5.2109275175873053</v>
          </cell>
          <cell r="E13">
            <v>2.3601130734093023</v>
          </cell>
          <cell r="F13">
            <v>16.547789331453181</v>
          </cell>
          <cell r="G13">
            <v>8.4130408573794391</v>
          </cell>
          <cell r="H13">
            <v>-5.2109275175872742</v>
          </cell>
          <cell r="O13">
            <v>30</v>
          </cell>
          <cell r="P13">
            <v>9.512620816705688</v>
          </cell>
          <cell r="Q13">
            <v>17.521610560026208</v>
          </cell>
          <cell r="R13">
            <v>5.551672570044377</v>
          </cell>
          <cell r="S13">
            <v>23.073283130070603</v>
          </cell>
          <cell r="T13">
            <v>-17.521610560026208</v>
          </cell>
        </row>
        <row r="14">
          <cell r="B14">
            <v>40</v>
          </cell>
          <cell r="C14">
            <v>27.135095214926842</v>
          </cell>
          <cell r="D14">
            <v>6.9479033567830788</v>
          </cell>
          <cell r="E14">
            <v>3.1468174312123667</v>
          </cell>
          <cell r="F14">
            <v>21.23530317093309</v>
          </cell>
          <cell r="G14">
            <v>11.217387809839236</v>
          </cell>
          <cell r="H14">
            <v>-6.9479033567830477</v>
          </cell>
          <cell r="O14">
            <v>40</v>
          </cell>
          <cell r="P14">
            <v>12.683494422274244</v>
          </cell>
          <cell r="Q14">
            <v>23.362147413368277</v>
          </cell>
          <cell r="R14">
            <v>7.4022300933924852</v>
          </cell>
          <cell r="S14">
            <v>30.764377506760766</v>
          </cell>
          <cell r="T14">
            <v>-23.362147413368277</v>
          </cell>
        </row>
        <row r="15">
          <cell r="B15">
            <v>50</v>
          </cell>
          <cell r="C15">
            <v>33.918869018658555</v>
          </cell>
          <cell r="D15">
            <v>8.6848791959788212</v>
          </cell>
          <cell r="E15">
            <v>3.9335217890154621</v>
          </cell>
          <cell r="F15">
            <v>25.776625962588611</v>
          </cell>
          <cell r="G15">
            <v>14.021734762298987</v>
          </cell>
          <cell r="H15">
            <v>-8.6848791959787892</v>
          </cell>
          <cell r="O15">
            <v>50</v>
          </cell>
          <cell r="P15">
            <v>15.854368027842819</v>
          </cell>
          <cell r="Q15">
            <v>29.202684266710367</v>
          </cell>
          <cell r="R15">
            <v>9.252787616740628</v>
          </cell>
          <cell r="S15">
            <v>38.45547188345099</v>
          </cell>
          <cell r="T15">
            <v>-29.202684266710367</v>
          </cell>
        </row>
        <row r="19">
          <cell r="C19" t="str">
            <v>Vehicle Price</v>
          </cell>
          <cell r="D19" t="str">
            <v>Electricity tarrif</v>
          </cell>
          <cell r="E19" t="str">
            <v>Battery cost</v>
          </cell>
          <cell r="F19" t="str">
            <v>AKT</v>
          </cell>
          <cell r="G19" t="str">
            <v>O&amp;M costs</v>
          </cell>
          <cell r="H19" t="str">
            <v>Energy Efficiency</v>
          </cell>
          <cell r="P19" t="str">
            <v>Vehicle Price</v>
          </cell>
          <cell r="Q19" t="str">
            <v>Fuel price</v>
          </cell>
          <cell r="R19" t="str">
            <v>O&amp;M costs</v>
          </cell>
          <cell r="S19" t="str">
            <v>AKT</v>
          </cell>
          <cell r="T19" t="str">
            <v>Energy Efficiency</v>
          </cell>
        </row>
        <row r="20">
          <cell r="B20">
            <v>-50</v>
          </cell>
          <cell r="C20">
            <v>-31.334378733128059</v>
          </cell>
          <cell r="D20">
            <v>-6.013814651953564</v>
          </cell>
          <cell r="E20">
            <v>-4.5180452752601878</v>
          </cell>
          <cell r="F20">
            <v>-27.020026746178566</v>
          </cell>
          <cell r="G20">
            <v>-8.6627693469554448</v>
          </cell>
          <cell r="H20">
            <v>6.0138146519535107</v>
          </cell>
          <cell r="O20">
            <v>-50</v>
          </cell>
          <cell r="P20">
            <v>-6.1609276276644458</v>
          </cell>
          <cell r="Q20">
            <v>-30.826878875146811</v>
          </cell>
          <cell r="R20">
            <v>-14.381101091813321</v>
          </cell>
          <cell r="S20">
            <v>-45.207979966960146</v>
          </cell>
          <cell r="T20">
            <v>30.826878875146889</v>
          </cell>
        </row>
        <row r="21">
          <cell r="B21">
            <v>-40</v>
          </cell>
          <cell r="C21">
            <v>-25.067502986502443</v>
          </cell>
          <cell r="D21">
            <v>-4.8110517215628406</v>
          </cell>
          <cell r="E21">
            <v>-3.6144362202081322</v>
          </cell>
          <cell r="F21">
            <v>-23.552773794971479</v>
          </cell>
          <cell r="G21">
            <v>-6.9302154775643485</v>
          </cell>
          <cell r="H21">
            <v>4.8110517215628219</v>
          </cell>
          <cell r="O21">
            <v>-40</v>
          </cell>
          <cell r="P21">
            <v>-4.9287421021315598</v>
          </cell>
          <cell r="Q21">
            <v>-24.661503100117454</v>
          </cell>
          <cell r="R21">
            <v>-11.504880873450658</v>
          </cell>
          <cell r="S21">
            <v>-36.166383973568124</v>
          </cell>
          <cell r="T21">
            <v>24.6615031001175</v>
          </cell>
        </row>
        <row r="22">
          <cell r="B22">
            <v>-30</v>
          </cell>
          <cell r="C22">
            <v>-18.800627239876842</v>
          </cell>
          <cell r="D22">
            <v>-3.6082887911721344</v>
          </cell>
          <cell r="E22">
            <v>-2.7108271651561129</v>
          </cell>
          <cell r="F22">
            <v>-20.617456995189677</v>
          </cell>
          <cell r="G22">
            <v>-5.1976616081732878</v>
          </cell>
          <cell r="H22">
            <v>3.6082887911721344</v>
          </cell>
          <cell r="O22">
            <v>-30</v>
          </cell>
          <cell r="P22">
            <v>-3.6965565765986743</v>
          </cell>
          <cell r="Q22">
            <v>-18.496127325088089</v>
          </cell>
          <cell r="R22">
            <v>-8.6286606550879803</v>
          </cell>
          <cell r="S22">
            <v>-27.12478798017608</v>
          </cell>
          <cell r="T22">
            <v>18.496127325088125</v>
          </cell>
        </row>
        <row r="23">
          <cell r="B23">
            <v>-20</v>
          </cell>
          <cell r="C23">
            <v>-12.533751493251263</v>
          </cell>
          <cell r="D23">
            <v>-2.4055258607813936</v>
          </cell>
          <cell r="E23">
            <v>-1.8072181101040752</v>
          </cell>
          <cell r="F23">
            <v>-13.748093589337598</v>
          </cell>
          <cell r="G23">
            <v>-3.4651077387821743</v>
          </cell>
          <cell r="H23">
            <v>2.4055258607814292</v>
          </cell>
          <cell r="O23">
            <v>-20</v>
          </cell>
          <cell r="P23">
            <v>-2.4643710510657715</v>
          </cell>
          <cell r="Q23">
            <v>-12.330751550058695</v>
          </cell>
          <cell r="R23">
            <v>-5.7524404367253208</v>
          </cell>
          <cell r="S23">
            <v>-18.083191986784033</v>
          </cell>
          <cell r="T23">
            <v>12.33075155005875</v>
          </cell>
        </row>
        <row r="24">
          <cell r="B24">
            <v>-10</v>
          </cell>
          <cell r="C24">
            <v>-6.2668757466256135</v>
          </cell>
          <cell r="D24">
            <v>-1.2027629303907412</v>
          </cell>
          <cell r="E24">
            <v>-0.90360905505205547</v>
          </cell>
          <cell r="F24">
            <v>-10.812776789555814</v>
          </cell>
          <cell r="G24">
            <v>-1.7325538693910958</v>
          </cell>
          <cell r="H24">
            <v>1.2027629303906879</v>
          </cell>
          <cell r="O24">
            <v>-10</v>
          </cell>
          <cell r="P24">
            <v>-1.2321855255328857</v>
          </cell>
          <cell r="Q24">
            <v>-6.1653757750293563</v>
          </cell>
          <cell r="R24">
            <v>-2.8762202183626422</v>
          </cell>
          <cell r="S24">
            <v>-9.0415959933919989</v>
          </cell>
          <cell r="T24">
            <v>6.1653757750293918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6">
          <cell r="B26">
            <v>10</v>
          </cell>
          <cell r="C26">
            <v>6.2668757466256135</v>
          </cell>
          <cell r="D26">
            <v>1.2027629303906879</v>
          </cell>
          <cell r="E26">
            <v>0.90360905505201972</v>
          </cell>
          <cell r="F26">
            <v>2.9353167997817837</v>
          </cell>
          <cell r="G26">
            <v>1.732553869391078</v>
          </cell>
          <cell r="H26">
            <v>-1.2027629303907412</v>
          </cell>
          <cell r="O26">
            <v>10</v>
          </cell>
          <cell r="P26">
            <v>1.2321855255329033</v>
          </cell>
          <cell r="Q26">
            <v>6.1653757750293918</v>
          </cell>
          <cell r="R26">
            <v>2.8762202183626782</v>
          </cell>
          <cell r="S26">
            <v>9.0415959933920522</v>
          </cell>
          <cell r="T26">
            <v>-6.1653757750293563</v>
          </cell>
        </row>
        <row r="27">
          <cell r="B27">
            <v>20</v>
          </cell>
          <cell r="C27">
            <v>12.533751493251227</v>
          </cell>
          <cell r="D27">
            <v>2.405525860781411</v>
          </cell>
          <cell r="E27">
            <v>1.8072181101040574</v>
          </cell>
          <cell r="F27">
            <v>5.8706335995635861</v>
          </cell>
          <cell r="G27">
            <v>3.4651077387821561</v>
          </cell>
          <cell r="H27">
            <v>-2.4055258607813936</v>
          </cell>
          <cell r="O27">
            <v>20</v>
          </cell>
          <cell r="P27">
            <v>2.4643710510657888</v>
          </cell>
          <cell r="Q27">
            <v>12.33075155005875</v>
          </cell>
          <cell r="R27">
            <v>5.7524404367253563</v>
          </cell>
          <cell r="S27">
            <v>18.083191986784069</v>
          </cell>
          <cell r="T27">
            <v>-12.330751550058713</v>
          </cell>
        </row>
        <row r="28">
          <cell r="B28">
            <v>30</v>
          </cell>
          <cell r="C28">
            <v>18.800627239876803</v>
          </cell>
          <cell r="D28">
            <v>3.6082887911721344</v>
          </cell>
          <cell r="E28">
            <v>2.7108271651560951</v>
          </cell>
          <cell r="F28">
            <v>8.8059503993453507</v>
          </cell>
          <cell r="G28">
            <v>5.1976616081732523</v>
          </cell>
          <cell r="H28">
            <v>-3.6082887911721344</v>
          </cell>
          <cell r="O28">
            <v>30</v>
          </cell>
          <cell r="P28">
            <v>3.6965565765986925</v>
          </cell>
          <cell r="Q28">
            <v>18.496127325088125</v>
          </cell>
          <cell r="R28">
            <v>8.6286606550880336</v>
          </cell>
          <cell r="S28">
            <v>27.124787980176141</v>
          </cell>
          <cell r="T28">
            <v>-18.496127325088089</v>
          </cell>
        </row>
        <row r="29">
          <cell r="B29">
            <v>40</v>
          </cell>
          <cell r="C29">
            <v>25.067502986502422</v>
          </cell>
          <cell r="D29">
            <v>4.8110517215628219</v>
          </cell>
          <cell r="E29">
            <v>3.6144362202081148</v>
          </cell>
          <cell r="F29">
            <v>11.741267199127188</v>
          </cell>
          <cell r="G29">
            <v>6.9302154775643485</v>
          </cell>
          <cell r="H29">
            <v>-4.8110517215628406</v>
          </cell>
          <cell r="O29">
            <v>40</v>
          </cell>
          <cell r="P29">
            <v>4.9287421021315776</v>
          </cell>
          <cell r="Q29">
            <v>24.6615031001175</v>
          </cell>
          <cell r="R29">
            <v>11.504880873450677</v>
          </cell>
          <cell r="S29">
            <v>36.166383973568159</v>
          </cell>
          <cell r="T29">
            <v>-24.661503100117447</v>
          </cell>
        </row>
        <row r="30">
          <cell r="B30">
            <v>50</v>
          </cell>
          <cell r="C30">
            <v>31.334378733128066</v>
          </cell>
          <cell r="D30">
            <v>6.0138146519535107</v>
          </cell>
          <cell r="E30">
            <v>4.5180452752601523</v>
          </cell>
          <cell r="F30">
            <v>35.281640598553594</v>
          </cell>
          <cell r="G30">
            <v>8.6627693469554075</v>
          </cell>
          <cell r="H30">
            <v>-6.013814651953564</v>
          </cell>
          <cell r="O30">
            <v>50</v>
          </cell>
          <cell r="P30">
            <v>6.1609276276644636</v>
          </cell>
          <cell r="Q30">
            <v>30.826878875146889</v>
          </cell>
          <cell r="R30">
            <v>14.381101091813337</v>
          </cell>
          <cell r="S30">
            <v>45.207979966960195</v>
          </cell>
          <cell r="T30">
            <v>-30.826878875146811</v>
          </cell>
        </row>
        <row r="34">
          <cell r="C34" t="str">
            <v>Vehicle Price</v>
          </cell>
          <cell r="D34" t="str">
            <v>Electricity tarrif</v>
          </cell>
          <cell r="E34" t="str">
            <v>Battery cost</v>
          </cell>
          <cell r="F34" t="str">
            <v>AKT</v>
          </cell>
          <cell r="G34" t="str">
            <v>O&amp;M costs</v>
          </cell>
          <cell r="H34" t="str">
            <v>Energy Efficiency</v>
          </cell>
          <cell r="P34" t="str">
            <v>Vehicle Price</v>
          </cell>
          <cell r="Q34" t="str">
            <v>Fuel price</v>
          </cell>
          <cell r="R34" t="str">
            <v>O&amp;M costs</v>
          </cell>
          <cell r="S34" t="str">
            <v>AKT</v>
          </cell>
          <cell r="T34" t="str">
            <v>Energy Efficiency</v>
          </cell>
        </row>
        <row r="35">
          <cell r="B35">
            <v>-50</v>
          </cell>
          <cell r="C35">
            <v>-38.484104622912902</v>
          </cell>
          <cell r="D35">
            <v>-8.1857231243426618</v>
          </cell>
          <cell r="E35">
            <v>-10.527463801339621</v>
          </cell>
          <cell r="F35">
            <v>-23.7918429107831</v>
          </cell>
          <cell r="G35">
            <v>-6.5475242627844752</v>
          </cell>
          <cell r="H35">
            <v>8.1857231243427009</v>
          </cell>
          <cell r="O35">
            <v>-50</v>
          </cell>
          <cell r="P35">
            <v>-15.090338283968252</v>
          </cell>
          <cell r="Q35">
            <v>-28.871783746588232</v>
          </cell>
          <cell r="R35">
            <v>-9.3930202369186802</v>
          </cell>
          <cell r="S35">
            <v>-38.264803983506887</v>
          </cell>
          <cell r="T35">
            <v>28.871783746588207</v>
          </cell>
        </row>
        <row r="36">
          <cell r="B36">
            <v>-40</v>
          </cell>
          <cell r="C36">
            <v>-30.787283698330327</v>
          </cell>
          <cell r="D36">
            <v>-6.5485784994741651</v>
          </cell>
          <cell r="E36">
            <v>-8.4219710410717283</v>
          </cell>
          <cell r="F36">
            <v>-13.392664477907257</v>
          </cell>
          <cell r="G36">
            <v>-5.2380194102275679</v>
          </cell>
          <cell r="H36">
            <v>6.5485784994741252</v>
          </cell>
          <cell r="O36">
            <v>-40</v>
          </cell>
          <cell r="P36">
            <v>-12.072270627174603</v>
          </cell>
          <cell r="Q36">
            <v>-23.097426997270585</v>
          </cell>
          <cell r="R36">
            <v>-7.5144161895349351</v>
          </cell>
          <cell r="S36">
            <v>-30.611843186805523</v>
          </cell>
          <cell r="T36">
            <v>23.097426997270549</v>
          </cell>
        </row>
        <row r="37">
          <cell r="B37">
            <v>-30</v>
          </cell>
          <cell r="C37">
            <v>-23.090462773747749</v>
          </cell>
          <cell r="D37">
            <v>-4.911433874605609</v>
          </cell>
          <cell r="E37">
            <v>-6.3164782808037767</v>
          </cell>
          <cell r="F37">
            <v>-10.073388552709297</v>
          </cell>
          <cell r="G37">
            <v>-3.928514557670701</v>
          </cell>
          <cell r="H37">
            <v>4.911433874605609</v>
          </cell>
          <cell r="O37">
            <v>-30</v>
          </cell>
          <cell r="P37">
            <v>-9.0542029703809543</v>
          </cell>
          <cell r="Q37">
            <v>-17.323070247952938</v>
          </cell>
          <cell r="R37">
            <v>-5.6358121421512131</v>
          </cell>
          <cell r="S37">
            <v>-22.958882390104161</v>
          </cell>
          <cell r="T37">
            <v>17.323070247952916</v>
          </cell>
        </row>
        <row r="38">
          <cell r="B38">
            <v>-20</v>
          </cell>
          <cell r="C38">
            <v>-15.393641849165151</v>
          </cell>
          <cell r="D38">
            <v>-3.2742892497370328</v>
          </cell>
          <cell r="E38">
            <v>-4.2109855205358437</v>
          </cell>
          <cell r="F38">
            <v>-6.7354813051226774</v>
          </cell>
          <cell r="G38">
            <v>-2.6190097051137942</v>
          </cell>
          <cell r="H38">
            <v>3.2742892497370528</v>
          </cell>
          <cell r="O38">
            <v>-20</v>
          </cell>
          <cell r="P38">
            <v>-6.0361353135872955</v>
          </cell>
          <cell r="Q38">
            <v>-11.548713498635292</v>
          </cell>
          <cell r="R38">
            <v>-3.7572080947674786</v>
          </cell>
          <cell r="S38">
            <v>-15.305921593402761</v>
          </cell>
          <cell r="T38">
            <v>11.548713498635257</v>
          </cell>
        </row>
        <row r="39">
          <cell r="B39">
            <v>-10</v>
          </cell>
          <cell r="C39">
            <v>-7.6968209245825969</v>
          </cell>
          <cell r="D39">
            <v>-1.6371446248685366</v>
          </cell>
          <cell r="E39">
            <v>-2.1054927602678921</v>
          </cell>
          <cell r="F39">
            <v>-3.3780111690280958</v>
          </cell>
          <cell r="G39">
            <v>-1.3095048525568871</v>
          </cell>
          <cell r="H39">
            <v>1.6371446248685366</v>
          </cell>
          <cell r="O39">
            <v>-10</v>
          </cell>
          <cell r="P39">
            <v>-3.0180676567936593</v>
          </cell>
          <cell r="Q39">
            <v>-5.7743567493176231</v>
          </cell>
          <cell r="R39">
            <v>-1.8786040473837338</v>
          </cell>
          <cell r="S39">
            <v>-7.6529607967013913</v>
          </cell>
          <cell r="T39">
            <v>5.7743567493176462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</row>
        <row r="41">
          <cell r="B41">
            <v>10</v>
          </cell>
          <cell r="C41">
            <v>7.6968209245825969</v>
          </cell>
          <cell r="D41">
            <v>1.6371446248685366</v>
          </cell>
          <cell r="E41">
            <v>2.1054927602679121</v>
          </cell>
          <cell r="F41">
            <v>10.852108209058626</v>
          </cell>
          <cell r="G41">
            <v>1.3095048525568871</v>
          </cell>
          <cell r="H41">
            <v>-1.6371446248685366</v>
          </cell>
          <cell r="O41">
            <v>10</v>
          </cell>
          <cell r="P41">
            <v>3.0180676567936366</v>
          </cell>
          <cell r="Q41">
            <v>5.7743567493176462</v>
          </cell>
          <cell r="R41">
            <v>1.8786040473837224</v>
          </cell>
          <cell r="S41">
            <v>7.6529607967013673</v>
          </cell>
          <cell r="T41">
            <v>-5.7743567493176231</v>
          </cell>
        </row>
        <row r="42">
          <cell r="B42">
            <v>20</v>
          </cell>
          <cell r="C42">
            <v>15.393641849165112</v>
          </cell>
          <cell r="D42">
            <v>3.2742892497370528</v>
          </cell>
          <cell r="E42">
            <v>4.2109855205358437</v>
          </cell>
          <cell r="F42">
            <v>13.79875768648405</v>
          </cell>
          <cell r="G42">
            <v>2.6190097051137542</v>
          </cell>
          <cell r="H42">
            <v>-3.2742892497370328</v>
          </cell>
          <cell r="O42">
            <v>20</v>
          </cell>
          <cell r="P42">
            <v>6.0361353135873079</v>
          </cell>
          <cell r="Q42">
            <v>11.548713498635257</v>
          </cell>
          <cell r="R42">
            <v>3.7572080947674564</v>
          </cell>
          <cell r="S42">
            <v>15.305921593402724</v>
          </cell>
          <cell r="T42">
            <v>-11.548713498635292</v>
          </cell>
        </row>
        <row r="43">
          <cell r="B43">
            <v>30</v>
          </cell>
          <cell r="C43">
            <v>23.090462773747749</v>
          </cell>
          <cell r="D43">
            <v>4.911433874605609</v>
          </cell>
          <cell r="E43">
            <v>6.3164782808037971</v>
          </cell>
          <cell r="F43">
            <v>17.984867646835145</v>
          </cell>
          <cell r="G43">
            <v>3.928514557670701</v>
          </cell>
          <cell r="H43">
            <v>-4.911433874605609</v>
          </cell>
          <cell r="O43">
            <v>30</v>
          </cell>
          <cell r="P43">
            <v>9.054202970380933</v>
          </cell>
          <cell r="Q43">
            <v>17.323070247952916</v>
          </cell>
          <cell r="R43">
            <v>5.6358121421511784</v>
          </cell>
          <cell r="S43">
            <v>22.958882390104126</v>
          </cell>
          <cell r="T43">
            <v>-17.323070247952938</v>
          </cell>
        </row>
        <row r="44">
          <cell r="B44">
            <v>40</v>
          </cell>
          <cell r="C44">
            <v>30.787283698330302</v>
          </cell>
          <cell r="D44">
            <v>6.5485784994741252</v>
          </cell>
          <cell r="E44">
            <v>8.4219710410716484</v>
          </cell>
          <cell r="F44">
            <v>20.93151712426053</v>
          </cell>
          <cell r="G44">
            <v>5.2380194102275679</v>
          </cell>
          <cell r="H44">
            <v>-6.5485784994741651</v>
          </cell>
          <cell r="O44">
            <v>40</v>
          </cell>
          <cell r="P44">
            <v>12.072270627174559</v>
          </cell>
          <cell r="Q44">
            <v>23.097426997270549</v>
          </cell>
          <cell r="R44">
            <v>7.5144161895349466</v>
          </cell>
          <cell r="S44">
            <v>30.611843186805487</v>
          </cell>
          <cell r="T44">
            <v>-23.097426997270585</v>
          </cell>
        </row>
        <row r="45">
          <cell r="B45">
            <v>50</v>
          </cell>
          <cell r="C45">
            <v>38.484104622912859</v>
          </cell>
          <cell r="D45">
            <v>8.1857231243427009</v>
          </cell>
          <cell r="E45">
            <v>10.527463801339602</v>
          </cell>
          <cell r="F45">
            <v>23.878166601685951</v>
          </cell>
          <cell r="G45">
            <v>6.5475242627844557</v>
          </cell>
          <cell r="H45">
            <v>-8.1857231243426618</v>
          </cell>
          <cell r="O45">
            <v>50</v>
          </cell>
          <cell r="P45">
            <v>15.090338283968229</v>
          </cell>
          <cell r="Q45">
            <v>28.871783746588207</v>
          </cell>
          <cell r="R45">
            <v>9.3930202369186464</v>
          </cell>
          <cell r="S45">
            <v>38.264803983506887</v>
          </cell>
          <cell r="T45">
            <v>-28.871783746588232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AY1000"/>
  <sheetViews>
    <sheetView topLeftCell="F1" zoomScale="95" zoomScaleNormal="55" workbookViewId="0">
      <selection activeCell="I8" sqref="I8"/>
    </sheetView>
  </sheetViews>
  <sheetFormatPr defaultColWidth="14.42578125" defaultRowHeight="15" customHeight="1" x14ac:dyDescent="0.25"/>
  <cols>
    <col min="1" max="1" width="52.7109375" customWidth="1"/>
    <col min="2" max="2" width="17.42578125" customWidth="1"/>
    <col min="3" max="3" width="16.28515625" customWidth="1"/>
    <col min="4" max="4" width="8.85546875" customWidth="1"/>
    <col min="5" max="5" width="48" customWidth="1"/>
    <col min="6" max="6" width="17" customWidth="1"/>
    <col min="7" max="7" width="8.85546875" customWidth="1"/>
    <col min="8" max="8" width="19.28515625" customWidth="1"/>
    <col min="9" max="9" width="47" bestFit="1" customWidth="1"/>
    <col min="10" max="10" width="17.710937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33.7109375" customWidth="1"/>
    <col min="19" max="19" width="16.42578125" customWidth="1"/>
    <col min="20" max="20" width="11.140625" customWidth="1"/>
    <col min="21" max="22" width="31.28515625" customWidth="1"/>
    <col min="23" max="23" width="23.85546875" customWidth="1"/>
    <col min="24" max="25" width="13.42578125" customWidth="1"/>
    <col min="26" max="26" width="19.42578125" customWidth="1"/>
    <col min="27" max="27" width="12.28515625" customWidth="1"/>
    <col min="28" max="28" width="20.140625" customWidth="1"/>
    <col min="29" max="29" width="19.28515625" customWidth="1"/>
    <col min="30" max="30" width="12.85546875" customWidth="1"/>
    <col min="31" max="31" width="19" customWidth="1"/>
    <col min="32" max="32" width="4.7109375" customWidth="1"/>
    <col min="33" max="33" width="20.140625" customWidth="1"/>
    <col min="34" max="34" width="19.28515625" customWidth="1"/>
    <col min="35" max="35" width="11.28515625" customWidth="1"/>
    <col min="36" max="36" width="17.85546875" customWidth="1"/>
    <col min="37" max="38" width="8.85546875" customWidth="1"/>
    <col min="39" max="39" width="17.42578125" customWidth="1"/>
    <col min="40" max="40" width="9.7109375" customWidth="1"/>
    <col min="41" max="41" width="15.42578125" customWidth="1"/>
    <col min="42" max="42" width="8.85546875" customWidth="1"/>
    <col min="43" max="44" width="12.7109375" customWidth="1"/>
    <col min="45" max="51" width="8.85546875" customWidth="1"/>
  </cols>
  <sheetData>
    <row r="1" spans="1:51" x14ac:dyDescent="0.25">
      <c r="A1" s="2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25">
      <c r="A2" s="2" t="s">
        <v>2</v>
      </c>
      <c r="B2" s="4">
        <f>X49</f>
        <v>545300.4024021934</v>
      </c>
      <c r="C2" s="2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25">
      <c r="A3" s="3"/>
      <c r="B3" s="5">
        <f>B2/J34</f>
        <v>1.2117786720048742</v>
      </c>
      <c r="C3" s="2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x14ac:dyDescent="0.25">
      <c r="A4" s="2" t="s">
        <v>5</v>
      </c>
      <c r="B4" s="3"/>
      <c r="C4" s="3"/>
      <c r="D4" s="3"/>
      <c r="E4" s="3"/>
      <c r="F4" s="3"/>
      <c r="G4" s="3"/>
      <c r="H4" s="6"/>
      <c r="I4" s="7"/>
      <c r="J4" s="8"/>
      <c r="K4" s="3"/>
      <c r="L4" s="3"/>
      <c r="M4" s="3"/>
      <c r="N4" s="2" t="s">
        <v>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2" t="s">
        <v>7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x14ac:dyDescent="0.25">
      <c r="A5" s="3" t="s">
        <v>8</v>
      </c>
      <c r="B5" s="6">
        <v>10</v>
      </c>
      <c r="C5" s="3" t="s">
        <v>9</v>
      </c>
      <c r="D5" s="3"/>
      <c r="E5" s="3"/>
      <c r="F5" s="3"/>
      <c r="G5" s="3"/>
      <c r="H5" s="3"/>
      <c r="I5" s="7"/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x14ac:dyDescent="0.25">
      <c r="A6" s="3"/>
      <c r="B6" s="6"/>
      <c r="C6" s="3"/>
      <c r="D6" s="3"/>
      <c r="E6" s="3"/>
      <c r="F6" s="3"/>
      <c r="G6" s="3"/>
      <c r="H6" s="3"/>
      <c r="I6" s="3"/>
      <c r="J6" s="8"/>
      <c r="K6" s="3"/>
      <c r="L6" s="3"/>
      <c r="M6" s="3"/>
      <c r="N6" s="3" t="s">
        <v>10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x14ac:dyDescent="0.25">
      <c r="A7" s="9" t="s">
        <v>11</v>
      </c>
      <c r="B7" s="10"/>
      <c r="C7" s="10"/>
      <c r="D7" s="10"/>
      <c r="E7" s="10"/>
      <c r="F7" s="10"/>
      <c r="G7" s="10"/>
      <c r="H7" s="11"/>
      <c r="I7" s="12" t="s">
        <v>12</v>
      </c>
      <c r="J7" s="10"/>
      <c r="K7" s="10"/>
      <c r="L7" s="11"/>
      <c r="M7" s="3"/>
      <c r="N7" s="13" t="s">
        <v>13</v>
      </c>
      <c r="O7" s="13" t="s">
        <v>14</v>
      </c>
      <c r="P7" s="13" t="s">
        <v>15</v>
      </c>
      <c r="Q7" s="13" t="s">
        <v>16</v>
      </c>
      <c r="R7" s="13" t="s">
        <v>17</v>
      </c>
      <c r="S7" s="13" t="s">
        <v>18</v>
      </c>
      <c r="T7" s="13" t="s">
        <v>19</v>
      </c>
      <c r="U7" s="13" t="s">
        <v>20</v>
      </c>
      <c r="V7" s="13" t="s">
        <v>21</v>
      </c>
      <c r="W7" s="13" t="s">
        <v>22</v>
      </c>
      <c r="X7" s="14" t="s">
        <v>23</v>
      </c>
      <c r="Y7" s="2"/>
      <c r="Z7" s="3" t="s">
        <v>24</v>
      </c>
      <c r="AA7" s="3"/>
      <c r="AB7" s="3" t="s">
        <v>25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x14ac:dyDescent="0.25">
      <c r="A8" s="15" t="s">
        <v>26</v>
      </c>
      <c r="B8" s="16">
        <v>2100</v>
      </c>
      <c r="C8" s="3" t="s">
        <v>27</v>
      </c>
      <c r="D8" s="3"/>
      <c r="E8" s="3"/>
      <c r="F8" s="3"/>
      <c r="G8" s="3"/>
      <c r="H8" s="17"/>
      <c r="I8" s="18" t="s">
        <v>185</v>
      </c>
      <c r="J8" s="6">
        <v>459290322.58064508</v>
      </c>
      <c r="K8" s="3" t="s">
        <v>29</v>
      </c>
      <c r="L8" s="17"/>
      <c r="M8" s="3"/>
      <c r="N8" s="13">
        <v>0</v>
      </c>
      <c r="O8" s="19">
        <f>F31</f>
        <v>119997.35070967738</v>
      </c>
      <c r="P8" s="13"/>
      <c r="Q8" s="13"/>
      <c r="R8" s="13"/>
      <c r="S8" s="13"/>
      <c r="T8" s="13"/>
      <c r="U8" s="13"/>
      <c r="V8" s="13"/>
      <c r="W8" s="13"/>
      <c r="X8" s="20">
        <f t="shared" ref="X8:X48" si="0">SUM(O8:W8)</f>
        <v>119997.35070967738</v>
      </c>
      <c r="Y8" s="4"/>
      <c r="Z8" s="6"/>
      <c r="AA8" s="3"/>
      <c r="AB8" s="3" t="s">
        <v>30</v>
      </c>
      <c r="AC8" s="21">
        <f>F36</f>
        <v>6.9047619047619052E-2</v>
      </c>
      <c r="AD8" s="3" t="s">
        <v>31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 x14ac:dyDescent="0.25">
      <c r="A9" s="15"/>
      <c r="B9" s="3"/>
      <c r="C9" s="3"/>
      <c r="D9" s="3"/>
      <c r="E9" s="3"/>
      <c r="F9" s="22"/>
      <c r="G9" s="3"/>
      <c r="H9" s="17"/>
      <c r="I9" s="18" t="s">
        <v>32</v>
      </c>
      <c r="J9" s="6">
        <v>19700</v>
      </c>
      <c r="K9" s="3" t="s">
        <v>33</v>
      </c>
      <c r="L9" s="17"/>
      <c r="M9" s="3"/>
      <c r="N9" s="13">
        <v>1</v>
      </c>
      <c r="O9" s="13"/>
      <c r="P9" s="23">
        <f t="shared" ref="P9:P48" si="1">IF(N9&gt;0,IF(N9&lt;=$J$21,(($F$32+$F$33)/$J$21)/((1+($F$11/100))^N9),0),0)</f>
        <v>79998.233806451608</v>
      </c>
      <c r="Q9" s="24">
        <f t="shared" ref="Q9:Q48" si="2">IF(N9&gt;0,($F$41*((1+($F$14/100))^(N9-1)))/((1+($F$11/100))^N9),0)</f>
        <v>2929.591836734694</v>
      </c>
      <c r="R9" s="24">
        <f t="shared" ref="R9:R48" si="3">IF(N9&gt;0,$F$40/((1+($F$11/100))^N9),0)</f>
        <v>0</v>
      </c>
      <c r="S9" s="24">
        <f t="shared" ref="S9:S48" si="4">IF(N9&gt;0,$J$37/((1+($F$11/100))^N9),0)</f>
        <v>15031.302372847633</v>
      </c>
      <c r="T9" s="24">
        <f t="shared" ref="T9:T48" si="5">IF(N9&gt;0,($J$46)/((1+($F$11/100))^N9),0)</f>
        <v>11.26890533245556</v>
      </c>
      <c r="U9" s="24">
        <f t="shared" ref="U9:U48" si="6">IF(AND(MOD(N9,$J$31)=0,N9&gt;0),$B$46/((1+($F$11/100))^N9),0)</f>
        <v>0</v>
      </c>
      <c r="V9" s="24">
        <f t="shared" ref="V9:V48" si="7">IF(N9&gt;0,$J$32/((1+($F$11/100))^N9),0)</f>
        <v>0</v>
      </c>
      <c r="W9" s="23">
        <f t="shared" ref="W9:W18" si="8">IF(N9=$B$5,((((1-$J$16/100)^N9)*$B$47+((1-$J$17/100)^N9)*$B$48)/((1+($F$11/100))^N9))*-1,0)</f>
        <v>0</v>
      </c>
      <c r="X9" s="20">
        <f t="shared" si="0"/>
        <v>97970.396921366395</v>
      </c>
      <c r="Y9" s="4"/>
      <c r="Z9" s="6">
        <f t="shared" ref="Z9:Z48" si="9">IF(N9&gt;0,((((1-$J$16/100)^N9)*$B$47+((1-$J$17/100)^N9)*$B$48)/((1+($F$11/100))^N9)),0)</f>
        <v>266646.77972350223</v>
      </c>
      <c r="AA9" s="3"/>
      <c r="AB9" s="3" t="s">
        <v>34</v>
      </c>
      <c r="AC9" s="8">
        <f>B48</f>
        <v>40572</v>
      </c>
      <c r="AD9" s="3" t="s">
        <v>3</v>
      </c>
      <c r="AE9" s="3"/>
      <c r="AF9" s="6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x14ac:dyDescent="0.25">
      <c r="A10" s="25" t="s">
        <v>35</v>
      </c>
      <c r="B10" s="3"/>
      <c r="C10" s="3"/>
      <c r="D10" s="3"/>
      <c r="E10" s="2" t="s">
        <v>36</v>
      </c>
      <c r="F10" s="3"/>
      <c r="G10" s="3"/>
      <c r="H10" s="17"/>
      <c r="I10" s="18" t="s">
        <v>37</v>
      </c>
      <c r="J10" s="6">
        <v>105</v>
      </c>
      <c r="K10" s="3" t="s">
        <v>31</v>
      </c>
      <c r="L10" s="17"/>
      <c r="M10" s="3"/>
      <c r="N10" s="13">
        <f t="shared" ref="N10:N48" si="10">IF((N9+1)&gt;$B$5,,IF(N9=0,,N9+1))</f>
        <v>2</v>
      </c>
      <c r="O10" s="13"/>
      <c r="P10" s="23">
        <f t="shared" si="1"/>
        <v>76188.794101382475</v>
      </c>
      <c r="Q10" s="24">
        <f t="shared" si="2"/>
        <v>2817.9883381924201</v>
      </c>
      <c r="R10" s="24">
        <f t="shared" si="3"/>
        <v>0</v>
      </c>
      <c r="S10" s="24">
        <f t="shared" si="4"/>
        <v>14315.526069378699</v>
      </c>
      <c r="T10" s="24">
        <f t="shared" si="5"/>
        <v>10.732290792814819</v>
      </c>
      <c r="U10" s="24">
        <f t="shared" si="6"/>
        <v>0</v>
      </c>
      <c r="V10" s="24">
        <f t="shared" si="7"/>
        <v>0</v>
      </c>
      <c r="W10" s="23">
        <f t="shared" si="8"/>
        <v>0</v>
      </c>
      <c r="X10" s="20">
        <f t="shared" si="0"/>
        <v>93333.040799746406</v>
      </c>
      <c r="Y10" s="4"/>
      <c r="Z10" s="6">
        <f t="shared" si="9"/>
        <v>234685.82418959838</v>
      </c>
      <c r="AA10" s="3"/>
      <c r="AB10" s="18" t="s">
        <v>159</v>
      </c>
      <c r="AC10" s="26">
        <f>B52</f>
        <v>399991.16903225798</v>
      </c>
      <c r="AD10" s="3" t="s">
        <v>3</v>
      </c>
      <c r="AE10" s="3"/>
      <c r="AF10" s="6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x14ac:dyDescent="0.25">
      <c r="A11" s="27" t="s">
        <v>141</v>
      </c>
      <c r="B11" s="1">
        <v>20</v>
      </c>
      <c r="C11" s="3" t="s">
        <v>38</v>
      </c>
      <c r="D11" s="3"/>
      <c r="E11" s="18" t="s">
        <v>39</v>
      </c>
      <c r="F11" s="3">
        <v>5</v>
      </c>
      <c r="G11" s="3" t="s">
        <v>38</v>
      </c>
      <c r="H11" s="17"/>
      <c r="I11" s="18" t="s">
        <v>40</v>
      </c>
      <c r="J11" s="6">
        <v>322</v>
      </c>
      <c r="K11" s="3" t="s">
        <v>41</v>
      </c>
      <c r="L11" s="17"/>
      <c r="M11" s="3"/>
      <c r="N11" s="13">
        <f t="shared" si="10"/>
        <v>3</v>
      </c>
      <c r="O11" s="13"/>
      <c r="P11" s="23">
        <f t="shared" si="1"/>
        <v>72560.756287030934</v>
      </c>
      <c r="Q11" s="24">
        <f t="shared" si="2"/>
        <v>2710.6364014993756</v>
      </c>
      <c r="R11" s="24">
        <f t="shared" si="3"/>
        <v>0</v>
      </c>
      <c r="S11" s="24">
        <f t="shared" si="4"/>
        <v>13633.834351789235</v>
      </c>
      <c r="T11" s="24">
        <f t="shared" si="5"/>
        <v>10.221229326490304</v>
      </c>
      <c r="U11" s="24">
        <f t="shared" si="6"/>
        <v>0</v>
      </c>
      <c r="V11" s="24">
        <f t="shared" si="7"/>
        <v>0</v>
      </c>
      <c r="W11" s="23">
        <f t="shared" si="8"/>
        <v>0</v>
      </c>
      <c r="X11" s="20">
        <f t="shared" si="0"/>
        <v>88915.448269646033</v>
      </c>
      <c r="Y11" s="4"/>
      <c r="Z11" s="6">
        <f t="shared" si="9"/>
        <v>206597.53910569032</v>
      </c>
      <c r="AA11" s="3"/>
      <c r="AB11" s="3" t="s">
        <v>42</v>
      </c>
      <c r="AC11" s="6">
        <f>F12</f>
        <v>45000</v>
      </c>
      <c r="AD11" s="3" t="s">
        <v>43</v>
      </c>
      <c r="AE11" s="3"/>
      <c r="AF11" s="6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1" x14ac:dyDescent="0.25">
      <c r="A12" s="3" t="s">
        <v>44</v>
      </c>
      <c r="B12" s="3">
        <v>0</v>
      </c>
      <c r="C12" s="3" t="s">
        <v>38</v>
      </c>
      <c r="D12" s="3"/>
      <c r="E12" s="18" t="s">
        <v>45</v>
      </c>
      <c r="F12" s="6">
        <v>45000</v>
      </c>
      <c r="G12" s="3" t="s">
        <v>43</v>
      </c>
      <c r="H12" s="17"/>
      <c r="I12" s="18" t="s">
        <v>46</v>
      </c>
      <c r="J12" s="6">
        <v>4000</v>
      </c>
      <c r="K12" s="3" t="s">
        <v>47</v>
      </c>
      <c r="L12" s="17"/>
      <c r="M12" s="3"/>
      <c r="N12" s="13">
        <f t="shared" si="10"/>
        <v>4</v>
      </c>
      <c r="O12" s="13"/>
      <c r="P12" s="23">
        <f t="shared" si="1"/>
        <v>69105.482178124701</v>
      </c>
      <c r="Q12" s="24">
        <f t="shared" si="2"/>
        <v>2607.3740623946373</v>
      </c>
      <c r="R12" s="24">
        <f t="shared" si="3"/>
        <v>0</v>
      </c>
      <c r="S12" s="24">
        <f t="shared" si="4"/>
        <v>12984.604144561177</v>
      </c>
      <c r="T12" s="24">
        <f t="shared" si="5"/>
        <v>9.7345041204669567</v>
      </c>
      <c r="U12" s="24">
        <f t="shared" si="6"/>
        <v>0</v>
      </c>
      <c r="V12" s="24">
        <f t="shared" si="7"/>
        <v>0</v>
      </c>
      <c r="W12" s="23">
        <f t="shared" si="8"/>
        <v>0</v>
      </c>
      <c r="X12" s="20">
        <f t="shared" si="0"/>
        <v>84707.194889200982</v>
      </c>
      <c r="Y12" s="4"/>
      <c r="Z12" s="6">
        <f t="shared" si="9"/>
        <v>181906.57135892773</v>
      </c>
      <c r="AA12" s="3"/>
      <c r="AB12" s="18" t="s">
        <v>48</v>
      </c>
      <c r="AC12" s="26">
        <f>J41</f>
        <v>15768</v>
      </c>
      <c r="AD12" s="3" t="s">
        <v>49</v>
      </c>
      <c r="AE12" s="3"/>
      <c r="AF12" s="6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spans="1:51" x14ac:dyDescent="0.25">
      <c r="A13" s="3" t="s">
        <v>50</v>
      </c>
      <c r="B13" s="3">
        <v>5</v>
      </c>
      <c r="C13" s="3" t="s">
        <v>38</v>
      </c>
      <c r="D13" s="3"/>
      <c r="E13" s="18" t="s">
        <v>30</v>
      </c>
      <c r="F13" s="28">
        <v>145</v>
      </c>
      <c r="G13" s="3" t="s">
        <v>51</v>
      </c>
      <c r="H13" s="17"/>
      <c r="I13" s="18" t="s">
        <v>52</v>
      </c>
      <c r="J13" s="6">
        <v>235</v>
      </c>
      <c r="K13" s="3" t="s">
        <v>53</v>
      </c>
      <c r="L13" s="17"/>
      <c r="M13" s="3"/>
      <c r="N13" s="13">
        <f t="shared" si="10"/>
        <v>5</v>
      </c>
      <c r="O13" s="13"/>
      <c r="P13" s="23">
        <f t="shared" si="1"/>
        <v>65814.744931547335</v>
      </c>
      <c r="Q13" s="24">
        <f t="shared" si="2"/>
        <v>2508.0455266843655</v>
      </c>
      <c r="R13" s="24">
        <f t="shared" si="3"/>
        <v>0</v>
      </c>
      <c r="S13" s="24">
        <f t="shared" si="4"/>
        <v>12366.289661486835</v>
      </c>
      <c r="T13" s="24">
        <f t="shared" si="5"/>
        <v>9.2709563052066244</v>
      </c>
      <c r="U13" s="24">
        <f t="shared" si="6"/>
        <v>0</v>
      </c>
      <c r="V13" s="24">
        <f t="shared" si="7"/>
        <v>0</v>
      </c>
      <c r="W13" s="23">
        <f t="shared" si="8"/>
        <v>0</v>
      </c>
      <c r="X13" s="20">
        <f t="shared" si="0"/>
        <v>80698.35107602374</v>
      </c>
      <c r="Y13" s="4"/>
      <c r="Z13" s="6">
        <f t="shared" si="9"/>
        <v>160196.7988000297</v>
      </c>
      <c r="AA13" s="3"/>
      <c r="AB13" s="3" t="s">
        <v>158</v>
      </c>
      <c r="AC13" s="6">
        <f>J26</f>
        <v>117.5</v>
      </c>
      <c r="AD13" s="3" t="s">
        <v>148</v>
      </c>
      <c r="AE13" s="3"/>
      <c r="AF13" s="6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spans="1:51" x14ac:dyDescent="0.25">
      <c r="A14" s="3" t="s">
        <v>54</v>
      </c>
      <c r="B14" s="3">
        <v>0</v>
      </c>
      <c r="C14" s="3" t="s">
        <v>38</v>
      </c>
      <c r="D14" s="3"/>
      <c r="E14" s="18" t="s">
        <v>55</v>
      </c>
      <c r="F14" s="3">
        <v>1</v>
      </c>
      <c r="G14" s="3" t="s">
        <v>56</v>
      </c>
      <c r="H14" s="17"/>
      <c r="I14" s="18" t="s">
        <v>57</v>
      </c>
      <c r="J14" s="29">
        <v>30</v>
      </c>
      <c r="K14" s="3" t="s">
        <v>58</v>
      </c>
      <c r="L14" s="17"/>
      <c r="M14" s="3"/>
      <c r="N14" s="13">
        <f t="shared" si="10"/>
        <v>6</v>
      </c>
      <c r="O14" s="13"/>
      <c r="P14" s="23">
        <f t="shared" si="1"/>
        <v>0</v>
      </c>
      <c r="Q14" s="24">
        <f t="shared" si="2"/>
        <v>2412.5009351916278</v>
      </c>
      <c r="R14" s="24">
        <f t="shared" si="3"/>
        <v>0</v>
      </c>
      <c r="S14" s="24">
        <f t="shared" si="4"/>
        <v>11777.418725225558</v>
      </c>
      <c r="T14" s="24">
        <f t="shared" si="5"/>
        <v>8.8294821954348812</v>
      </c>
      <c r="U14" s="24">
        <f t="shared" si="6"/>
        <v>0</v>
      </c>
      <c r="V14" s="24">
        <f t="shared" si="7"/>
        <v>0</v>
      </c>
      <c r="W14" s="23">
        <f t="shared" si="8"/>
        <v>0</v>
      </c>
      <c r="X14" s="20">
        <f t="shared" si="0"/>
        <v>14198.74914261262</v>
      </c>
      <c r="Y14" s="4"/>
      <c r="Z14" s="6">
        <f t="shared" si="9"/>
        <v>141103.82363799354</v>
      </c>
      <c r="AA14" s="3"/>
      <c r="AB14" s="3" t="s">
        <v>184</v>
      </c>
      <c r="AC14" s="28">
        <f>J18</f>
        <v>0.99</v>
      </c>
      <c r="AD14" s="3" t="s">
        <v>72</v>
      </c>
      <c r="AE14" s="3"/>
      <c r="AF14" s="6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 spans="1:51" x14ac:dyDescent="0.25">
      <c r="A15" s="3" t="s">
        <v>59</v>
      </c>
      <c r="B15" s="3">
        <v>25</v>
      </c>
      <c r="C15" s="3" t="s">
        <v>38</v>
      </c>
      <c r="D15" s="3"/>
      <c r="E15" s="18" t="s">
        <v>60</v>
      </c>
      <c r="F15" s="3">
        <v>0</v>
      </c>
      <c r="G15" s="3" t="s">
        <v>61</v>
      </c>
      <c r="H15" s="17"/>
      <c r="I15" s="18" t="s">
        <v>62</v>
      </c>
      <c r="J15" s="8">
        <v>20</v>
      </c>
      <c r="K15" s="3" t="s">
        <v>38</v>
      </c>
      <c r="L15" s="17"/>
      <c r="M15" s="3"/>
      <c r="N15" s="13">
        <f t="shared" si="10"/>
        <v>7</v>
      </c>
      <c r="O15" s="13"/>
      <c r="P15" s="23">
        <f t="shared" si="1"/>
        <v>0</v>
      </c>
      <c r="Q15" s="24">
        <f t="shared" si="2"/>
        <v>2320.5961376605183</v>
      </c>
      <c r="R15" s="24">
        <f t="shared" si="3"/>
        <v>0</v>
      </c>
      <c r="S15" s="24">
        <f t="shared" si="4"/>
        <v>11216.589262119576</v>
      </c>
      <c r="T15" s="24">
        <f t="shared" si="5"/>
        <v>8.4090306623189335</v>
      </c>
      <c r="U15" s="24">
        <f t="shared" si="6"/>
        <v>0</v>
      </c>
      <c r="V15" s="24">
        <f t="shared" si="7"/>
        <v>0</v>
      </c>
      <c r="W15" s="23">
        <f t="shared" si="8"/>
        <v>0</v>
      </c>
      <c r="X15" s="20">
        <f t="shared" si="0"/>
        <v>13545.594430442412</v>
      </c>
      <c r="Y15" s="4"/>
      <c r="Z15" s="6">
        <f t="shared" si="9"/>
        <v>124308.43493361512</v>
      </c>
      <c r="AA15" s="3"/>
      <c r="AB15" s="3"/>
      <c r="AC15" s="3"/>
      <c r="AD15" s="3"/>
      <c r="AE15" s="3"/>
      <c r="AF15" s="6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1" x14ac:dyDescent="0.25">
      <c r="A16" s="27" t="s">
        <v>63</v>
      </c>
      <c r="B16" s="3">
        <v>0.5</v>
      </c>
      <c r="C16" s="3" t="s">
        <v>38</v>
      </c>
      <c r="D16" s="3"/>
      <c r="E16" s="18" t="s">
        <v>167</v>
      </c>
      <c r="F16" s="3">
        <v>10.3</v>
      </c>
      <c r="G16" s="3" t="s">
        <v>56</v>
      </c>
      <c r="H16" s="17"/>
      <c r="I16" s="18" t="s">
        <v>64</v>
      </c>
      <c r="J16" s="3">
        <v>7.08</v>
      </c>
      <c r="K16" s="3" t="s">
        <v>65</v>
      </c>
      <c r="L16" s="17"/>
      <c r="M16" s="3"/>
      <c r="N16" s="13">
        <f t="shared" si="10"/>
        <v>8</v>
      </c>
      <c r="O16" s="13"/>
      <c r="P16" s="23">
        <f t="shared" si="1"/>
        <v>0</v>
      </c>
      <c r="Q16" s="24">
        <f t="shared" si="2"/>
        <v>2232.1924752734503</v>
      </c>
      <c r="R16" s="24">
        <f t="shared" si="3"/>
        <v>0</v>
      </c>
      <c r="S16" s="24">
        <f t="shared" si="4"/>
        <v>10682.465963923409</v>
      </c>
      <c r="T16" s="24">
        <f t="shared" si="5"/>
        <v>8.008600630779938</v>
      </c>
      <c r="U16" s="24">
        <f t="shared" si="6"/>
        <v>0</v>
      </c>
      <c r="V16" s="24">
        <f t="shared" si="7"/>
        <v>0</v>
      </c>
      <c r="W16" s="23">
        <f t="shared" si="8"/>
        <v>0</v>
      </c>
      <c r="X16" s="20">
        <f t="shared" si="0"/>
        <v>12922.667039827638</v>
      </c>
      <c r="Y16" s="4"/>
      <c r="Z16" s="6">
        <f t="shared" si="9"/>
        <v>109530.91262590236</v>
      </c>
      <c r="AA16" s="3"/>
      <c r="AB16" s="3"/>
      <c r="AC16" s="3"/>
      <c r="AD16" s="3"/>
      <c r="AE16" s="3"/>
      <c r="AF16" s="6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spans="1:51" x14ac:dyDescent="0.25">
      <c r="A17" s="27" t="s">
        <v>168</v>
      </c>
      <c r="B17" s="3">
        <v>1.5</v>
      </c>
      <c r="C17" s="3" t="s">
        <v>38</v>
      </c>
      <c r="D17" s="3"/>
      <c r="E17" s="18" t="s">
        <v>66</v>
      </c>
      <c r="F17" s="16">
        <v>8.1999999999999993</v>
      </c>
      <c r="G17" s="3" t="s">
        <v>67</v>
      </c>
      <c r="H17" s="17"/>
      <c r="I17" s="18" t="s">
        <v>68</v>
      </c>
      <c r="J17" s="3">
        <v>11</v>
      </c>
      <c r="K17" s="3" t="s">
        <v>65</v>
      </c>
      <c r="L17" s="17"/>
      <c r="M17" s="3"/>
      <c r="N17" s="13">
        <f t="shared" si="10"/>
        <v>9</v>
      </c>
      <c r="O17" s="13"/>
      <c r="P17" s="23">
        <f t="shared" si="1"/>
        <v>0</v>
      </c>
      <c r="Q17" s="24">
        <f t="shared" si="2"/>
        <v>2147.15657145351</v>
      </c>
      <c r="R17" s="24">
        <f t="shared" si="3"/>
        <v>0</v>
      </c>
      <c r="S17" s="24">
        <f t="shared" si="4"/>
        <v>10173.777108498483</v>
      </c>
      <c r="T17" s="24">
        <f t="shared" si="5"/>
        <v>7.6272386959808927</v>
      </c>
      <c r="U17" s="24">
        <f t="shared" si="6"/>
        <v>0</v>
      </c>
      <c r="V17" s="24">
        <f t="shared" si="7"/>
        <v>0</v>
      </c>
      <c r="W17" s="23">
        <f t="shared" si="8"/>
        <v>0</v>
      </c>
      <c r="X17" s="20">
        <f t="shared" si="0"/>
        <v>12328.560918647974</v>
      </c>
      <c r="Y17" s="4"/>
      <c r="Z17" s="6">
        <f t="shared" si="9"/>
        <v>96526.06265089623</v>
      </c>
      <c r="AA17" s="3"/>
      <c r="AB17" s="3"/>
      <c r="AC17" s="3"/>
      <c r="AD17" s="3"/>
      <c r="AE17" s="3"/>
      <c r="AF17" s="6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</row>
    <row r="18" spans="1:51" x14ac:dyDescent="0.25">
      <c r="A18" s="18" t="s">
        <v>69</v>
      </c>
      <c r="B18" s="3">
        <v>0.9</v>
      </c>
      <c r="C18" s="3" t="s">
        <v>38</v>
      </c>
      <c r="D18" s="3"/>
      <c r="E18" s="18" t="s">
        <v>70</v>
      </c>
      <c r="F18" s="3">
        <v>0</v>
      </c>
      <c r="G18" s="3" t="s">
        <v>38</v>
      </c>
      <c r="H18" s="17"/>
      <c r="I18" s="18" t="s">
        <v>71</v>
      </c>
      <c r="J18" s="28">
        <v>0.99</v>
      </c>
      <c r="K18" s="3" t="s">
        <v>72</v>
      </c>
      <c r="L18" s="17"/>
      <c r="M18" s="3"/>
      <c r="N18" s="13">
        <f t="shared" si="10"/>
        <v>10</v>
      </c>
      <c r="O18" s="13"/>
      <c r="P18" s="23">
        <f t="shared" si="1"/>
        <v>0</v>
      </c>
      <c r="Q18" s="24">
        <f t="shared" si="2"/>
        <v>2065.3601306362334</v>
      </c>
      <c r="R18" s="24">
        <f t="shared" si="3"/>
        <v>0</v>
      </c>
      <c r="S18" s="24">
        <f t="shared" si="4"/>
        <v>9689.3115319033168</v>
      </c>
      <c r="T18" s="24">
        <f t="shared" si="5"/>
        <v>7.2640368533151358</v>
      </c>
      <c r="U18" s="24">
        <f t="shared" si="6"/>
        <v>0</v>
      </c>
      <c r="V18" s="24">
        <f t="shared" si="7"/>
        <v>0</v>
      </c>
      <c r="W18" s="23">
        <f t="shared" si="8"/>
        <v>-85078.887494391136</v>
      </c>
      <c r="X18" s="20">
        <f t="shared" si="0"/>
        <v>-73316.951794998269</v>
      </c>
      <c r="Y18" s="4"/>
      <c r="Z18" s="6">
        <f t="shared" si="9"/>
        <v>85078.887494391136</v>
      </c>
      <c r="AA18" s="3"/>
      <c r="AB18" s="3"/>
      <c r="AC18" s="3"/>
      <c r="AD18" s="3"/>
      <c r="AE18" s="3"/>
      <c r="AF18" s="6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</row>
    <row r="19" spans="1:51" x14ac:dyDescent="0.25">
      <c r="A19" s="27"/>
      <c r="B19" s="3"/>
      <c r="C19" s="3"/>
      <c r="D19" s="3"/>
      <c r="E19" s="18" t="s">
        <v>73</v>
      </c>
      <c r="F19" s="6">
        <v>0</v>
      </c>
      <c r="G19" s="3" t="s">
        <v>61</v>
      </c>
      <c r="H19" s="17"/>
      <c r="I19" s="3"/>
      <c r="J19" s="3"/>
      <c r="K19" s="3"/>
      <c r="L19" s="17"/>
      <c r="M19" s="3"/>
      <c r="N19" s="13">
        <f t="shared" si="10"/>
        <v>0</v>
      </c>
      <c r="O19" s="13"/>
      <c r="P19" s="23">
        <f t="shared" si="1"/>
        <v>0</v>
      </c>
      <c r="Q19" s="24">
        <f t="shared" si="2"/>
        <v>0</v>
      </c>
      <c r="R19" s="24">
        <f t="shared" si="3"/>
        <v>0</v>
      </c>
      <c r="S19" s="24">
        <f t="shared" si="4"/>
        <v>0</v>
      </c>
      <c r="T19" s="24">
        <f t="shared" si="5"/>
        <v>0</v>
      </c>
      <c r="U19" s="24">
        <f t="shared" si="6"/>
        <v>0</v>
      </c>
      <c r="V19" s="24">
        <f t="shared" si="7"/>
        <v>0</v>
      </c>
      <c r="W19" s="23">
        <f t="shared" ref="W19:W48" si="11">IF(N19=$B$5,((((1-$J$16/100)^N19)*$B$52+((1-$J$17/100)^N19)*$B$48)/((1+($F$11/100))^N19))*-1,0)</f>
        <v>0</v>
      </c>
      <c r="X19" s="20">
        <f t="shared" si="0"/>
        <v>0</v>
      </c>
      <c r="Y19" s="4"/>
      <c r="Z19" s="6">
        <f t="shared" si="9"/>
        <v>0</v>
      </c>
      <c r="AA19" s="3"/>
      <c r="AB19" s="3"/>
      <c r="AC19" s="3"/>
      <c r="AD19" s="3"/>
      <c r="AE19" s="3"/>
      <c r="AF19" s="6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</row>
    <row r="20" spans="1:51" x14ac:dyDescent="0.25">
      <c r="A20" s="27"/>
      <c r="B20" s="3"/>
      <c r="C20" s="3"/>
      <c r="D20" s="3"/>
      <c r="E20" s="18" t="s">
        <v>74</v>
      </c>
      <c r="F20" s="6">
        <v>0</v>
      </c>
      <c r="G20" s="3" t="s">
        <v>75</v>
      </c>
      <c r="H20" s="17"/>
      <c r="I20" s="2" t="s">
        <v>78</v>
      </c>
      <c r="J20" s="3"/>
      <c r="K20" s="3"/>
      <c r="L20" s="17"/>
      <c r="M20" s="3"/>
      <c r="N20" s="13">
        <f t="shared" si="10"/>
        <v>0</v>
      </c>
      <c r="O20" s="13"/>
      <c r="P20" s="23">
        <f t="shared" si="1"/>
        <v>0</v>
      </c>
      <c r="Q20" s="24">
        <f t="shared" si="2"/>
        <v>0</v>
      </c>
      <c r="R20" s="24">
        <f t="shared" si="3"/>
        <v>0</v>
      </c>
      <c r="S20" s="24">
        <f t="shared" si="4"/>
        <v>0</v>
      </c>
      <c r="T20" s="24">
        <f t="shared" si="5"/>
        <v>0</v>
      </c>
      <c r="U20" s="24">
        <f t="shared" si="6"/>
        <v>0</v>
      </c>
      <c r="V20" s="24">
        <f t="shared" si="7"/>
        <v>0</v>
      </c>
      <c r="W20" s="23">
        <f t="shared" si="11"/>
        <v>0</v>
      </c>
      <c r="X20" s="20">
        <f t="shared" si="0"/>
        <v>0</v>
      </c>
      <c r="Y20" s="4"/>
      <c r="Z20" s="6">
        <f t="shared" si="9"/>
        <v>0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</row>
    <row r="21" spans="1:51" ht="15.75" customHeight="1" x14ac:dyDescent="0.25">
      <c r="A21" s="27"/>
      <c r="B21" s="3"/>
      <c r="C21" s="3"/>
      <c r="D21" s="3"/>
      <c r="E21" s="18" t="s">
        <v>48</v>
      </c>
      <c r="F21" s="7">
        <v>735.84</v>
      </c>
      <c r="G21" s="3" t="s">
        <v>76</v>
      </c>
      <c r="H21" s="17"/>
      <c r="I21" s="18" t="s">
        <v>83</v>
      </c>
      <c r="J21" s="3">
        <v>5</v>
      </c>
      <c r="K21" s="3" t="s">
        <v>58</v>
      </c>
      <c r="L21" s="17"/>
      <c r="M21" s="3"/>
      <c r="N21" s="13">
        <f t="shared" si="10"/>
        <v>0</v>
      </c>
      <c r="O21" s="13"/>
      <c r="P21" s="23">
        <f t="shared" si="1"/>
        <v>0</v>
      </c>
      <c r="Q21" s="24">
        <f t="shared" si="2"/>
        <v>0</v>
      </c>
      <c r="R21" s="24">
        <f t="shared" si="3"/>
        <v>0</v>
      </c>
      <c r="S21" s="24">
        <f t="shared" si="4"/>
        <v>0</v>
      </c>
      <c r="T21" s="24">
        <f t="shared" si="5"/>
        <v>0</v>
      </c>
      <c r="U21" s="24">
        <f t="shared" si="6"/>
        <v>0</v>
      </c>
      <c r="V21" s="24">
        <f t="shared" si="7"/>
        <v>0</v>
      </c>
      <c r="W21" s="23">
        <f t="shared" si="11"/>
        <v>0</v>
      </c>
      <c r="X21" s="20">
        <f t="shared" si="0"/>
        <v>0</v>
      </c>
      <c r="Y21" s="4"/>
      <c r="Z21" s="6">
        <f t="shared" si="9"/>
        <v>0</v>
      </c>
      <c r="AA21" s="3"/>
      <c r="AB21" s="30" t="s">
        <v>30</v>
      </c>
      <c r="AC21" s="31"/>
      <c r="AD21" s="31"/>
      <c r="AE21" s="31"/>
      <c r="AF21" s="3"/>
      <c r="AG21" s="30" t="s">
        <v>28</v>
      </c>
      <c r="AH21" s="31"/>
      <c r="AI21" s="31"/>
      <c r="AJ21" s="31"/>
      <c r="AK21" s="3"/>
      <c r="AL21" s="89" t="s">
        <v>172</v>
      </c>
      <c r="AM21" s="89" t="s">
        <v>174</v>
      </c>
      <c r="AN21" s="89" t="s">
        <v>175</v>
      </c>
      <c r="AO21" s="89" t="s">
        <v>34</v>
      </c>
      <c r="AP21" s="89" t="s">
        <v>176</v>
      </c>
      <c r="AQ21" s="89" t="s">
        <v>177</v>
      </c>
      <c r="AR21" s="94" t="str">
        <f>AB66</f>
        <v>Energy Efficiency</v>
      </c>
      <c r="AS21" s="3"/>
      <c r="AT21" s="3"/>
      <c r="AU21" s="3"/>
      <c r="AV21" s="3"/>
      <c r="AW21" s="3"/>
      <c r="AX21" s="3"/>
      <c r="AY21" s="3"/>
    </row>
    <row r="22" spans="1:51" ht="15.75" customHeight="1" x14ac:dyDescent="0.25">
      <c r="A22" s="27"/>
      <c r="B22" s="3"/>
      <c r="C22" s="3"/>
      <c r="D22" s="3"/>
      <c r="E22" s="18" t="s">
        <v>77</v>
      </c>
      <c r="F22" s="3">
        <v>10</v>
      </c>
      <c r="G22" s="3" t="s">
        <v>65</v>
      </c>
      <c r="H22" s="17"/>
      <c r="I22" s="18" t="s">
        <v>85</v>
      </c>
      <c r="J22" s="3">
        <v>30</v>
      </c>
      <c r="K22" s="3" t="s">
        <v>86</v>
      </c>
      <c r="L22" s="17"/>
      <c r="M22" s="3"/>
      <c r="N22" s="13">
        <f t="shared" si="10"/>
        <v>0</v>
      </c>
      <c r="O22" s="13"/>
      <c r="P22" s="23">
        <f t="shared" si="1"/>
        <v>0</v>
      </c>
      <c r="Q22" s="24">
        <f t="shared" si="2"/>
        <v>0</v>
      </c>
      <c r="R22" s="24">
        <f t="shared" si="3"/>
        <v>0</v>
      </c>
      <c r="S22" s="24">
        <f t="shared" si="4"/>
        <v>0</v>
      </c>
      <c r="T22" s="24">
        <f t="shared" si="5"/>
        <v>0</v>
      </c>
      <c r="U22" s="24">
        <f t="shared" si="6"/>
        <v>0</v>
      </c>
      <c r="V22" s="24">
        <f t="shared" si="7"/>
        <v>0</v>
      </c>
      <c r="W22" s="23">
        <f t="shared" si="11"/>
        <v>0</v>
      </c>
      <c r="X22" s="20">
        <f t="shared" si="0"/>
        <v>0</v>
      </c>
      <c r="Y22" s="4"/>
      <c r="Z22" s="6">
        <f t="shared" si="9"/>
        <v>0</v>
      </c>
      <c r="AA22" s="3"/>
      <c r="AB22" s="31" t="s">
        <v>79</v>
      </c>
      <c r="AC22" s="31" t="s">
        <v>80</v>
      </c>
      <c r="AD22" s="31" t="s">
        <v>23</v>
      </c>
      <c r="AE22" s="31" t="s">
        <v>81</v>
      </c>
      <c r="AF22" s="3"/>
      <c r="AG22" s="31" t="s">
        <v>79</v>
      </c>
      <c r="AH22" s="31" t="s">
        <v>82</v>
      </c>
      <c r="AI22" s="31" t="s">
        <v>23</v>
      </c>
      <c r="AJ22" s="31" t="s">
        <v>81</v>
      </c>
      <c r="AK22" s="3"/>
      <c r="AL22" s="90">
        <v>-50</v>
      </c>
      <c r="AM22" s="91">
        <f>AJ24</f>
        <v>-44.348524215601159</v>
      </c>
      <c r="AN22" s="91">
        <f>AE24</f>
        <v>-2.2695235788094346</v>
      </c>
      <c r="AO22" s="92">
        <f t="shared" ref="AO22:AO32" si="12">AE39</f>
        <v>-5.2282354199009768</v>
      </c>
      <c r="AP22" s="92">
        <f t="shared" ref="AP22:AP32" si="13">AJ39</f>
        <v>-13.433674185247375</v>
      </c>
      <c r="AQ22" s="92">
        <f>AE54</f>
        <v>-11.164150606437961</v>
      </c>
      <c r="AR22" s="58">
        <f>AE69</f>
        <v>2.2695235788094132</v>
      </c>
      <c r="AS22" s="3"/>
      <c r="AT22" s="3"/>
      <c r="AU22" s="3"/>
      <c r="AV22" s="3"/>
      <c r="AW22" s="3"/>
      <c r="AX22" s="3"/>
      <c r="AY22" s="3"/>
    </row>
    <row r="23" spans="1:51" ht="15.75" customHeight="1" x14ac:dyDescent="0.25">
      <c r="A23" s="18"/>
      <c r="B23" s="3"/>
      <c r="C23" s="3"/>
      <c r="D23" s="3"/>
      <c r="E23" s="18"/>
      <c r="F23" s="8"/>
      <c r="G23" s="3"/>
      <c r="H23" s="17"/>
      <c r="I23" s="63" t="s">
        <v>143</v>
      </c>
      <c r="J23" s="64"/>
      <c r="K23" s="64"/>
      <c r="L23" s="65"/>
      <c r="M23" s="3"/>
      <c r="N23" s="13">
        <f t="shared" si="10"/>
        <v>0</v>
      </c>
      <c r="O23" s="13"/>
      <c r="P23" s="23">
        <f t="shared" si="1"/>
        <v>0</v>
      </c>
      <c r="Q23" s="24">
        <f t="shared" si="2"/>
        <v>0</v>
      </c>
      <c r="R23" s="24">
        <f t="shared" si="3"/>
        <v>0</v>
      </c>
      <c r="S23" s="24">
        <f t="shared" si="4"/>
        <v>0</v>
      </c>
      <c r="T23" s="24">
        <f t="shared" si="5"/>
        <v>0</v>
      </c>
      <c r="U23" s="24">
        <f t="shared" si="6"/>
        <v>0</v>
      </c>
      <c r="V23" s="24">
        <f t="shared" si="7"/>
        <v>0</v>
      </c>
      <c r="W23" s="23">
        <f t="shared" si="11"/>
        <v>0</v>
      </c>
      <c r="X23" s="20">
        <f t="shared" si="0"/>
        <v>0</v>
      </c>
      <c r="Y23" s="4"/>
      <c r="Z23" s="6">
        <f t="shared" si="9"/>
        <v>0</v>
      </c>
      <c r="AA23" s="3"/>
      <c r="AB23" s="31" t="s">
        <v>84</v>
      </c>
      <c r="AC23" s="33">
        <v>6.9047619047619052E-2</v>
      </c>
      <c r="AD23" s="34">
        <f>X49</f>
        <v>545300.4024021934</v>
      </c>
      <c r="AE23" s="31"/>
      <c r="AF23" s="3"/>
      <c r="AG23" s="31" t="s">
        <v>84</v>
      </c>
      <c r="AH23" s="35">
        <v>399991.16903225798</v>
      </c>
      <c r="AI23" s="34">
        <f>X49</f>
        <v>545300.4024021934</v>
      </c>
      <c r="AJ23" s="31"/>
      <c r="AK23" s="3"/>
      <c r="AL23" s="90">
        <v>-40</v>
      </c>
      <c r="AM23" s="91">
        <f>AJ25</f>
        <v>-35.478819372480942</v>
      </c>
      <c r="AN23" s="91">
        <f t="shared" ref="AN23:AN32" si="14">AE25</f>
        <v>-1.8156188630475436</v>
      </c>
      <c r="AO23" s="92">
        <f t="shared" si="12"/>
        <v>-4.18258833592082</v>
      </c>
      <c r="AP23" s="92">
        <f t="shared" si="13"/>
        <v>-10.746939348197905</v>
      </c>
      <c r="AQ23" s="92">
        <f t="shared" ref="AQ23:AQ32" si="15">AE55</f>
        <v>-8.931320485150362</v>
      </c>
      <c r="AR23" s="58">
        <f t="shared" ref="AR23:AR32" si="16">AE70</f>
        <v>1.8156188630475005</v>
      </c>
      <c r="AS23" s="7"/>
      <c r="AT23" s="7"/>
      <c r="AU23" s="7"/>
      <c r="AV23" s="7"/>
      <c r="AW23" s="7"/>
      <c r="AX23" s="7"/>
      <c r="AY23" s="7"/>
    </row>
    <row r="24" spans="1:51" ht="15.75" customHeight="1" x14ac:dyDescent="0.25">
      <c r="A24" s="27"/>
      <c r="B24" s="3"/>
      <c r="C24" s="3"/>
      <c r="D24" s="3"/>
      <c r="E24" s="3"/>
      <c r="F24" s="3"/>
      <c r="G24" s="3"/>
      <c r="H24" s="17"/>
      <c r="I24" s="64" t="s">
        <v>144</v>
      </c>
      <c r="J24" s="66" t="s">
        <v>142</v>
      </c>
      <c r="K24" s="64"/>
      <c r="L24" s="65"/>
      <c r="M24" s="3"/>
      <c r="N24" s="13">
        <f t="shared" si="10"/>
        <v>0</v>
      </c>
      <c r="O24" s="13"/>
      <c r="P24" s="23">
        <f t="shared" si="1"/>
        <v>0</v>
      </c>
      <c r="Q24" s="24">
        <f t="shared" si="2"/>
        <v>0</v>
      </c>
      <c r="R24" s="24">
        <f t="shared" si="3"/>
        <v>0</v>
      </c>
      <c r="S24" s="24">
        <f t="shared" si="4"/>
        <v>0</v>
      </c>
      <c r="T24" s="24">
        <f t="shared" si="5"/>
        <v>0</v>
      </c>
      <c r="U24" s="24">
        <f t="shared" si="6"/>
        <v>0</v>
      </c>
      <c r="V24" s="24">
        <f t="shared" si="7"/>
        <v>0</v>
      </c>
      <c r="W24" s="23">
        <f t="shared" si="11"/>
        <v>0</v>
      </c>
      <c r="X24" s="20">
        <f t="shared" si="0"/>
        <v>0</v>
      </c>
      <c r="Y24" s="4"/>
      <c r="Z24" s="6">
        <f t="shared" si="9"/>
        <v>0</v>
      </c>
      <c r="AA24" s="3"/>
      <c r="AB24" s="31">
        <f t="shared" ref="AB24:AB28" si="17">AB25-10</f>
        <v>-50</v>
      </c>
      <c r="AC24" s="33">
        <f t="shared" ref="AC24:AC34" si="18">$AC$23*(1+(AB24/100))</f>
        <v>3.4523809523809526E-2</v>
      </c>
      <c r="AD24" s="34">
        <f t="dataTable" ref="AD24:AD34" dt2D="0" dtr="0" r1="F36"/>
        <v>532924.68119433289</v>
      </c>
      <c r="AE24" s="38">
        <f t="shared" ref="AE24:AE34" si="19">100*((AD24-$AD$29)/$AD$29)</f>
        <v>-2.2695235788094346</v>
      </c>
      <c r="AF24" s="3"/>
      <c r="AG24" s="31">
        <f t="shared" ref="AG24:AG28" si="20">AG25-10</f>
        <v>-50</v>
      </c>
      <c r="AH24" s="35">
        <f t="shared" ref="AH24:AH34" si="21">$AH$23*(1+(AG24/100))</f>
        <v>199995.58451612899</v>
      </c>
      <c r="AI24" s="34">
        <f t="dataTable" ref="AI24:AI34" dt2D="0" dtr="0" r1="B52" ca="1"/>
        <v>303467.72139508609</v>
      </c>
      <c r="AJ24" s="38">
        <f t="shared" ref="AJ24:AJ34" si="22">100*((AI24-$AI$29)/$AI$29)</f>
        <v>-44.348524215601159</v>
      </c>
      <c r="AK24" s="3"/>
      <c r="AL24" s="90">
        <v>-30</v>
      </c>
      <c r="AM24" s="91">
        <f t="shared" ref="AM24:AM32" si="23">AJ26</f>
        <v>-26.609114529360717</v>
      </c>
      <c r="AN24" s="91">
        <f t="shared" si="14"/>
        <v>-1.3617141472856522</v>
      </c>
      <c r="AO24" s="92">
        <f t="shared" si="12"/>
        <v>-3.1369412519405988</v>
      </c>
      <c r="AP24" s="92">
        <f t="shared" si="13"/>
        <v>-8.0602045111484255</v>
      </c>
      <c r="AQ24" s="92">
        <f t="shared" si="15"/>
        <v>-6.6984903638628159</v>
      </c>
      <c r="AR24" s="58">
        <f t="shared" si="16"/>
        <v>1.3617141472856309</v>
      </c>
      <c r="AS24" s="7"/>
      <c r="AT24" s="7"/>
      <c r="AU24" s="7"/>
      <c r="AV24" s="7"/>
      <c r="AW24" s="7"/>
      <c r="AX24" s="7"/>
      <c r="AY24" s="7"/>
    </row>
    <row r="25" spans="1:51" ht="15.75" customHeight="1" x14ac:dyDescent="0.25">
      <c r="A25" s="15"/>
      <c r="B25" s="3"/>
      <c r="C25" s="3"/>
      <c r="D25" s="3"/>
      <c r="E25" s="7"/>
      <c r="F25" s="3"/>
      <c r="G25" s="3"/>
      <c r="H25" s="17"/>
      <c r="I25" s="67" t="s">
        <v>145</v>
      </c>
      <c r="J25" s="67">
        <v>1.3</v>
      </c>
      <c r="K25" s="67" t="s">
        <v>146</v>
      </c>
      <c r="L25" s="65"/>
      <c r="M25" s="3"/>
      <c r="N25" s="13">
        <f t="shared" si="10"/>
        <v>0</v>
      </c>
      <c r="O25" s="13"/>
      <c r="P25" s="23">
        <f t="shared" si="1"/>
        <v>0</v>
      </c>
      <c r="Q25" s="24">
        <f t="shared" si="2"/>
        <v>0</v>
      </c>
      <c r="R25" s="24">
        <f t="shared" si="3"/>
        <v>0</v>
      </c>
      <c r="S25" s="24">
        <f t="shared" si="4"/>
        <v>0</v>
      </c>
      <c r="T25" s="24">
        <f t="shared" si="5"/>
        <v>0</v>
      </c>
      <c r="U25" s="24">
        <f t="shared" si="6"/>
        <v>0</v>
      </c>
      <c r="V25" s="24">
        <f t="shared" si="7"/>
        <v>0</v>
      </c>
      <c r="W25" s="23">
        <f t="shared" si="11"/>
        <v>0</v>
      </c>
      <c r="X25" s="20">
        <f t="shared" si="0"/>
        <v>0</v>
      </c>
      <c r="Y25" s="4"/>
      <c r="Z25" s="6">
        <f t="shared" si="9"/>
        <v>0</v>
      </c>
      <c r="AA25" s="3"/>
      <c r="AB25" s="31">
        <f t="shared" si="17"/>
        <v>-40</v>
      </c>
      <c r="AC25" s="33">
        <f t="shared" si="18"/>
        <v>4.1428571428571433E-2</v>
      </c>
      <c r="AD25" s="34">
        <v>535399.82543590502</v>
      </c>
      <c r="AE25" s="38">
        <f t="shared" si="19"/>
        <v>-1.8156188630475436</v>
      </c>
      <c r="AF25" s="3"/>
      <c r="AG25" s="31">
        <f t="shared" si="20"/>
        <v>-40</v>
      </c>
      <c r="AH25" s="35">
        <f t="shared" si="21"/>
        <v>239994.70141935477</v>
      </c>
      <c r="AI25" s="34">
        <v>351834.25759650749</v>
      </c>
      <c r="AJ25" s="38">
        <f t="shared" si="22"/>
        <v>-35.478819372480942</v>
      </c>
      <c r="AK25" s="3"/>
      <c r="AL25" s="90">
        <v>-20</v>
      </c>
      <c r="AM25" s="91">
        <f t="shared" si="23"/>
        <v>-17.739409686240464</v>
      </c>
      <c r="AN25" s="91">
        <f t="shared" si="14"/>
        <v>-0.90780943152378235</v>
      </c>
      <c r="AO25" s="92">
        <f t="shared" si="12"/>
        <v>-2.091294167960442</v>
      </c>
      <c r="AP25" s="92">
        <f t="shared" si="13"/>
        <v>-5.373469674098958</v>
      </c>
      <c r="AQ25" s="92">
        <f t="shared" si="15"/>
        <v>-4.4656602425752183</v>
      </c>
      <c r="AR25" s="58">
        <f t="shared" si="16"/>
        <v>0.90780943152373972</v>
      </c>
      <c r="AS25" s="7"/>
      <c r="AT25" s="7"/>
      <c r="AU25" s="7"/>
      <c r="AV25" s="7"/>
      <c r="AW25" s="7"/>
      <c r="AX25" s="7"/>
      <c r="AY25" s="7"/>
    </row>
    <row r="26" spans="1:51" ht="15.75" customHeight="1" x14ac:dyDescent="0.25">
      <c r="A26" s="40"/>
      <c r="B26" s="41"/>
      <c r="C26" s="41"/>
      <c r="D26" s="41"/>
      <c r="E26" s="41"/>
      <c r="F26" s="41"/>
      <c r="G26" s="41"/>
      <c r="H26" s="42"/>
      <c r="I26" s="41" t="s">
        <v>147</v>
      </c>
      <c r="J26" s="68">
        <f>J13/2</f>
        <v>117.5</v>
      </c>
      <c r="K26" s="41" t="s">
        <v>148</v>
      </c>
      <c r="L26" s="42"/>
      <c r="M26" s="3"/>
      <c r="N26" s="13">
        <f t="shared" si="10"/>
        <v>0</v>
      </c>
      <c r="O26" s="13"/>
      <c r="P26" s="23">
        <f t="shared" si="1"/>
        <v>0</v>
      </c>
      <c r="Q26" s="24">
        <f t="shared" si="2"/>
        <v>0</v>
      </c>
      <c r="R26" s="24">
        <f t="shared" si="3"/>
        <v>0</v>
      </c>
      <c r="S26" s="24">
        <f t="shared" si="4"/>
        <v>0</v>
      </c>
      <c r="T26" s="24">
        <f t="shared" si="5"/>
        <v>0</v>
      </c>
      <c r="U26" s="24">
        <f t="shared" si="6"/>
        <v>0</v>
      </c>
      <c r="V26" s="24">
        <f t="shared" si="7"/>
        <v>0</v>
      </c>
      <c r="W26" s="23">
        <f t="shared" si="11"/>
        <v>0</v>
      </c>
      <c r="X26" s="20">
        <f t="shared" si="0"/>
        <v>0</v>
      </c>
      <c r="Y26" s="4"/>
      <c r="Z26" s="6">
        <f t="shared" si="9"/>
        <v>0</v>
      </c>
      <c r="AA26" s="3"/>
      <c r="AB26" s="31">
        <f t="shared" si="17"/>
        <v>-30</v>
      </c>
      <c r="AC26" s="33">
        <f t="shared" si="18"/>
        <v>4.8333333333333332E-2</v>
      </c>
      <c r="AD26" s="34">
        <v>537874.96967747714</v>
      </c>
      <c r="AE26" s="38">
        <f t="shared" si="19"/>
        <v>-1.3617141472856522</v>
      </c>
      <c r="AF26" s="3"/>
      <c r="AG26" s="31">
        <f t="shared" si="20"/>
        <v>-30</v>
      </c>
      <c r="AH26" s="35">
        <f t="shared" si="21"/>
        <v>279993.81832258054</v>
      </c>
      <c r="AI26" s="34">
        <v>400200.7937979289</v>
      </c>
      <c r="AJ26" s="38">
        <f t="shared" si="22"/>
        <v>-26.609114529360717</v>
      </c>
      <c r="AK26" s="3"/>
      <c r="AL26" s="90">
        <v>-10</v>
      </c>
      <c r="AM26" s="91">
        <f t="shared" si="23"/>
        <v>-8.8697048431202212</v>
      </c>
      <c r="AN26" s="91">
        <f t="shared" si="14"/>
        <v>-0.45390471576189118</v>
      </c>
      <c r="AO26" s="92">
        <f t="shared" si="12"/>
        <v>-1.0456470839801997</v>
      </c>
      <c r="AP26" s="92">
        <f t="shared" si="13"/>
        <v>-2.6867348370494684</v>
      </c>
      <c r="AQ26" s="92">
        <f t="shared" si="15"/>
        <v>-2.2328301212876198</v>
      </c>
      <c r="AR26" s="58">
        <f t="shared" si="16"/>
        <v>0.45390471576186986</v>
      </c>
      <c r="AS26" s="7"/>
      <c r="AT26" s="7"/>
      <c r="AU26" s="7"/>
      <c r="AV26" s="7"/>
      <c r="AW26" s="7"/>
      <c r="AX26" s="7"/>
      <c r="AY26" s="7"/>
    </row>
    <row r="27" spans="1:51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6"/>
      <c r="K27" s="3"/>
      <c r="L27" s="3"/>
      <c r="M27" s="3"/>
      <c r="N27" s="13">
        <f t="shared" si="10"/>
        <v>0</v>
      </c>
      <c r="O27" s="13"/>
      <c r="P27" s="23">
        <f t="shared" si="1"/>
        <v>0</v>
      </c>
      <c r="Q27" s="24">
        <f t="shared" si="2"/>
        <v>0</v>
      </c>
      <c r="R27" s="24">
        <f t="shared" si="3"/>
        <v>0</v>
      </c>
      <c r="S27" s="24">
        <f t="shared" si="4"/>
        <v>0</v>
      </c>
      <c r="T27" s="24">
        <f t="shared" si="5"/>
        <v>0</v>
      </c>
      <c r="U27" s="24">
        <f t="shared" si="6"/>
        <v>0</v>
      </c>
      <c r="V27" s="24">
        <f t="shared" si="7"/>
        <v>0</v>
      </c>
      <c r="W27" s="23">
        <f t="shared" si="11"/>
        <v>0</v>
      </c>
      <c r="X27" s="20">
        <f t="shared" si="0"/>
        <v>0</v>
      </c>
      <c r="Y27" s="4"/>
      <c r="Z27" s="6">
        <f t="shared" si="9"/>
        <v>0</v>
      </c>
      <c r="AA27" s="3"/>
      <c r="AB27" s="31">
        <f t="shared" si="17"/>
        <v>-20</v>
      </c>
      <c r="AC27" s="33">
        <f t="shared" si="18"/>
        <v>5.5238095238095246E-2</v>
      </c>
      <c r="AD27" s="34">
        <v>540350.11391904915</v>
      </c>
      <c r="AE27" s="38">
        <f t="shared" si="19"/>
        <v>-0.90780943152378235</v>
      </c>
      <c r="AF27" s="3"/>
      <c r="AG27" s="31">
        <f t="shared" si="20"/>
        <v>-20</v>
      </c>
      <c r="AH27" s="35">
        <f t="shared" si="21"/>
        <v>319992.93522580643</v>
      </c>
      <c r="AI27" s="34">
        <v>448567.32999935048</v>
      </c>
      <c r="AJ27" s="38">
        <f t="shared" si="22"/>
        <v>-17.739409686240464</v>
      </c>
      <c r="AK27" s="3"/>
      <c r="AL27" s="90">
        <v>0</v>
      </c>
      <c r="AM27" s="91">
        <f t="shared" si="23"/>
        <v>0</v>
      </c>
      <c r="AN27" s="91">
        <f t="shared" si="14"/>
        <v>0</v>
      </c>
      <c r="AO27" s="92">
        <f t="shared" si="12"/>
        <v>0</v>
      </c>
      <c r="AP27" s="92">
        <f t="shared" si="13"/>
        <v>0</v>
      </c>
      <c r="AQ27" s="92">
        <f t="shared" si="15"/>
        <v>0</v>
      </c>
      <c r="AR27" s="58">
        <f t="shared" si="16"/>
        <v>0</v>
      </c>
      <c r="AS27" s="7"/>
      <c r="AT27" s="7"/>
      <c r="AU27" s="7"/>
      <c r="AV27" s="7"/>
      <c r="AW27" s="7"/>
      <c r="AX27" s="7"/>
      <c r="AY27" s="7"/>
    </row>
    <row r="28" spans="1:51" ht="15.75" customHeight="1" x14ac:dyDescent="0.25">
      <c r="A28" s="2" t="s">
        <v>87</v>
      </c>
      <c r="B28" s="3"/>
      <c r="C28" s="3"/>
      <c r="D28" s="3"/>
      <c r="E28" s="3"/>
      <c r="F28" s="3"/>
      <c r="G28" s="3"/>
      <c r="H28" s="3"/>
      <c r="I28" s="3"/>
      <c r="J28" s="6"/>
      <c r="K28" s="3"/>
      <c r="L28" s="3"/>
      <c r="M28" s="3"/>
      <c r="N28" s="13">
        <f t="shared" si="10"/>
        <v>0</v>
      </c>
      <c r="O28" s="13"/>
      <c r="P28" s="23">
        <f t="shared" si="1"/>
        <v>0</v>
      </c>
      <c r="Q28" s="24">
        <f t="shared" si="2"/>
        <v>0</v>
      </c>
      <c r="R28" s="24">
        <f t="shared" si="3"/>
        <v>0</v>
      </c>
      <c r="S28" s="24">
        <f t="shared" si="4"/>
        <v>0</v>
      </c>
      <c r="T28" s="24">
        <f t="shared" si="5"/>
        <v>0</v>
      </c>
      <c r="U28" s="24">
        <f t="shared" si="6"/>
        <v>0</v>
      </c>
      <c r="V28" s="24">
        <f t="shared" si="7"/>
        <v>0</v>
      </c>
      <c r="W28" s="23">
        <f t="shared" si="11"/>
        <v>0</v>
      </c>
      <c r="X28" s="20">
        <f t="shared" si="0"/>
        <v>0</v>
      </c>
      <c r="Y28" s="4"/>
      <c r="Z28" s="6">
        <f t="shared" si="9"/>
        <v>0</v>
      </c>
      <c r="AA28" s="3"/>
      <c r="AB28" s="31">
        <f t="shared" si="17"/>
        <v>-10</v>
      </c>
      <c r="AC28" s="33">
        <f t="shared" si="18"/>
        <v>6.2142857142857146E-2</v>
      </c>
      <c r="AD28" s="34">
        <v>542825.25816062128</v>
      </c>
      <c r="AE28" s="38">
        <f t="shared" si="19"/>
        <v>-0.45390471576189118</v>
      </c>
      <c r="AF28" s="3"/>
      <c r="AG28" s="31">
        <f t="shared" si="20"/>
        <v>-10</v>
      </c>
      <c r="AH28" s="35">
        <f t="shared" si="21"/>
        <v>359992.05212903221</v>
      </c>
      <c r="AI28" s="34">
        <v>496933.866200772</v>
      </c>
      <c r="AJ28" s="38">
        <f t="shared" si="22"/>
        <v>-8.8697048431202212</v>
      </c>
      <c r="AK28" s="3"/>
      <c r="AL28" s="90">
        <v>10</v>
      </c>
      <c r="AM28" s="91">
        <f t="shared" si="23"/>
        <v>8.8697048431202425</v>
      </c>
      <c r="AN28" s="91">
        <f t="shared" si="14"/>
        <v>0.45390471576186986</v>
      </c>
      <c r="AO28" s="92">
        <f t="shared" si="12"/>
        <v>1.0456470839801997</v>
      </c>
      <c r="AP28" s="92">
        <f t="shared" si="13"/>
        <v>2.686734837049447</v>
      </c>
      <c r="AQ28" s="92">
        <f t="shared" si="15"/>
        <v>2.2328301212875985</v>
      </c>
      <c r="AR28" s="58">
        <f t="shared" si="16"/>
        <v>-0.45390471576189118</v>
      </c>
      <c r="AS28" s="7"/>
      <c r="AT28" s="7"/>
      <c r="AU28" s="7"/>
      <c r="AV28" s="7"/>
      <c r="AW28" s="7"/>
      <c r="AX28" s="7"/>
      <c r="AY28" s="7"/>
    </row>
    <row r="29" spans="1:51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6"/>
      <c r="K29" s="3"/>
      <c r="L29" s="3"/>
      <c r="M29" s="3"/>
      <c r="N29" s="13">
        <f t="shared" si="10"/>
        <v>0</v>
      </c>
      <c r="O29" s="13"/>
      <c r="P29" s="23">
        <f t="shared" si="1"/>
        <v>0</v>
      </c>
      <c r="Q29" s="24">
        <f t="shared" si="2"/>
        <v>0</v>
      </c>
      <c r="R29" s="24">
        <f t="shared" si="3"/>
        <v>0</v>
      </c>
      <c r="S29" s="24">
        <f t="shared" si="4"/>
        <v>0</v>
      </c>
      <c r="T29" s="24">
        <f t="shared" si="5"/>
        <v>0</v>
      </c>
      <c r="U29" s="24">
        <f t="shared" si="6"/>
        <v>0</v>
      </c>
      <c r="V29" s="24">
        <f t="shared" si="7"/>
        <v>0</v>
      </c>
      <c r="W29" s="23">
        <f t="shared" si="11"/>
        <v>0</v>
      </c>
      <c r="X29" s="20">
        <f t="shared" si="0"/>
        <v>0</v>
      </c>
      <c r="Y29" s="4"/>
      <c r="Z29" s="6">
        <f t="shared" si="9"/>
        <v>0</v>
      </c>
      <c r="AA29" s="3"/>
      <c r="AB29" s="43">
        <v>0</v>
      </c>
      <c r="AC29" s="44">
        <f t="shared" si="18"/>
        <v>6.9047619047619052E-2</v>
      </c>
      <c r="AD29" s="45">
        <v>545300.4024021934</v>
      </c>
      <c r="AE29" s="46">
        <f t="shared" si="19"/>
        <v>0</v>
      </c>
      <c r="AF29" s="3"/>
      <c r="AG29" s="43">
        <v>0</v>
      </c>
      <c r="AH29" s="47">
        <f t="shared" si="21"/>
        <v>399991.16903225798</v>
      </c>
      <c r="AI29" s="45">
        <v>545300.4024021934</v>
      </c>
      <c r="AJ29" s="46">
        <f t="shared" si="22"/>
        <v>0</v>
      </c>
      <c r="AK29" s="3"/>
      <c r="AL29" s="90">
        <v>20</v>
      </c>
      <c r="AM29" s="91">
        <f t="shared" si="23"/>
        <v>17.739409686240442</v>
      </c>
      <c r="AN29" s="91">
        <f t="shared" si="14"/>
        <v>0.90780943152373972</v>
      </c>
      <c r="AO29" s="92">
        <f t="shared" si="12"/>
        <v>2.0912941679603994</v>
      </c>
      <c r="AP29" s="92">
        <f t="shared" si="13"/>
        <v>5.3734696740989154</v>
      </c>
      <c r="AQ29" s="92">
        <f t="shared" si="15"/>
        <v>4.4656602425751544</v>
      </c>
      <c r="AR29" s="58">
        <f t="shared" si="16"/>
        <v>-0.90780943152378235</v>
      </c>
      <c r="AS29" s="7"/>
      <c r="AT29" s="7"/>
      <c r="AU29" s="7"/>
      <c r="AV29" s="7"/>
      <c r="AW29" s="7"/>
      <c r="AX29" s="7"/>
      <c r="AY29" s="7"/>
    </row>
    <row r="30" spans="1:51" ht="15.75" customHeight="1" x14ac:dyDescent="0.25">
      <c r="A30" s="9" t="s">
        <v>88</v>
      </c>
      <c r="B30" s="10"/>
      <c r="C30" s="10"/>
      <c r="D30" s="10"/>
      <c r="E30" s="12" t="s">
        <v>89</v>
      </c>
      <c r="F30" s="10"/>
      <c r="G30" s="10"/>
      <c r="H30" s="10"/>
      <c r="I30" s="12" t="s">
        <v>90</v>
      </c>
      <c r="J30" s="48"/>
      <c r="K30" s="10"/>
      <c r="L30" s="11"/>
      <c r="M30" s="3"/>
      <c r="N30" s="13">
        <f t="shared" si="10"/>
        <v>0</v>
      </c>
      <c r="O30" s="13"/>
      <c r="P30" s="23">
        <f t="shared" si="1"/>
        <v>0</v>
      </c>
      <c r="Q30" s="24">
        <f t="shared" si="2"/>
        <v>0</v>
      </c>
      <c r="R30" s="24">
        <f t="shared" si="3"/>
        <v>0</v>
      </c>
      <c r="S30" s="24">
        <f t="shared" si="4"/>
        <v>0</v>
      </c>
      <c r="T30" s="24">
        <f t="shared" si="5"/>
        <v>0</v>
      </c>
      <c r="U30" s="24">
        <f t="shared" si="6"/>
        <v>0</v>
      </c>
      <c r="V30" s="24">
        <f t="shared" si="7"/>
        <v>0</v>
      </c>
      <c r="W30" s="23">
        <f t="shared" si="11"/>
        <v>0</v>
      </c>
      <c r="X30" s="20">
        <f t="shared" si="0"/>
        <v>0</v>
      </c>
      <c r="Y30" s="4"/>
      <c r="Z30" s="6">
        <f t="shared" si="9"/>
        <v>0</v>
      </c>
      <c r="AA30" s="3"/>
      <c r="AB30" s="31">
        <f t="shared" ref="AB30:AB34" si="24">AB29+10</f>
        <v>10</v>
      </c>
      <c r="AC30" s="33">
        <f t="shared" si="18"/>
        <v>7.5952380952380966E-2</v>
      </c>
      <c r="AD30" s="34">
        <v>547775.54664376541</v>
      </c>
      <c r="AE30" s="38">
        <f t="shared" si="19"/>
        <v>0.45390471576186986</v>
      </c>
      <c r="AF30" s="3"/>
      <c r="AG30" s="31">
        <f t="shared" ref="AG30:AG34" si="25">AG29+10</f>
        <v>10</v>
      </c>
      <c r="AH30" s="35">
        <f t="shared" si="21"/>
        <v>439990.28593548381</v>
      </c>
      <c r="AI30" s="34">
        <v>593666.93860361492</v>
      </c>
      <c r="AJ30" s="38">
        <f t="shared" si="22"/>
        <v>8.8697048431202425</v>
      </c>
      <c r="AK30" s="3"/>
      <c r="AL30" s="90">
        <v>30</v>
      </c>
      <c r="AM30" s="91">
        <f t="shared" si="23"/>
        <v>26.609114529360667</v>
      </c>
      <c r="AN30" s="91">
        <f t="shared" si="14"/>
        <v>1.3617141472856309</v>
      </c>
      <c r="AO30" s="92">
        <f t="shared" si="12"/>
        <v>3.1369412519405557</v>
      </c>
      <c r="AP30" s="92">
        <f t="shared" si="13"/>
        <v>8.0602045111484255</v>
      </c>
      <c r="AQ30" s="92">
        <f t="shared" si="15"/>
        <v>6.6984903638627529</v>
      </c>
      <c r="AR30" s="58">
        <f t="shared" si="16"/>
        <v>-1.3617141472856522</v>
      </c>
      <c r="AS30" s="7"/>
      <c r="AT30" s="7"/>
      <c r="AU30" s="7"/>
      <c r="AV30" s="7"/>
      <c r="AW30" s="7"/>
      <c r="AX30" s="7"/>
      <c r="AY30" s="7"/>
    </row>
    <row r="31" spans="1:51" ht="15.75" customHeight="1" x14ac:dyDescent="0.25">
      <c r="A31" s="27"/>
      <c r="B31" s="6"/>
      <c r="C31" s="3"/>
      <c r="D31" s="3"/>
      <c r="E31" s="18" t="s">
        <v>91</v>
      </c>
      <c r="F31" s="26">
        <f>(J22/100)*B52</f>
        <v>119997.35070967738</v>
      </c>
      <c r="G31" s="3" t="s">
        <v>3</v>
      </c>
      <c r="H31" s="3"/>
      <c r="I31" s="18" t="s">
        <v>92</v>
      </c>
      <c r="J31" s="7">
        <f>ROUNDDOWN(J12/(F12/J13),0)</f>
        <v>20</v>
      </c>
      <c r="K31" s="3" t="s">
        <v>58</v>
      </c>
      <c r="L31" s="17"/>
      <c r="M31" s="3"/>
      <c r="N31" s="13">
        <f t="shared" si="10"/>
        <v>0</v>
      </c>
      <c r="O31" s="13"/>
      <c r="P31" s="23">
        <f t="shared" si="1"/>
        <v>0</v>
      </c>
      <c r="Q31" s="24">
        <f t="shared" si="2"/>
        <v>0</v>
      </c>
      <c r="R31" s="24">
        <f t="shared" si="3"/>
        <v>0</v>
      </c>
      <c r="S31" s="24">
        <f t="shared" si="4"/>
        <v>0</v>
      </c>
      <c r="T31" s="24">
        <f t="shared" si="5"/>
        <v>0</v>
      </c>
      <c r="U31" s="24">
        <f t="shared" si="6"/>
        <v>0</v>
      </c>
      <c r="V31" s="24">
        <f t="shared" si="7"/>
        <v>0</v>
      </c>
      <c r="W31" s="23">
        <f t="shared" si="11"/>
        <v>0</v>
      </c>
      <c r="X31" s="20">
        <f t="shared" si="0"/>
        <v>0</v>
      </c>
      <c r="Y31" s="4"/>
      <c r="Z31" s="6">
        <f t="shared" si="9"/>
        <v>0</v>
      </c>
      <c r="AA31" s="3"/>
      <c r="AB31" s="31">
        <f t="shared" si="24"/>
        <v>20</v>
      </c>
      <c r="AC31" s="33">
        <f t="shared" si="18"/>
        <v>8.2857142857142865E-2</v>
      </c>
      <c r="AD31" s="34">
        <v>550250.69088533742</v>
      </c>
      <c r="AE31" s="38">
        <f t="shared" si="19"/>
        <v>0.90780943152373972</v>
      </c>
      <c r="AF31" s="3"/>
      <c r="AG31" s="31">
        <f t="shared" si="25"/>
        <v>20</v>
      </c>
      <c r="AH31" s="35">
        <f t="shared" si="21"/>
        <v>479989.40283870953</v>
      </c>
      <c r="AI31" s="34">
        <v>642033.47480503621</v>
      </c>
      <c r="AJ31" s="38">
        <f t="shared" si="22"/>
        <v>17.739409686240442</v>
      </c>
      <c r="AK31" s="3"/>
      <c r="AL31" s="90">
        <v>40</v>
      </c>
      <c r="AM31" s="91">
        <f t="shared" si="23"/>
        <v>35.478819372480864</v>
      </c>
      <c r="AN31" s="91">
        <f t="shared" si="14"/>
        <v>1.8156188630475005</v>
      </c>
      <c r="AO31" s="92">
        <f t="shared" si="12"/>
        <v>4.1825883359207765</v>
      </c>
      <c r="AP31" s="92">
        <f t="shared" si="13"/>
        <v>10.746939348197873</v>
      </c>
      <c r="AQ31" s="92">
        <f t="shared" si="15"/>
        <v>8.9313204851503301</v>
      </c>
      <c r="AR31" s="58">
        <f t="shared" si="16"/>
        <v>-1.8156188630475436</v>
      </c>
      <c r="AS31" s="7"/>
      <c r="AT31" s="7"/>
      <c r="AU31" s="7"/>
      <c r="AV31" s="7"/>
      <c r="AW31" s="7"/>
      <c r="AX31" s="7"/>
      <c r="AY31" s="7"/>
    </row>
    <row r="32" spans="1:51" ht="15.75" customHeight="1" x14ac:dyDescent="0.25">
      <c r="A32" s="3" t="s">
        <v>44</v>
      </c>
      <c r="B32" s="6">
        <f>IF(B12=0,0,-(B12/100)*$B$50)</f>
        <v>0</v>
      </c>
      <c r="C32" s="3" t="s">
        <v>3</v>
      </c>
      <c r="D32" s="3"/>
      <c r="E32" s="18" t="s">
        <v>93</v>
      </c>
      <c r="F32" s="6">
        <f>B52-F31</f>
        <v>279993.8183225806</v>
      </c>
      <c r="G32" s="3" t="s">
        <v>3</v>
      </c>
      <c r="H32" s="3"/>
      <c r="I32" s="18" t="s">
        <v>60</v>
      </c>
      <c r="J32" s="28">
        <f>IF(J24="Yes",SUM(F51:F52),0)</f>
        <v>0</v>
      </c>
      <c r="K32" s="3" t="s">
        <v>49</v>
      </c>
      <c r="L32" s="17"/>
      <c r="M32" s="3"/>
      <c r="N32" s="13">
        <f t="shared" si="10"/>
        <v>0</v>
      </c>
      <c r="O32" s="13"/>
      <c r="P32" s="23">
        <f t="shared" si="1"/>
        <v>0</v>
      </c>
      <c r="Q32" s="24">
        <f t="shared" si="2"/>
        <v>0</v>
      </c>
      <c r="R32" s="24">
        <f t="shared" si="3"/>
        <v>0</v>
      </c>
      <c r="S32" s="24">
        <f t="shared" si="4"/>
        <v>0</v>
      </c>
      <c r="T32" s="24">
        <f t="shared" si="5"/>
        <v>0</v>
      </c>
      <c r="U32" s="24">
        <f t="shared" si="6"/>
        <v>0</v>
      </c>
      <c r="V32" s="24">
        <f t="shared" si="7"/>
        <v>0</v>
      </c>
      <c r="W32" s="23">
        <f t="shared" si="11"/>
        <v>0</v>
      </c>
      <c r="X32" s="20">
        <f t="shared" si="0"/>
        <v>0</v>
      </c>
      <c r="Y32" s="4"/>
      <c r="Z32" s="6">
        <f t="shared" si="9"/>
        <v>0</v>
      </c>
      <c r="AA32" s="3"/>
      <c r="AB32" s="31">
        <f t="shared" si="24"/>
        <v>30</v>
      </c>
      <c r="AC32" s="33">
        <f t="shared" si="18"/>
        <v>8.9761904761904765E-2</v>
      </c>
      <c r="AD32" s="34">
        <v>552725.83512690954</v>
      </c>
      <c r="AE32" s="38">
        <f t="shared" si="19"/>
        <v>1.3617141472856309</v>
      </c>
      <c r="AF32" s="3"/>
      <c r="AG32" s="31">
        <f t="shared" si="25"/>
        <v>30</v>
      </c>
      <c r="AH32" s="35">
        <f t="shared" si="21"/>
        <v>519988.51974193542</v>
      </c>
      <c r="AI32" s="34">
        <v>690400.01100645761</v>
      </c>
      <c r="AJ32" s="38">
        <f t="shared" si="22"/>
        <v>26.609114529360667</v>
      </c>
      <c r="AK32" s="3"/>
      <c r="AL32" s="90">
        <v>50</v>
      </c>
      <c r="AM32" s="91">
        <f t="shared" si="23"/>
        <v>44.348524215601124</v>
      </c>
      <c r="AN32" s="91">
        <f t="shared" si="14"/>
        <v>2.2695235788094132</v>
      </c>
      <c r="AO32" s="92">
        <f t="shared" si="12"/>
        <v>5.2282354199009768</v>
      </c>
      <c r="AP32" s="92">
        <f t="shared" si="13"/>
        <v>13.433674185247362</v>
      </c>
      <c r="AQ32" s="92">
        <f t="shared" si="15"/>
        <v>11.164150606437929</v>
      </c>
      <c r="AR32" s="58">
        <f t="shared" si="16"/>
        <v>-2.2695235788094346</v>
      </c>
      <c r="AS32" s="7"/>
      <c r="AT32" s="7"/>
      <c r="AU32" s="7"/>
      <c r="AV32" s="7"/>
      <c r="AW32" s="7"/>
      <c r="AX32" s="7"/>
      <c r="AY32" s="7"/>
    </row>
    <row r="33" spans="1:51" ht="15.75" customHeight="1" x14ac:dyDescent="0.25">
      <c r="A33" s="3" t="s">
        <v>50</v>
      </c>
      <c r="B33" s="6">
        <f>IF(B13=0,0,(B13/100)*B49)</f>
        <v>15151.180645161288</v>
      </c>
      <c r="C33" s="3" t="s">
        <v>3</v>
      </c>
      <c r="D33" s="3"/>
      <c r="E33" s="18" t="s">
        <v>94</v>
      </c>
      <c r="F33" s="26">
        <f>F32*(F22/100)*J21</f>
        <v>139996.90916129033</v>
      </c>
      <c r="G33" s="3" t="s">
        <v>3</v>
      </c>
      <c r="H33" s="3"/>
      <c r="I33" s="3"/>
      <c r="J33" s="3"/>
      <c r="K33" s="3"/>
      <c r="L33" s="17"/>
      <c r="M33" s="3"/>
      <c r="N33" s="13">
        <f t="shared" si="10"/>
        <v>0</v>
      </c>
      <c r="O33" s="13"/>
      <c r="P33" s="23">
        <f t="shared" si="1"/>
        <v>0</v>
      </c>
      <c r="Q33" s="24">
        <f t="shared" si="2"/>
        <v>0</v>
      </c>
      <c r="R33" s="24">
        <f t="shared" si="3"/>
        <v>0</v>
      </c>
      <c r="S33" s="24">
        <f t="shared" si="4"/>
        <v>0</v>
      </c>
      <c r="T33" s="24">
        <f t="shared" si="5"/>
        <v>0</v>
      </c>
      <c r="U33" s="24">
        <f t="shared" si="6"/>
        <v>0</v>
      </c>
      <c r="V33" s="24">
        <f t="shared" si="7"/>
        <v>0</v>
      </c>
      <c r="W33" s="23">
        <f t="shared" si="11"/>
        <v>0</v>
      </c>
      <c r="X33" s="20">
        <f t="shared" si="0"/>
        <v>0</v>
      </c>
      <c r="Y33" s="4"/>
      <c r="Z33" s="6">
        <f t="shared" si="9"/>
        <v>0</v>
      </c>
      <c r="AA33" s="3"/>
      <c r="AB33" s="31">
        <f t="shared" si="24"/>
        <v>40</v>
      </c>
      <c r="AC33" s="33">
        <f t="shared" si="18"/>
        <v>9.6666666666666665E-2</v>
      </c>
      <c r="AD33" s="34">
        <v>555200.97936848155</v>
      </c>
      <c r="AE33" s="38">
        <f t="shared" si="19"/>
        <v>1.8156188630475005</v>
      </c>
      <c r="AF33" s="3"/>
      <c r="AG33" s="31">
        <f t="shared" si="25"/>
        <v>40</v>
      </c>
      <c r="AH33" s="35">
        <f t="shared" si="21"/>
        <v>559987.63664516108</v>
      </c>
      <c r="AI33" s="34">
        <v>738766.5472078789</v>
      </c>
      <c r="AJ33" s="38">
        <f t="shared" si="22"/>
        <v>35.478819372480864</v>
      </c>
      <c r="AK33" s="3"/>
      <c r="AL33" s="32"/>
      <c r="AM33" s="36"/>
      <c r="AN33" s="37"/>
      <c r="AO33" s="39"/>
      <c r="AP33" s="3"/>
      <c r="AQ33" s="7"/>
      <c r="AR33" s="7"/>
      <c r="AS33" s="7"/>
      <c r="AT33" s="7"/>
      <c r="AU33" s="7"/>
      <c r="AV33" s="7"/>
      <c r="AW33" s="7"/>
      <c r="AX33" s="7"/>
      <c r="AY33" s="7"/>
    </row>
    <row r="34" spans="1:51" ht="15.75" customHeight="1" x14ac:dyDescent="0.25">
      <c r="A34" s="3" t="s">
        <v>54</v>
      </c>
      <c r="B34" s="6">
        <f>IF(B14=0,0,(B14/100)*(0.8333*$B$49))</f>
        <v>0</v>
      </c>
      <c r="C34" s="3" t="s">
        <v>3</v>
      </c>
      <c r="D34" s="3"/>
      <c r="E34" s="3"/>
      <c r="F34" s="7"/>
      <c r="G34" s="3"/>
      <c r="H34" s="3"/>
      <c r="I34" s="18" t="s">
        <v>95</v>
      </c>
      <c r="J34" s="6">
        <f>F12*B5</f>
        <v>450000</v>
      </c>
      <c r="K34" s="3" t="s">
        <v>96</v>
      </c>
      <c r="L34" s="17"/>
      <c r="M34" s="3"/>
      <c r="N34" s="13">
        <f t="shared" si="10"/>
        <v>0</v>
      </c>
      <c r="O34" s="13"/>
      <c r="P34" s="23">
        <f t="shared" si="1"/>
        <v>0</v>
      </c>
      <c r="Q34" s="24">
        <f t="shared" si="2"/>
        <v>0</v>
      </c>
      <c r="R34" s="24">
        <f t="shared" si="3"/>
        <v>0</v>
      </c>
      <c r="S34" s="24">
        <f t="shared" si="4"/>
        <v>0</v>
      </c>
      <c r="T34" s="24">
        <f t="shared" si="5"/>
        <v>0</v>
      </c>
      <c r="U34" s="24">
        <f t="shared" si="6"/>
        <v>0</v>
      </c>
      <c r="V34" s="24">
        <f t="shared" si="7"/>
        <v>0</v>
      </c>
      <c r="W34" s="23">
        <f t="shared" si="11"/>
        <v>0</v>
      </c>
      <c r="X34" s="20">
        <f t="shared" si="0"/>
        <v>0</v>
      </c>
      <c r="Y34" s="4"/>
      <c r="Z34" s="6">
        <f t="shared" si="9"/>
        <v>0</v>
      </c>
      <c r="AA34" s="3"/>
      <c r="AB34" s="31">
        <f t="shared" si="24"/>
        <v>50</v>
      </c>
      <c r="AC34" s="33">
        <f t="shared" si="18"/>
        <v>0.10357142857142858</v>
      </c>
      <c r="AD34" s="34">
        <v>557676.12361005379</v>
      </c>
      <c r="AE34" s="38">
        <f t="shared" si="19"/>
        <v>2.2695235788094132</v>
      </c>
      <c r="AF34" s="3"/>
      <c r="AG34" s="31">
        <f t="shared" si="25"/>
        <v>50</v>
      </c>
      <c r="AH34" s="35">
        <f t="shared" si="21"/>
        <v>599986.75354838697</v>
      </c>
      <c r="AI34" s="34">
        <v>787133.08340930054</v>
      </c>
      <c r="AJ34" s="38">
        <f t="shared" si="22"/>
        <v>44.348524215601124</v>
      </c>
      <c r="AK34" s="3"/>
      <c r="AL34" s="32"/>
      <c r="AM34" s="36"/>
      <c r="AN34" s="37"/>
      <c r="AO34" s="39"/>
      <c r="AP34" s="3"/>
      <c r="AQ34" s="7"/>
      <c r="AR34" s="7"/>
      <c r="AS34" s="7"/>
      <c r="AT34" s="7"/>
      <c r="AU34" s="7"/>
      <c r="AV34" s="7"/>
      <c r="AW34" s="7"/>
      <c r="AX34" s="7"/>
      <c r="AY34" s="7"/>
    </row>
    <row r="35" spans="1:51" ht="15.75" customHeight="1" x14ac:dyDescent="0.25">
      <c r="A35" s="3" t="s">
        <v>59</v>
      </c>
      <c r="B35" s="6">
        <f>IF(B15=0,0,(B15/100)*B49)</f>
        <v>75755.90322580644</v>
      </c>
      <c r="C35" s="3" t="s">
        <v>3</v>
      </c>
      <c r="D35" s="3"/>
      <c r="E35" s="2" t="s">
        <v>97</v>
      </c>
      <c r="F35" s="3"/>
      <c r="G35" s="3"/>
      <c r="H35" s="3"/>
      <c r="I35" s="3"/>
      <c r="J35" s="3"/>
      <c r="K35" s="3"/>
      <c r="L35" s="17"/>
      <c r="M35" s="3"/>
      <c r="N35" s="13">
        <f t="shared" si="10"/>
        <v>0</v>
      </c>
      <c r="O35" s="13"/>
      <c r="P35" s="23">
        <f t="shared" si="1"/>
        <v>0</v>
      </c>
      <c r="Q35" s="24">
        <f t="shared" si="2"/>
        <v>0</v>
      </c>
      <c r="R35" s="24">
        <f t="shared" si="3"/>
        <v>0</v>
      </c>
      <c r="S35" s="24">
        <f t="shared" si="4"/>
        <v>0</v>
      </c>
      <c r="T35" s="24">
        <f t="shared" si="5"/>
        <v>0</v>
      </c>
      <c r="U35" s="24">
        <f t="shared" si="6"/>
        <v>0</v>
      </c>
      <c r="V35" s="24">
        <f t="shared" si="7"/>
        <v>0</v>
      </c>
      <c r="W35" s="23">
        <f t="shared" si="11"/>
        <v>0</v>
      </c>
      <c r="X35" s="20">
        <f t="shared" si="0"/>
        <v>0</v>
      </c>
      <c r="Y35" s="4"/>
      <c r="Z35" s="6">
        <f t="shared" si="9"/>
        <v>0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spans="1:51" ht="15.75" customHeight="1" x14ac:dyDescent="0.25">
      <c r="A36" s="27" t="s">
        <v>63</v>
      </c>
      <c r="B36" s="6">
        <f>IF(B16=0,0,(B16/100)*B49)</f>
        <v>1515.1180645161289</v>
      </c>
      <c r="C36" s="3" t="s">
        <v>3</v>
      </c>
      <c r="D36" s="3"/>
      <c r="E36" s="18" t="s">
        <v>30</v>
      </c>
      <c r="F36" s="28">
        <f>F13/$B$8</f>
        <v>6.9047619047619052E-2</v>
      </c>
      <c r="G36" s="3" t="s">
        <v>31</v>
      </c>
      <c r="H36" s="3"/>
      <c r="I36" s="3"/>
      <c r="J36" s="3"/>
      <c r="K36" s="3"/>
      <c r="L36" s="17"/>
      <c r="M36" s="3"/>
      <c r="N36" s="13">
        <f t="shared" si="10"/>
        <v>0</v>
      </c>
      <c r="O36" s="13"/>
      <c r="P36" s="23">
        <f t="shared" si="1"/>
        <v>0</v>
      </c>
      <c r="Q36" s="24">
        <f t="shared" si="2"/>
        <v>0</v>
      </c>
      <c r="R36" s="24">
        <f t="shared" si="3"/>
        <v>0</v>
      </c>
      <c r="S36" s="24">
        <f t="shared" si="4"/>
        <v>0</v>
      </c>
      <c r="T36" s="24">
        <f t="shared" si="5"/>
        <v>0</v>
      </c>
      <c r="U36" s="24">
        <f t="shared" si="6"/>
        <v>0</v>
      </c>
      <c r="V36" s="24">
        <f t="shared" si="7"/>
        <v>0</v>
      </c>
      <c r="W36" s="23">
        <f t="shared" si="11"/>
        <v>0</v>
      </c>
      <c r="X36" s="20">
        <f t="shared" si="0"/>
        <v>0</v>
      </c>
      <c r="Y36" s="4"/>
      <c r="Z36" s="6">
        <f t="shared" si="9"/>
        <v>0</v>
      </c>
      <c r="AA36" s="3"/>
      <c r="AB36" s="30" t="s">
        <v>34</v>
      </c>
      <c r="AC36" s="31"/>
      <c r="AD36" s="31"/>
      <c r="AE36" s="31"/>
      <c r="AF36" s="3"/>
      <c r="AG36" s="30" t="s">
        <v>98</v>
      </c>
      <c r="AH36" s="31"/>
      <c r="AI36" s="31"/>
      <c r="AJ36" s="31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spans="1:51" ht="15.75" customHeight="1" x14ac:dyDescent="0.25">
      <c r="A37" s="27" t="s">
        <v>168</v>
      </c>
      <c r="B37" s="6">
        <f t="shared" ref="B37:B38" si="26">IF(B17=0,0,(B17/100)*B49)</f>
        <v>4545.3541935483863</v>
      </c>
      <c r="C37" s="3" t="s">
        <v>3</v>
      </c>
      <c r="D37" s="3"/>
      <c r="E37" s="18" t="s">
        <v>99</v>
      </c>
      <c r="F37" s="6">
        <f>(F20/((1-J15%)*J11))/B8</f>
        <v>0</v>
      </c>
      <c r="G37" s="3" t="s">
        <v>31</v>
      </c>
      <c r="H37" s="3"/>
      <c r="I37" s="2" t="s">
        <v>100</v>
      </c>
      <c r="J37" s="49">
        <f>SUM(J38:J41)</f>
        <v>15782.867491490015</v>
      </c>
      <c r="K37" s="2" t="s">
        <v>49</v>
      </c>
      <c r="L37" s="17"/>
      <c r="M37" s="3"/>
      <c r="N37" s="13">
        <f t="shared" si="10"/>
        <v>0</v>
      </c>
      <c r="O37" s="13"/>
      <c r="P37" s="23">
        <f t="shared" si="1"/>
        <v>0</v>
      </c>
      <c r="Q37" s="24">
        <f t="shared" si="2"/>
        <v>0</v>
      </c>
      <c r="R37" s="24">
        <f t="shared" si="3"/>
        <v>0</v>
      </c>
      <c r="S37" s="24">
        <f t="shared" si="4"/>
        <v>0</v>
      </c>
      <c r="T37" s="24">
        <f t="shared" si="5"/>
        <v>0</v>
      </c>
      <c r="U37" s="24">
        <f t="shared" si="6"/>
        <v>0</v>
      </c>
      <c r="V37" s="24">
        <f t="shared" si="7"/>
        <v>0</v>
      </c>
      <c r="W37" s="23">
        <f t="shared" si="11"/>
        <v>0</v>
      </c>
      <c r="X37" s="20">
        <f t="shared" si="0"/>
        <v>0</v>
      </c>
      <c r="Y37" s="4"/>
      <c r="Z37" s="6">
        <f t="shared" si="9"/>
        <v>0</v>
      </c>
      <c r="AA37" s="3"/>
      <c r="AB37" s="31" t="s">
        <v>79</v>
      </c>
      <c r="AC37" s="31" t="s">
        <v>101</v>
      </c>
      <c r="AD37" s="31" t="s">
        <v>23</v>
      </c>
      <c r="AE37" s="31" t="s">
        <v>81</v>
      </c>
      <c r="AF37" s="3"/>
      <c r="AG37" s="31" t="s">
        <v>79</v>
      </c>
      <c r="AH37" s="31" t="s">
        <v>102</v>
      </c>
      <c r="AI37" s="31" t="s">
        <v>23</v>
      </c>
      <c r="AJ37" s="31" t="s">
        <v>81</v>
      </c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spans="1:51" ht="15.75" customHeight="1" x14ac:dyDescent="0.25">
      <c r="A38" s="18" t="s">
        <v>69</v>
      </c>
      <c r="B38" s="6">
        <f t="shared" si="26"/>
        <v>3599.9205212903221</v>
      </c>
      <c r="C38" s="3" t="s">
        <v>3</v>
      </c>
      <c r="D38" s="3"/>
      <c r="E38" s="18" t="s">
        <v>103</v>
      </c>
      <c r="F38" s="50">
        <f>F36*J18</f>
        <v>6.8357142857142866E-2</v>
      </c>
      <c r="G38" s="3" t="s">
        <v>4</v>
      </c>
      <c r="H38" s="3"/>
      <c r="I38" s="18" t="s">
        <v>167</v>
      </c>
      <c r="J38" s="28">
        <f>(((F16/100)*B49)/$B$8)</f>
        <v>14.862586728110598</v>
      </c>
      <c r="K38" s="3" t="s">
        <v>49</v>
      </c>
      <c r="L38" s="17"/>
      <c r="M38" s="3"/>
      <c r="N38" s="13">
        <f t="shared" si="10"/>
        <v>0</v>
      </c>
      <c r="O38" s="13"/>
      <c r="P38" s="23">
        <f t="shared" si="1"/>
        <v>0</v>
      </c>
      <c r="Q38" s="24">
        <f t="shared" si="2"/>
        <v>0</v>
      </c>
      <c r="R38" s="24">
        <f t="shared" si="3"/>
        <v>0</v>
      </c>
      <c r="S38" s="24">
        <f t="shared" si="4"/>
        <v>0</v>
      </c>
      <c r="T38" s="24">
        <f t="shared" si="5"/>
        <v>0</v>
      </c>
      <c r="U38" s="24">
        <f t="shared" si="6"/>
        <v>0</v>
      </c>
      <c r="V38" s="24">
        <f t="shared" si="7"/>
        <v>0</v>
      </c>
      <c r="W38" s="23">
        <f t="shared" si="11"/>
        <v>0</v>
      </c>
      <c r="X38" s="20">
        <f t="shared" si="0"/>
        <v>0</v>
      </c>
      <c r="Y38" s="4"/>
      <c r="Z38" s="6">
        <f t="shared" si="9"/>
        <v>0</v>
      </c>
      <c r="AA38" s="3"/>
      <c r="AB38" s="31" t="s">
        <v>84</v>
      </c>
      <c r="AC38" s="35">
        <v>40572</v>
      </c>
      <c r="AD38" s="34">
        <f>X49</f>
        <v>545300.4024021934</v>
      </c>
      <c r="AE38" s="31"/>
      <c r="AF38" s="3"/>
      <c r="AG38" s="31" t="s">
        <v>84</v>
      </c>
      <c r="AH38" s="35">
        <v>45000</v>
      </c>
      <c r="AI38" s="34">
        <f>X49</f>
        <v>545300.4024021934</v>
      </c>
      <c r="AJ38" s="31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spans="1:51" ht="15.75" customHeight="1" x14ac:dyDescent="0.25">
      <c r="A39" s="3"/>
      <c r="B39" s="3"/>
      <c r="C39" s="3"/>
      <c r="D39" s="3"/>
      <c r="E39" s="3"/>
      <c r="F39" s="3"/>
      <c r="G39" s="3"/>
      <c r="H39" s="3"/>
      <c r="I39" s="18" t="s">
        <v>73</v>
      </c>
      <c r="J39" s="28">
        <f>F19/$B$8</f>
        <v>0</v>
      </c>
      <c r="K39" s="3" t="s">
        <v>49</v>
      </c>
      <c r="L39" s="17"/>
      <c r="M39" s="3"/>
      <c r="N39" s="13">
        <f t="shared" si="10"/>
        <v>0</v>
      </c>
      <c r="O39" s="13"/>
      <c r="P39" s="23">
        <f t="shared" si="1"/>
        <v>0</v>
      </c>
      <c r="Q39" s="24">
        <f t="shared" si="2"/>
        <v>0</v>
      </c>
      <c r="R39" s="24">
        <f t="shared" si="3"/>
        <v>0</v>
      </c>
      <c r="S39" s="24">
        <f t="shared" si="4"/>
        <v>0</v>
      </c>
      <c r="T39" s="24">
        <f t="shared" si="5"/>
        <v>0</v>
      </c>
      <c r="U39" s="24">
        <f t="shared" si="6"/>
        <v>0</v>
      </c>
      <c r="V39" s="24">
        <f t="shared" si="7"/>
        <v>0</v>
      </c>
      <c r="W39" s="23">
        <f t="shared" si="11"/>
        <v>0</v>
      </c>
      <c r="X39" s="20">
        <f t="shared" si="0"/>
        <v>0</v>
      </c>
      <c r="Y39" s="4"/>
      <c r="Z39" s="6">
        <f t="shared" si="9"/>
        <v>0</v>
      </c>
      <c r="AA39" s="3"/>
      <c r="AB39" s="31">
        <f t="shared" ref="AB39:AB43" si="27">AB40-10</f>
        <v>-50</v>
      </c>
      <c r="AC39" s="35">
        <f t="shared" ref="AC39:AC49" si="28">$AC$38*(1+(AB39/100))</f>
        <v>20286</v>
      </c>
      <c r="AD39" s="34">
        <f t="dataTable" ref="AD39:AD49" dt2D="0" dtr="0" r1="B48" ca="1"/>
        <v>516790.81361893937</v>
      </c>
      <c r="AE39" s="38">
        <f>100*((AD39-$AD$44)/$AD$44)</f>
        <v>-5.2282354199009768</v>
      </c>
      <c r="AF39" s="3"/>
      <c r="AG39" s="31">
        <f t="shared" ref="AG39:AG43" si="29">AG40-10</f>
        <v>-50</v>
      </c>
      <c r="AH39" s="35">
        <f t="shared" ref="AH39:AH49" si="30">$AH$38*(1+(AG39/100))</f>
        <v>22500</v>
      </c>
      <c r="AI39" s="34">
        <f t="dataTable" ref="AI39:AI49" dt2D="0" dtr="0" r1="F12" ca="1"/>
        <v>472046.5230126399</v>
      </c>
      <c r="AJ39" s="38">
        <f t="shared" ref="AJ39:AJ49" si="31">100*((AI39-$AI$44)/$AI$44)</f>
        <v>-13.433674185247375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spans="1:51" ht="15.75" customHeight="1" x14ac:dyDescent="0.25">
      <c r="A40" s="3"/>
      <c r="B40" s="3"/>
      <c r="C40" s="3"/>
      <c r="D40" s="3"/>
      <c r="E40" s="18" t="s">
        <v>104</v>
      </c>
      <c r="F40" s="28">
        <f>F37*F12*J18</f>
        <v>0</v>
      </c>
      <c r="G40" s="3" t="s">
        <v>49</v>
      </c>
      <c r="H40" s="3"/>
      <c r="I40" s="18" t="s">
        <v>105</v>
      </c>
      <c r="J40" s="28">
        <f>F16/$B$8</f>
        <v>4.9047619047619048E-3</v>
      </c>
      <c r="K40" s="3" t="s">
        <v>49</v>
      </c>
      <c r="L40" s="17"/>
      <c r="M40" s="3"/>
      <c r="N40" s="13">
        <f t="shared" si="10"/>
        <v>0</v>
      </c>
      <c r="O40" s="13"/>
      <c r="P40" s="23">
        <f t="shared" si="1"/>
        <v>0</v>
      </c>
      <c r="Q40" s="24">
        <f t="shared" si="2"/>
        <v>0</v>
      </c>
      <c r="R40" s="24">
        <f t="shared" si="3"/>
        <v>0</v>
      </c>
      <c r="S40" s="24">
        <f t="shared" si="4"/>
        <v>0</v>
      </c>
      <c r="T40" s="24">
        <f t="shared" si="5"/>
        <v>0</v>
      </c>
      <c r="U40" s="24">
        <f t="shared" si="6"/>
        <v>0</v>
      </c>
      <c r="V40" s="24">
        <f t="shared" si="7"/>
        <v>0</v>
      </c>
      <c r="W40" s="23">
        <f t="shared" si="11"/>
        <v>0</v>
      </c>
      <c r="X40" s="20">
        <f t="shared" si="0"/>
        <v>0</v>
      </c>
      <c r="Y40" s="4"/>
      <c r="Z40" s="6">
        <f t="shared" si="9"/>
        <v>0</v>
      </c>
      <c r="AA40" s="3"/>
      <c r="AB40" s="31">
        <f t="shared" si="27"/>
        <v>-40</v>
      </c>
      <c r="AC40" s="35">
        <f t="shared" si="28"/>
        <v>24343.200000000001</v>
      </c>
      <c r="AD40" s="34">
        <v>522492.73137558997</v>
      </c>
      <c r="AE40" s="38">
        <f t="shared" ref="AE40:AE49" si="32">100*((AD40-$AD$29)/$AD$29)</f>
        <v>-4.18258833592082</v>
      </c>
      <c r="AF40" s="3"/>
      <c r="AG40" s="31">
        <f t="shared" si="29"/>
        <v>-40</v>
      </c>
      <c r="AH40" s="35">
        <f t="shared" si="30"/>
        <v>27000</v>
      </c>
      <c r="AI40" s="34">
        <v>486697.29889055056</v>
      </c>
      <c r="AJ40" s="38">
        <f t="shared" si="31"/>
        <v>-10.746939348197905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spans="1:51" ht="15.75" customHeight="1" x14ac:dyDescent="0.25">
      <c r="A41" s="3"/>
      <c r="B41" s="3"/>
      <c r="C41" s="3"/>
      <c r="D41" s="3"/>
      <c r="E41" s="18" t="s">
        <v>106</v>
      </c>
      <c r="F41" s="7">
        <f>F38*F12</f>
        <v>3076.0714285714289</v>
      </c>
      <c r="G41" s="1" t="s">
        <v>49</v>
      </c>
      <c r="H41" s="3"/>
      <c r="I41" s="18" t="s">
        <v>48</v>
      </c>
      <c r="J41" s="51">
        <f>F21*F12/$B$8</f>
        <v>15768</v>
      </c>
      <c r="K41" s="3" t="s">
        <v>49</v>
      </c>
      <c r="L41" s="17"/>
      <c r="M41" s="3"/>
      <c r="N41" s="13">
        <f t="shared" si="10"/>
        <v>0</v>
      </c>
      <c r="O41" s="13"/>
      <c r="P41" s="23">
        <f t="shared" si="1"/>
        <v>0</v>
      </c>
      <c r="Q41" s="24">
        <f t="shared" si="2"/>
        <v>0</v>
      </c>
      <c r="R41" s="24">
        <f t="shared" si="3"/>
        <v>0</v>
      </c>
      <c r="S41" s="24">
        <f t="shared" si="4"/>
        <v>0</v>
      </c>
      <c r="T41" s="24">
        <f t="shared" si="5"/>
        <v>0</v>
      </c>
      <c r="U41" s="24">
        <f t="shared" si="6"/>
        <v>0</v>
      </c>
      <c r="V41" s="24">
        <f t="shared" si="7"/>
        <v>0</v>
      </c>
      <c r="W41" s="23">
        <f t="shared" si="11"/>
        <v>0</v>
      </c>
      <c r="X41" s="20">
        <f t="shared" si="0"/>
        <v>0</v>
      </c>
      <c r="Y41" s="4"/>
      <c r="Z41" s="6">
        <f t="shared" si="9"/>
        <v>0</v>
      </c>
      <c r="AA41" s="3"/>
      <c r="AB41" s="31">
        <f t="shared" si="27"/>
        <v>-30</v>
      </c>
      <c r="AC41" s="35">
        <f t="shared" si="28"/>
        <v>28400.399999999998</v>
      </c>
      <c r="AD41" s="34">
        <v>528194.64913224091</v>
      </c>
      <c r="AE41" s="38">
        <f t="shared" si="32"/>
        <v>-3.1369412519405988</v>
      </c>
      <c r="AF41" s="3"/>
      <c r="AG41" s="31">
        <f t="shared" si="29"/>
        <v>-30</v>
      </c>
      <c r="AH41" s="35">
        <f t="shared" si="30"/>
        <v>31499.999999999996</v>
      </c>
      <c r="AI41" s="34">
        <v>501348.07476846129</v>
      </c>
      <c r="AJ41" s="38">
        <f t="shared" si="31"/>
        <v>-8.0602045111484255</v>
      </c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spans="1:51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17"/>
      <c r="M42" s="3"/>
      <c r="N42" s="13">
        <f t="shared" si="10"/>
        <v>0</v>
      </c>
      <c r="O42" s="13"/>
      <c r="P42" s="23">
        <f t="shared" si="1"/>
        <v>0</v>
      </c>
      <c r="Q42" s="24">
        <f t="shared" si="2"/>
        <v>0</v>
      </c>
      <c r="R42" s="24">
        <f t="shared" si="3"/>
        <v>0</v>
      </c>
      <c r="S42" s="24">
        <f t="shared" si="4"/>
        <v>0</v>
      </c>
      <c r="T42" s="24">
        <f t="shared" si="5"/>
        <v>0</v>
      </c>
      <c r="U42" s="24">
        <f t="shared" si="6"/>
        <v>0</v>
      </c>
      <c r="V42" s="24">
        <f t="shared" si="7"/>
        <v>0</v>
      </c>
      <c r="W42" s="23">
        <f t="shared" si="11"/>
        <v>0</v>
      </c>
      <c r="X42" s="20">
        <f t="shared" si="0"/>
        <v>0</v>
      </c>
      <c r="Y42" s="4"/>
      <c r="Z42" s="6">
        <f t="shared" si="9"/>
        <v>0</v>
      </c>
      <c r="AA42" s="3"/>
      <c r="AB42" s="31">
        <f t="shared" si="27"/>
        <v>-20</v>
      </c>
      <c r="AC42" s="35">
        <f t="shared" si="28"/>
        <v>32457.600000000002</v>
      </c>
      <c r="AD42" s="34">
        <v>533896.56688889151</v>
      </c>
      <c r="AE42" s="38">
        <f t="shared" si="32"/>
        <v>-2.091294167960442</v>
      </c>
      <c r="AF42" s="3"/>
      <c r="AG42" s="31">
        <f t="shared" si="29"/>
        <v>-20</v>
      </c>
      <c r="AH42" s="35">
        <f t="shared" si="30"/>
        <v>36000</v>
      </c>
      <c r="AI42" s="34">
        <v>515998.85064637195</v>
      </c>
      <c r="AJ42" s="38">
        <f t="shared" si="31"/>
        <v>-5.373469674098958</v>
      </c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spans="1:51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17"/>
      <c r="M43" s="3"/>
      <c r="N43" s="13">
        <f t="shared" si="10"/>
        <v>0</v>
      </c>
      <c r="O43" s="13"/>
      <c r="P43" s="23">
        <f t="shared" si="1"/>
        <v>0</v>
      </c>
      <c r="Q43" s="24">
        <f t="shared" si="2"/>
        <v>0</v>
      </c>
      <c r="R43" s="24">
        <f t="shared" si="3"/>
        <v>0</v>
      </c>
      <c r="S43" s="24">
        <f t="shared" si="4"/>
        <v>0</v>
      </c>
      <c r="T43" s="24">
        <f t="shared" si="5"/>
        <v>0</v>
      </c>
      <c r="U43" s="24">
        <f t="shared" si="6"/>
        <v>0</v>
      </c>
      <c r="V43" s="24">
        <f t="shared" si="7"/>
        <v>0</v>
      </c>
      <c r="W43" s="23">
        <f t="shared" si="11"/>
        <v>0</v>
      </c>
      <c r="X43" s="20">
        <f t="shared" si="0"/>
        <v>0</v>
      </c>
      <c r="Y43" s="4"/>
      <c r="Z43" s="6">
        <f t="shared" si="9"/>
        <v>0</v>
      </c>
      <c r="AA43" s="3"/>
      <c r="AB43" s="31">
        <f t="shared" si="27"/>
        <v>-10</v>
      </c>
      <c r="AC43" s="35">
        <f t="shared" si="28"/>
        <v>36514.800000000003</v>
      </c>
      <c r="AD43" s="34">
        <v>539598.48464554257</v>
      </c>
      <c r="AE43" s="38">
        <f t="shared" si="32"/>
        <v>-1.0456470839801997</v>
      </c>
      <c r="AF43" s="3"/>
      <c r="AG43" s="31">
        <f t="shared" si="29"/>
        <v>-10</v>
      </c>
      <c r="AH43" s="35">
        <f t="shared" si="30"/>
        <v>40500</v>
      </c>
      <c r="AI43" s="34">
        <v>530649.62652428274</v>
      </c>
      <c r="AJ43" s="38">
        <f t="shared" si="31"/>
        <v>-2.6867348370494684</v>
      </c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spans="1:51" ht="15.75" customHeight="1" x14ac:dyDescent="0.25">
      <c r="A44" s="25" t="s">
        <v>107</v>
      </c>
      <c r="B44" s="4"/>
      <c r="C44" s="2"/>
      <c r="D44" s="3"/>
      <c r="E44" s="3"/>
      <c r="F44" s="3"/>
      <c r="G44" s="3"/>
      <c r="H44" s="3"/>
      <c r="I44" s="3"/>
      <c r="J44" s="3"/>
      <c r="K44" s="3"/>
      <c r="L44" s="17"/>
      <c r="M44" s="3"/>
      <c r="N44" s="13">
        <f t="shared" si="10"/>
        <v>0</v>
      </c>
      <c r="O44" s="13"/>
      <c r="P44" s="23">
        <f t="shared" si="1"/>
        <v>0</v>
      </c>
      <c r="Q44" s="24">
        <f t="shared" si="2"/>
        <v>0</v>
      </c>
      <c r="R44" s="24">
        <f t="shared" si="3"/>
        <v>0</v>
      </c>
      <c r="S44" s="24">
        <f t="shared" si="4"/>
        <v>0</v>
      </c>
      <c r="T44" s="24">
        <f t="shared" si="5"/>
        <v>0</v>
      </c>
      <c r="U44" s="24">
        <f t="shared" si="6"/>
        <v>0</v>
      </c>
      <c r="V44" s="24">
        <f t="shared" si="7"/>
        <v>0</v>
      </c>
      <c r="W44" s="23">
        <f t="shared" si="11"/>
        <v>0</v>
      </c>
      <c r="X44" s="20">
        <f t="shared" si="0"/>
        <v>0</v>
      </c>
      <c r="Y44" s="4"/>
      <c r="Z44" s="6">
        <f t="shared" si="9"/>
        <v>0</v>
      </c>
      <c r="AA44" s="3"/>
      <c r="AB44" s="43">
        <v>0</v>
      </c>
      <c r="AC44" s="47">
        <f t="shared" si="28"/>
        <v>40572</v>
      </c>
      <c r="AD44" s="45">
        <v>545300.4024021934</v>
      </c>
      <c r="AE44" s="46">
        <f t="shared" si="32"/>
        <v>0</v>
      </c>
      <c r="AF44" s="3"/>
      <c r="AG44" s="43">
        <v>0</v>
      </c>
      <c r="AH44" s="47">
        <f t="shared" si="30"/>
        <v>45000</v>
      </c>
      <c r="AI44" s="45">
        <v>545300.4024021934</v>
      </c>
      <c r="AJ44" s="46">
        <f t="shared" si="31"/>
        <v>0</v>
      </c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spans="1:51" ht="15.75" customHeight="1" x14ac:dyDescent="0.25">
      <c r="A45" s="18" t="s">
        <v>160</v>
      </c>
      <c r="B45" s="6">
        <f>J8/B8</f>
        <v>218709.67741935479</v>
      </c>
      <c r="C45" s="3" t="s">
        <v>3</v>
      </c>
      <c r="D45" s="3"/>
      <c r="E45" s="2" t="s">
        <v>149</v>
      </c>
      <c r="F45" s="3"/>
      <c r="G45" s="3"/>
      <c r="H45" s="3"/>
      <c r="I45" s="2" t="s">
        <v>108</v>
      </c>
      <c r="J45" s="3"/>
      <c r="K45" s="3"/>
      <c r="L45" s="17"/>
      <c r="M45" s="3"/>
      <c r="N45" s="13">
        <f t="shared" si="10"/>
        <v>0</v>
      </c>
      <c r="O45" s="13"/>
      <c r="P45" s="23">
        <f t="shared" si="1"/>
        <v>0</v>
      </c>
      <c r="Q45" s="24">
        <f t="shared" si="2"/>
        <v>0</v>
      </c>
      <c r="R45" s="24">
        <f t="shared" si="3"/>
        <v>0</v>
      </c>
      <c r="S45" s="24">
        <f t="shared" si="4"/>
        <v>0</v>
      </c>
      <c r="T45" s="24">
        <f t="shared" si="5"/>
        <v>0</v>
      </c>
      <c r="U45" s="24">
        <f t="shared" si="6"/>
        <v>0</v>
      </c>
      <c r="V45" s="24">
        <f t="shared" si="7"/>
        <v>0</v>
      </c>
      <c r="W45" s="23">
        <f t="shared" si="11"/>
        <v>0</v>
      </c>
      <c r="X45" s="20">
        <f t="shared" si="0"/>
        <v>0</v>
      </c>
      <c r="Y45" s="4"/>
      <c r="Z45" s="6">
        <f t="shared" si="9"/>
        <v>0</v>
      </c>
      <c r="AA45" s="3"/>
      <c r="AB45" s="31">
        <f t="shared" ref="AB45:AB49" si="33">AB44+10</f>
        <v>10</v>
      </c>
      <c r="AC45" s="35">
        <f t="shared" si="28"/>
        <v>44629.200000000004</v>
      </c>
      <c r="AD45" s="34">
        <v>551002.32015884423</v>
      </c>
      <c r="AE45" s="38">
        <f t="shared" si="32"/>
        <v>1.0456470839801997</v>
      </c>
      <c r="AF45" s="3"/>
      <c r="AG45" s="31">
        <f t="shared" ref="AG45:AG49" si="34">AG44+10</f>
        <v>10</v>
      </c>
      <c r="AH45" s="35">
        <f t="shared" si="30"/>
        <v>49500.000000000007</v>
      </c>
      <c r="AI45" s="34">
        <v>559951.17828010395</v>
      </c>
      <c r="AJ45" s="38">
        <f t="shared" si="31"/>
        <v>2.686734837049447</v>
      </c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spans="1:51" ht="15.75" customHeight="1" x14ac:dyDescent="0.25">
      <c r="A46" s="18" t="s">
        <v>109</v>
      </c>
      <c r="B46" s="6">
        <f>IF(J24="No",J10*J11,0)</f>
        <v>33810</v>
      </c>
      <c r="C46" s="3" t="s">
        <v>3</v>
      </c>
      <c r="D46" s="3"/>
      <c r="E46" s="18" t="s">
        <v>155</v>
      </c>
      <c r="F46" s="69">
        <f>(((1+(B11/100))*J10*J11)*(1+(B12%+B13%+B14%+B15%+B16%+B17%)))</f>
        <v>53555.040000000001</v>
      </c>
      <c r="G46" s="3" t="s">
        <v>3</v>
      </c>
      <c r="H46" s="3"/>
      <c r="I46" s="18" t="s">
        <v>66</v>
      </c>
      <c r="J46" s="22">
        <f>(((F17/100)*B49)/$B$8)</f>
        <v>11.832350599078339</v>
      </c>
      <c r="K46" s="3" t="s">
        <v>49</v>
      </c>
      <c r="L46" s="17"/>
      <c r="M46" s="3"/>
      <c r="N46" s="13">
        <f t="shared" si="10"/>
        <v>0</v>
      </c>
      <c r="O46" s="13"/>
      <c r="P46" s="23">
        <f t="shared" si="1"/>
        <v>0</v>
      </c>
      <c r="Q46" s="24">
        <f t="shared" si="2"/>
        <v>0</v>
      </c>
      <c r="R46" s="24">
        <f t="shared" si="3"/>
        <v>0</v>
      </c>
      <c r="S46" s="24">
        <f t="shared" si="4"/>
        <v>0</v>
      </c>
      <c r="T46" s="24">
        <f t="shared" si="5"/>
        <v>0</v>
      </c>
      <c r="U46" s="24">
        <f t="shared" si="6"/>
        <v>0</v>
      </c>
      <c r="V46" s="24">
        <f t="shared" si="7"/>
        <v>0</v>
      </c>
      <c r="W46" s="23">
        <f t="shared" si="11"/>
        <v>0</v>
      </c>
      <c r="X46" s="20">
        <f t="shared" si="0"/>
        <v>0</v>
      </c>
      <c r="Y46" s="4"/>
      <c r="Z46" s="6">
        <f t="shared" si="9"/>
        <v>0</v>
      </c>
      <c r="AA46" s="3"/>
      <c r="AB46" s="31">
        <f t="shared" si="33"/>
        <v>20</v>
      </c>
      <c r="AC46" s="35">
        <f t="shared" si="28"/>
        <v>48686.400000000001</v>
      </c>
      <c r="AD46" s="34">
        <v>556704.23791549506</v>
      </c>
      <c r="AE46" s="38">
        <f t="shared" si="32"/>
        <v>2.0912941679603994</v>
      </c>
      <c r="AF46" s="3"/>
      <c r="AG46" s="31">
        <f t="shared" si="34"/>
        <v>20</v>
      </c>
      <c r="AH46" s="35">
        <f t="shared" si="30"/>
        <v>54000</v>
      </c>
      <c r="AI46" s="34">
        <v>574601.95415801462</v>
      </c>
      <c r="AJ46" s="38">
        <f t="shared" si="31"/>
        <v>5.3734696740989154</v>
      </c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spans="1:51" ht="15.75" customHeight="1" x14ac:dyDescent="0.25">
      <c r="A47" s="27" t="s">
        <v>110</v>
      </c>
      <c r="B47" s="26">
        <f>(1+(B11/100))*B45</f>
        <v>262451.61290322576</v>
      </c>
      <c r="C47" s="3" t="s">
        <v>3</v>
      </c>
      <c r="D47" s="3"/>
      <c r="E47" s="3" t="s">
        <v>156</v>
      </c>
      <c r="F47" s="69">
        <f>((J22%)*F46)+(((1-J22%)*F46)*(1+(F22%*J21)))</f>
        <v>72299.304000000004</v>
      </c>
      <c r="G47" s="3" t="s">
        <v>3</v>
      </c>
      <c r="H47" s="3"/>
      <c r="I47" s="3"/>
      <c r="J47" s="3"/>
      <c r="K47" s="3"/>
      <c r="L47" s="17"/>
      <c r="M47" s="3"/>
      <c r="N47" s="13">
        <f t="shared" si="10"/>
        <v>0</v>
      </c>
      <c r="O47" s="13"/>
      <c r="P47" s="23">
        <f t="shared" si="1"/>
        <v>0</v>
      </c>
      <c r="Q47" s="24">
        <f t="shared" si="2"/>
        <v>0</v>
      </c>
      <c r="R47" s="24">
        <f t="shared" si="3"/>
        <v>0</v>
      </c>
      <c r="S47" s="24">
        <f t="shared" si="4"/>
        <v>0</v>
      </c>
      <c r="T47" s="24">
        <f t="shared" si="5"/>
        <v>0</v>
      </c>
      <c r="U47" s="24">
        <f t="shared" si="6"/>
        <v>0</v>
      </c>
      <c r="V47" s="24">
        <f t="shared" si="7"/>
        <v>0</v>
      </c>
      <c r="W47" s="23">
        <f t="shared" si="11"/>
        <v>0</v>
      </c>
      <c r="X47" s="20">
        <f t="shared" si="0"/>
        <v>0</v>
      </c>
      <c r="Y47" s="4"/>
      <c r="Z47" s="6">
        <f t="shared" si="9"/>
        <v>0</v>
      </c>
      <c r="AA47" s="3"/>
      <c r="AB47" s="31">
        <f t="shared" si="33"/>
        <v>30</v>
      </c>
      <c r="AC47" s="35">
        <f t="shared" si="28"/>
        <v>52743.6</v>
      </c>
      <c r="AD47" s="34">
        <v>562406.15567214566</v>
      </c>
      <c r="AE47" s="38">
        <f t="shared" si="32"/>
        <v>3.1369412519405557</v>
      </c>
      <c r="AF47" s="3"/>
      <c r="AG47" s="31">
        <f t="shared" si="34"/>
        <v>30</v>
      </c>
      <c r="AH47" s="35">
        <f t="shared" si="30"/>
        <v>58500</v>
      </c>
      <c r="AI47" s="34">
        <v>589252.73003592552</v>
      </c>
      <c r="AJ47" s="38">
        <f t="shared" si="31"/>
        <v>8.0602045111484255</v>
      </c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1:51" ht="15.75" customHeight="1" x14ac:dyDescent="0.25">
      <c r="A48" s="52" t="s">
        <v>111</v>
      </c>
      <c r="B48" s="53">
        <f>(1+(B11/100))*B46</f>
        <v>40572</v>
      </c>
      <c r="C48" s="1" t="s">
        <v>3</v>
      </c>
      <c r="D48" s="3"/>
      <c r="E48" s="3" t="s">
        <v>92</v>
      </c>
      <c r="F48" s="69">
        <f>J13*J12</f>
        <v>940000</v>
      </c>
      <c r="G48" s="3" t="s">
        <v>96</v>
      </c>
      <c r="H48" s="3"/>
      <c r="I48" s="3"/>
      <c r="J48" s="3"/>
      <c r="K48" s="3"/>
      <c r="L48" s="17"/>
      <c r="M48" s="3"/>
      <c r="N48" s="13">
        <f t="shared" si="10"/>
        <v>0</v>
      </c>
      <c r="O48" s="13"/>
      <c r="P48" s="23">
        <f t="shared" si="1"/>
        <v>0</v>
      </c>
      <c r="Q48" s="24">
        <f t="shared" si="2"/>
        <v>0</v>
      </c>
      <c r="R48" s="24">
        <f t="shared" si="3"/>
        <v>0</v>
      </c>
      <c r="S48" s="24">
        <f t="shared" si="4"/>
        <v>0</v>
      </c>
      <c r="T48" s="24">
        <f t="shared" si="5"/>
        <v>0</v>
      </c>
      <c r="U48" s="24">
        <f t="shared" si="6"/>
        <v>0</v>
      </c>
      <c r="V48" s="24">
        <f t="shared" si="7"/>
        <v>0</v>
      </c>
      <c r="W48" s="23">
        <f t="shared" si="11"/>
        <v>0</v>
      </c>
      <c r="X48" s="20">
        <f t="shared" si="0"/>
        <v>0</v>
      </c>
      <c r="Y48" s="4"/>
      <c r="Z48" s="6">
        <f t="shared" si="9"/>
        <v>0</v>
      </c>
      <c r="AA48" s="3"/>
      <c r="AB48" s="31">
        <f t="shared" si="33"/>
        <v>40</v>
      </c>
      <c r="AC48" s="35">
        <f t="shared" si="28"/>
        <v>56800.799999999996</v>
      </c>
      <c r="AD48" s="34">
        <v>568108.0734287966</v>
      </c>
      <c r="AE48" s="38">
        <f t="shared" si="32"/>
        <v>4.1825883359207765</v>
      </c>
      <c r="AF48" s="3"/>
      <c r="AG48" s="31">
        <f t="shared" si="34"/>
        <v>40</v>
      </c>
      <c r="AH48" s="35">
        <f t="shared" si="30"/>
        <v>62999.999999999993</v>
      </c>
      <c r="AI48" s="34">
        <v>603903.50591383607</v>
      </c>
      <c r="AJ48" s="38">
        <f t="shared" si="31"/>
        <v>10.746939348197873</v>
      </c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1:51" ht="15.75" customHeight="1" x14ac:dyDescent="0.25">
      <c r="A49" s="3" t="s">
        <v>112</v>
      </c>
      <c r="B49" s="26">
        <f>B47+B48</f>
        <v>303023.61290322576</v>
      </c>
      <c r="C49" s="3" t="s">
        <v>3</v>
      </c>
      <c r="D49" s="3"/>
      <c r="E49" s="3" t="s">
        <v>151</v>
      </c>
      <c r="F49" s="70">
        <f>(F47/F48)*J25</f>
        <v>9.9988399148936175E-2</v>
      </c>
      <c r="G49" s="3" t="s">
        <v>4</v>
      </c>
      <c r="H49" s="3"/>
      <c r="I49" s="3"/>
      <c r="J49" s="3"/>
      <c r="K49" s="3"/>
      <c r="L49" s="17"/>
      <c r="M49" s="3"/>
      <c r="N49" s="14" t="s">
        <v>113</v>
      </c>
      <c r="O49" s="20">
        <f t="shared" ref="O49:X49" si="35">SUM(O8:O48)</f>
        <v>119997.35070967738</v>
      </c>
      <c r="P49" s="20">
        <f t="shared" si="35"/>
        <v>363668.01130453707</v>
      </c>
      <c r="Q49" s="20">
        <f t="shared" si="35"/>
        <v>24751.442415720834</v>
      </c>
      <c r="R49" s="20">
        <f t="shared" si="35"/>
        <v>0</v>
      </c>
      <c r="S49" s="20">
        <f t="shared" si="35"/>
        <v>121871.11919173392</v>
      </c>
      <c r="T49" s="20">
        <f t="shared" si="35"/>
        <v>91.366274915264043</v>
      </c>
      <c r="U49" s="20">
        <f t="shared" si="35"/>
        <v>0</v>
      </c>
      <c r="V49" s="20">
        <f t="shared" si="35"/>
        <v>0</v>
      </c>
      <c r="W49" s="20">
        <f t="shared" si="35"/>
        <v>-85078.887494391136</v>
      </c>
      <c r="X49" s="20">
        <f t="shared" si="35"/>
        <v>545300.4024021934</v>
      </c>
      <c r="Y49" s="4"/>
      <c r="Z49" s="4"/>
      <c r="AA49" s="3"/>
      <c r="AB49" s="31">
        <f t="shared" si="33"/>
        <v>50</v>
      </c>
      <c r="AC49" s="35">
        <f t="shared" si="28"/>
        <v>60858</v>
      </c>
      <c r="AD49" s="34">
        <v>573809.99118544743</v>
      </c>
      <c r="AE49" s="38">
        <f t="shared" si="32"/>
        <v>5.2282354199009768</v>
      </c>
      <c r="AF49" s="3"/>
      <c r="AG49" s="31">
        <f t="shared" si="34"/>
        <v>50</v>
      </c>
      <c r="AH49" s="35">
        <f t="shared" si="30"/>
        <v>67500</v>
      </c>
      <c r="AI49" s="34">
        <v>618554.28179174685</v>
      </c>
      <c r="AJ49" s="38">
        <f t="shared" si="31"/>
        <v>13.433674185247362</v>
      </c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1:51" ht="15.75" customHeight="1" x14ac:dyDescent="0.25">
      <c r="A50" s="27" t="s">
        <v>114</v>
      </c>
      <c r="B50" s="6">
        <f>SUM(B33:B37)+SUM(B49)</f>
        <v>399991.16903225798</v>
      </c>
      <c r="C50" s="3" t="s">
        <v>3</v>
      </c>
      <c r="D50" s="3"/>
      <c r="E50" s="3" t="s">
        <v>152</v>
      </c>
      <c r="F50" s="6">
        <f>J26*365</f>
        <v>42887.5</v>
      </c>
      <c r="G50" s="3" t="s">
        <v>43</v>
      </c>
      <c r="H50" s="3"/>
      <c r="I50" s="3"/>
      <c r="J50" s="3"/>
      <c r="K50" s="3"/>
      <c r="L50" s="17"/>
      <c r="M50" s="3"/>
      <c r="N50" s="3"/>
      <c r="O50" s="3"/>
      <c r="P50" s="6"/>
      <c r="Q50" s="3"/>
      <c r="R50" s="3"/>
      <c r="S50" s="26">
        <f>SUM(S49:T49)</f>
        <v>121962.48546664917</v>
      </c>
      <c r="T50" s="3"/>
      <c r="U50" s="3"/>
      <c r="V50" s="3"/>
      <c r="W50" s="3"/>
      <c r="X50" s="26"/>
      <c r="Y50" s="26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spans="1:51" ht="15.75" customHeight="1" x14ac:dyDescent="0.25">
      <c r="A51" s="27" t="s">
        <v>115</v>
      </c>
      <c r="B51" s="6">
        <f>SUM(B31:B32)</f>
        <v>0</v>
      </c>
      <c r="C51" s="3" t="s">
        <v>3</v>
      </c>
      <c r="D51" s="3"/>
      <c r="E51" s="3" t="s">
        <v>153</v>
      </c>
      <c r="F51" s="8">
        <f>F49*F50</f>
        <v>4288.2524684999998</v>
      </c>
      <c r="G51" s="73" t="s">
        <v>49</v>
      </c>
      <c r="H51" s="3"/>
      <c r="I51" s="3"/>
      <c r="J51" s="3"/>
      <c r="K51" s="3"/>
      <c r="L51" s="17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0" t="s">
        <v>48</v>
      </c>
      <c r="AC51" s="31"/>
      <c r="AD51" s="31"/>
      <c r="AE51" s="31"/>
      <c r="AF51" s="3"/>
      <c r="AG51" s="30" t="s">
        <v>147</v>
      </c>
      <c r="AH51" s="31"/>
      <c r="AI51" s="31"/>
      <c r="AJ51" s="31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spans="1:51" ht="15.75" customHeight="1" x14ac:dyDescent="0.25">
      <c r="A52" s="27" t="s">
        <v>159</v>
      </c>
      <c r="B52" s="6">
        <f>B50-B51</f>
        <v>399991.16903225798</v>
      </c>
      <c r="C52" s="3" t="s">
        <v>3</v>
      </c>
      <c r="D52" s="3"/>
      <c r="E52" s="3" t="s">
        <v>154</v>
      </c>
      <c r="F52" s="72">
        <f>IF(F13&gt;F50,(F13-F50)*F49,0)</f>
        <v>0</v>
      </c>
      <c r="G52" s="73" t="s">
        <v>49</v>
      </c>
      <c r="H52" s="3"/>
      <c r="I52" s="3"/>
      <c r="J52" s="3"/>
      <c r="K52" s="3"/>
      <c r="L52" s="17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1" t="s">
        <v>79</v>
      </c>
      <c r="AC52" s="31" t="s">
        <v>116</v>
      </c>
      <c r="AD52" s="31" t="s">
        <v>23</v>
      </c>
      <c r="AE52" s="31" t="s">
        <v>81</v>
      </c>
      <c r="AF52" s="3"/>
      <c r="AG52" s="31" t="s">
        <v>79</v>
      </c>
      <c r="AH52" s="31" t="s">
        <v>157</v>
      </c>
      <c r="AI52" s="31" t="s">
        <v>23</v>
      </c>
      <c r="AJ52" s="31" t="s">
        <v>81</v>
      </c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spans="1:51" ht="15.75" customHeight="1" x14ac:dyDescent="0.25">
      <c r="A53" s="40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2"/>
      <c r="M53" s="3"/>
      <c r="N53" s="3"/>
      <c r="O53" s="2" t="s">
        <v>117</v>
      </c>
      <c r="P53" s="2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1" t="s">
        <v>84</v>
      </c>
      <c r="AC53" s="35">
        <v>15768</v>
      </c>
      <c r="AD53" s="34">
        <f>X49</f>
        <v>545300.4024021934</v>
      </c>
      <c r="AE53" s="31"/>
      <c r="AF53" s="3"/>
      <c r="AG53" s="31" t="s">
        <v>84</v>
      </c>
      <c r="AH53" s="35">
        <v>117.5</v>
      </c>
      <c r="AI53" s="34">
        <f>X49</f>
        <v>545300.4024021934</v>
      </c>
      <c r="AJ53" s="31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spans="1:51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54"/>
      <c r="O54" s="55" t="s">
        <v>118</v>
      </c>
      <c r="P54" s="56" t="s">
        <v>119</v>
      </c>
      <c r="Q54" s="54"/>
      <c r="R54" s="54"/>
      <c r="S54" s="54"/>
      <c r="T54" s="54"/>
      <c r="U54" s="54"/>
      <c r="V54" s="57"/>
      <c r="W54" s="3"/>
      <c r="X54" s="7"/>
      <c r="Y54" s="7"/>
      <c r="Z54" s="57"/>
      <c r="AA54" s="7"/>
      <c r="AB54" s="31">
        <f t="shared" ref="AB54:AB58" si="36">AB55-10</f>
        <v>-50</v>
      </c>
      <c r="AC54" s="35">
        <f t="shared" ref="AC54:AC64" si="37">$AC$53*(1+(AB54/100))</f>
        <v>7884</v>
      </c>
      <c r="AD54" s="34">
        <f t="dataTable" ref="AD54:AD64" dt2D="0" dtr="0" r1="J41" ca="1"/>
        <v>484422.24422050029</v>
      </c>
      <c r="AE54" s="38">
        <f t="shared" ref="AE54:AE64" si="38">100*((AD54-$AI$29)/$AI$29)</f>
        <v>-11.164150606437961</v>
      </c>
      <c r="AF54" s="3"/>
      <c r="AG54" s="31">
        <f t="shared" ref="AG54:AG56" si="39">AG55-20</f>
        <v>-100</v>
      </c>
      <c r="AH54" s="35">
        <f>$AH$53*(1+(AG54/100))</f>
        <v>0</v>
      </c>
      <c r="AI54" s="34">
        <f t="dataTable" ref="AI54:AI64" dt2D="0" dtr="0" r1="J26" ca="1"/>
        <v>545300.4024021934</v>
      </c>
      <c r="AJ54" s="38">
        <f>100*((AI54-$AI$59)/$AI$59)</f>
        <v>0</v>
      </c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spans="1:51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 t="s">
        <v>120</v>
      </c>
      <c r="P55" s="26">
        <f>SUM(O49:P49)</f>
        <v>483665.36201421445</v>
      </c>
      <c r="Q55" s="3" t="s">
        <v>3</v>
      </c>
      <c r="R55" s="50">
        <f t="shared" ref="R55:R59" si="40">P55/$J$34</f>
        <v>1.0748119155871432</v>
      </c>
      <c r="S55" s="3" t="s">
        <v>4</v>
      </c>
      <c r="T55" s="3"/>
      <c r="U55" s="3"/>
      <c r="V55" s="57"/>
      <c r="W55" s="3"/>
      <c r="X55" s="7"/>
      <c r="Y55" s="7"/>
      <c r="Z55" s="57"/>
      <c r="AA55" s="7"/>
      <c r="AB55" s="31">
        <f t="shared" si="36"/>
        <v>-40</v>
      </c>
      <c r="AC55" s="35">
        <f t="shared" si="37"/>
        <v>9460.7999999999993</v>
      </c>
      <c r="AD55" s="34">
        <v>496597.87585683895</v>
      </c>
      <c r="AE55" s="38">
        <f t="shared" si="38"/>
        <v>-8.931320485150362</v>
      </c>
      <c r="AF55" s="3"/>
      <c r="AG55" s="31">
        <f t="shared" si="39"/>
        <v>-80</v>
      </c>
      <c r="AH55" s="35">
        <f t="shared" ref="AH55:AH64" si="41">$AH$53*(1+(AG55/100))</f>
        <v>23.499999999999996</v>
      </c>
      <c r="AI55" s="34">
        <v>545300.4024021934</v>
      </c>
      <c r="AJ55" s="38">
        <f t="shared" ref="AJ55:AJ64" si="42">100*((AI55-$AI$59)/$AI$59)</f>
        <v>0</v>
      </c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spans="1:51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 t="s">
        <v>97</v>
      </c>
      <c r="P56" s="26">
        <f>SUM(Q49:R49)</f>
        <v>24751.442415720834</v>
      </c>
      <c r="Q56" s="3" t="s">
        <v>3</v>
      </c>
      <c r="R56" s="50">
        <f t="shared" si="40"/>
        <v>5.5003205368268519E-2</v>
      </c>
      <c r="S56" s="3" t="s">
        <v>4</v>
      </c>
      <c r="T56" s="3"/>
      <c r="U56" s="3"/>
      <c r="V56" s="57"/>
      <c r="W56" s="3"/>
      <c r="X56" s="7"/>
      <c r="Y56" s="7"/>
      <c r="Z56" s="57"/>
      <c r="AA56" s="7"/>
      <c r="AB56" s="31">
        <f t="shared" si="36"/>
        <v>-30</v>
      </c>
      <c r="AC56" s="35">
        <f t="shared" si="37"/>
        <v>11037.599999999999</v>
      </c>
      <c r="AD56" s="34">
        <v>508773.50749317731</v>
      </c>
      <c r="AE56" s="38">
        <f t="shared" si="38"/>
        <v>-6.6984903638628159</v>
      </c>
      <c r="AF56" s="3"/>
      <c r="AG56" s="31">
        <f t="shared" si="39"/>
        <v>-60</v>
      </c>
      <c r="AH56" s="35">
        <f t="shared" si="41"/>
        <v>47</v>
      </c>
      <c r="AI56" s="34">
        <v>545300.4024021934</v>
      </c>
      <c r="AJ56" s="38">
        <f t="shared" si="42"/>
        <v>0</v>
      </c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spans="1:51" ht="15.75" customHeight="1" x14ac:dyDescent="0.25">
      <c r="A57" s="59"/>
      <c r="B57" s="59"/>
      <c r="C57" s="5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 t="s">
        <v>121</v>
      </c>
      <c r="P57" s="26">
        <f>SUM(S49:T49)</f>
        <v>121962.48546664917</v>
      </c>
      <c r="Q57" s="3" t="s">
        <v>3</v>
      </c>
      <c r="R57" s="50">
        <f t="shared" si="40"/>
        <v>0.27102774548144259</v>
      </c>
      <c r="S57" s="3" t="s">
        <v>4</v>
      </c>
      <c r="T57" s="3"/>
      <c r="U57" s="3"/>
      <c r="V57" s="57"/>
      <c r="W57" s="3"/>
      <c r="X57" s="7"/>
      <c r="Y57" s="7"/>
      <c r="Z57" s="57"/>
      <c r="AA57" s="7"/>
      <c r="AB57" s="31">
        <f t="shared" si="36"/>
        <v>-20</v>
      </c>
      <c r="AC57" s="35">
        <f t="shared" si="37"/>
        <v>12614.400000000001</v>
      </c>
      <c r="AD57" s="34">
        <v>520949.13912951597</v>
      </c>
      <c r="AE57" s="38">
        <f t="shared" si="38"/>
        <v>-4.4656602425752183</v>
      </c>
      <c r="AF57" s="3"/>
      <c r="AG57" s="31">
        <f>AG58-20</f>
        <v>-40</v>
      </c>
      <c r="AH57" s="35">
        <f t="shared" si="41"/>
        <v>70.5</v>
      </c>
      <c r="AI57" s="34">
        <v>545300.4024021934</v>
      </c>
      <c r="AJ57" s="38">
        <f t="shared" si="42"/>
        <v>0</v>
      </c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spans="1:51" ht="15.75" customHeight="1" x14ac:dyDescent="0.25">
      <c r="A58" s="59"/>
      <c r="B58" s="59"/>
      <c r="C58" s="5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 t="s">
        <v>122</v>
      </c>
      <c r="P58" s="26">
        <f>SUM(U49:V49)</f>
        <v>0</v>
      </c>
      <c r="Q58" s="3" t="s">
        <v>3</v>
      </c>
      <c r="R58" s="50">
        <f t="shared" si="40"/>
        <v>0</v>
      </c>
      <c r="S58" s="3" t="s">
        <v>4</v>
      </c>
      <c r="T58" s="3"/>
      <c r="U58" s="3"/>
      <c r="V58" s="57"/>
      <c r="W58" s="3"/>
      <c r="X58" s="7"/>
      <c r="Y58" s="7"/>
      <c r="Z58" s="57"/>
      <c r="AA58" s="7"/>
      <c r="AB58" s="31">
        <f t="shared" si="36"/>
        <v>-10</v>
      </c>
      <c r="AC58" s="35">
        <f t="shared" si="37"/>
        <v>14191.2</v>
      </c>
      <c r="AD58" s="34">
        <v>533124.77076585463</v>
      </c>
      <c r="AE58" s="38">
        <f t="shared" si="38"/>
        <v>-2.2328301212876198</v>
      </c>
      <c r="AF58" s="3"/>
      <c r="AG58" s="31">
        <f>AG59-20</f>
        <v>-20</v>
      </c>
      <c r="AH58" s="35">
        <f t="shared" si="41"/>
        <v>94</v>
      </c>
      <c r="AI58" s="34">
        <v>545300.4024021934</v>
      </c>
      <c r="AJ58" s="38">
        <f t="shared" si="42"/>
        <v>0</v>
      </c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spans="1:51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 t="s">
        <v>123</v>
      </c>
      <c r="P59" s="26">
        <f>W49</f>
        <v>-85078.887494391136</v>
      </c>
      <c r="Q59" s="3" t="s">
        <v>3</v>
      </c>
      <c r="R59" s="50">
        <f t="shared" si="40"/>
        <v>-0.1890641944319803</v>
      </c>
      <c r="S59" s="3" t="s">
        <v>4</v>
      </c>
      <c r="T59" s="3"/>
      <c r="U59" s="3"/>
      <c r="V59" s="57"/>
      <c r="W59" s="3"/>
      <c r="X59" s="7"/>
      <c r="Y59" s="7"/>
      <c r="Z59" s="57"/>
      <c r="AA59" s="7"/>
      <c r="AB59" s="43">
        <v>0</v>
      </c>
      <c r="AC59" s="47">
        <f t="shared" si="37"/>
        <v>15768</v>
      </c>
      <c r="AD59" s="45">
        <v>545300.4024021934</v>
      </c>
      <c r="AE59" s="46">
        <f t="shared" si="38"/>
        <v>0</v>
      </c>
      <c r="AF59" s="3"/>
      <c r="AG59" s="43">
        <v>0</v>
      </c>
      <c r="AH59" s="74">
        <f t="shared" si="41"/>
        <v>117.5</v>
      </c>
      <c r="AI59" s="45">
        <v>545300.4024021934</v>
      </c>
      <c r="AJ59" s="75">
        <f t="shared" si="42"/>
        <v>0</v>
      </c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spans="1:51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2" t="s">
        <v>2</v>
      </c>
      <c r="P60" s="4">
        <f>SUM(P55:P59)</f>
        <v>545300.40240219329</v>
      </c>
      <c r="Q60" s="2" t="s">
        <v>3</v>
      </c>
      <c r="R60" s="51">
        <f>SUM(R55:R59)</f>
        <v>1.2117786720048738</v>
      </c>
      <c r="S60" s="2" t="s">
        <v>4</v>
      </c>
      <c r="T60" s="2"/>
      <c r="U60" s="3"/>
      <c r="V60" s="57"/>
      <c r="W60" s="3"/>
      <c r="X60" s="7"/>
      <c r="Y60" s="7"/>
      <c r="Z60" s="57"/>
      <c r="AA60" s="7"/>
      <c r="AB60" s="31">
        <f t="shared" ref="AB60:AB64" si="43">AB59+10</f>
        <v>10</v>
      </c>
      <c r="AC60" s="35">
        <f t="shared" si="37"/>
        <v>17344.800000000003</v>
      </c>
      <c r="AD60" s="34">
        <v>557476.03403853206</v>
      </c>
      <c r="AE60" s="38">
        <f t="shared" si="38"/>
        <v>2.2328301212875985</v>
      </c>
      <c r="AF60" s="3"/>
      <c r="AG60" s="31">
        <f>AG59+20</f>
        <v>20</v>
      </c>
      <c r="AH60" s="35">
        <f t="shared" si="41"/>
        <v>141</v>
      </c>
      <c r="AI60" s="34">
        <v>545300.4024021934</v>
      </c>
      <c r="AJ60" s="38">
        <f t="shared" si="42"/>
        <v>0</v>
      </c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spans="1:51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57"/>
      <c r="W61" s="3"/>
      <c r="X61" s="7"/>
      <c r="Y61" s="7"/>
      <c r="Z61" s="57"/>
      <c r="AA61" s="7"/>
      <c r="AB61" s="31">
        <f t="shared" si="43"/>
        <v>20</v>
      </c>
      <c r="AC61" s="35">
        <f t="shared" si="37"/>
        <v>18921.599999999999</v>
      </c>
      <c r="AD61" s="34">
        <v>569651.66567487048</v>
      </c>
      <c r="AE61" s="38">
        <f t="shared" si="38"/>
        <v>4.4656602425751544</v>
      </c>
      <c r="AF61" s="3"/>
      <c r="AG61" s="31">
        <f t="shared" ref="AG61:AG64" si="44">AG60+20</f>
        <v>40</v>
      </c>
      <c r="AH61" s="35">
        <f t="shared" si="41"/>
        <v>164.5</v>
      </c>
      <c r="AI61" s="34">
        <v>545300.4024021934</v>
      </c>
      <c r="AJ61" s="38">
        <f t="shared" si="42"/>
        <v>0</v>
      </c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spans="1:51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57"/>
      <c r="W62" s="3"/>
      <c r="X62" s="7"/>
      <c r="Y62" s="7"/>
      <c r="Z62" s="57"/>
      <c r="AA62" s="7"/>
      <c r="AB62" s="31">
        <f t="shared" si="43"/>
        <v>30</v>
      </c>
      <c r="AC62" s="35">
        <f t="shared" si="37"/>
        <v>20498.400000000001</v>
      </c>
      <c r="AD62" s="34">
        <v>581827.29731120914</v>
      </c>
      <c r="AE62" s="38">
        <f t="shared" si="38"/>
        <v>6.6984903638627529</v>
      </c>
      <c r="AF62" s="3"/>
      <c r="AG62" s="31">
        <f t="shared" si="44"/>
        <v>60</v>
      </c>
      <c r="AH62" s="35">
        <f t="shared" si="41"/>
        <v>188</v>
      </c>
      <c r="AI62" s="34">
        <v>545300.4024021934</v>
      </c>
      <c r="AJ62" s="38">
        <f t="shared" si="42"/>
        <v>0</v>
      </c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spans="1:51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57"/>
      <c r="W63" s="3"/>
      <c r="X63" s="7"/>
      <c r="Y63" s="7"/>
      <c r="Z63" s="57"/>
      <c r="AA63" s="7"/>
      <c r="AB63" s="31">
        <f t="shared" si="43"/>
        <v>40</v>
      </c>
      <c r="AC63" s="35">
        <f t="shared" si="37"/>
        <v>22075.199999999997</v>
      </c>
      <c r="AD63" s="34">
        <v>594002.92894754768</v>
      </c>
      <c r="AE63" s="38">
        <f t="shared" si="38"/>
        <v>8.9313204851503301</v>
      </c>
      <c r="AF63" s="3"/>
      <c r="AG63" s="31">
        <f t="shared" si="44"/>
        <v>80</v>
      </c>
      <c r="AH63" s="35">
        <f t="shared" si="41"/>
        <v>211.5</v>
      </c>
      <c r="AI63" s="34">
        <v>545300.4024021934</v>
      </c>
      <c r="AJ63" s="38">
        <f t="shared" si="42"/>
        <v>0</v>
      </c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spans="1:51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57"/>
      <c r="W64" s="3"/>
      <c r="X64" s="7"/>
      <c r="Y64" s="7"/>
      <c r="Z64" s="57"/>
      <c r="AA64" s="7"/>
      <c r="AB64" s="31">
        <f t="shared" si="43"/>
        <v>50</v>
      </c>
      <c r="AC64" s="35">
        <f t="shared" si="37"/>
        <v>23652</v>
      </c>
      <c r="AD64" s="34">
        <v>606178.56058388634</v>
      </c>
      <c r="AE64" s="38">
        <f t="shared" si="38"/>
        <v>11.164150606437929</v>
      </c>
      <c r="AF64" s="3"/>
      <c r="AG64" s="31">
        <f t="shared" si="44"/>
        <v>100</v>
      </c>
      <c r="AH64" s="35">
        <f t="shared" si="41"/>
        <v>235</v>
      </c>
      <c r="AI64" s="34">
        <v>545300.4024021934</v>
      </c>
      <c r="AJ64" s="38">
        <f t="shared" si="42"/>
        <v>0</v>
      </c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spans="1:51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57"/>
      <c r="W65" s="3"/>
      <c r="X65" s="7"/>
      <c r="Y65" s="7"/>
      <c r="Z65" s="57"/>
      <c r="AA65" s="7"/>
      <c r="AB65" s="3"/>
      <c r="AC65" s="3"/>
      <c r="AD65" s="3"/>
      <c r="AE65" s="3"/>
      <c r="AF65" s="3"/>
      <c r="AG65" s="3"/>
      <c r="AH65" s="22"/>
      <c r="AI65" s="6"/>
      <c r="AJ65" s="58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spans="1:51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57"/>
      <c r="W66" s="3"/>
      <c r="X66" s="7"/>
      <c r="Y66" s="7"/>
      <c r="Z66" s="57"/>
      <c r="AA66" s="7"/>
      <c r="AB66" s="30" t="s">
        <v>184</v>
      </c>
      <c r="AC66" s="31"/>
      <c r="AD66" s="31"/>
      <c r="AE66" s="31"/>
      <c r="AF66" s="3"/>
      <c r="AG66" s="3"/>
      <c r="AH66" s="22"/>
      <c r="AI66" s="6"/>
      <c r="AJ66" s="58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spans="1:51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57"/>
      <c r="W67" s="3"/>
      <c r="X67" s="7"/>
      <c r="Y67" s="7"/>
      <c r="Z67" s="57"/>
      <c r="AA67" s="7"/>
      <c r="AB67" s="31" t="s">
        <v>79</v>
      </c>
      <c r="AC67" s="31" t="s">
        <v>184</v>
      </c>
      <c r="AD67" s="31" t="s">
        <v>23</v>
      </c>
      <c r="AE67" s="31" t="s">
        <v>81</v>
      </c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spans="1:51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57"/>
      <c r="W68" s="3"/>
      <c r="X68" s="7"/>
      <c r="Y68" s="7"/>
      <c r="Z68" s="57"/>
      <c r="AA68" s="7"/>
      <c r="AB68" s="31" t="s">
        <v>84</v>
      </c>
      <c r="AC68" s="33">
        <v>0.99</v>
      </c>
      <c r="AD68" s="34">
        <f>X49</f>
        <v>545300.4024021934</v>
      </c>
      <c r="AE68" s="31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spans="1:51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60"/>
      <c r="Y69" s="60"/>
      <c r="Z69" s="3"/>
      <c r="AA69" s="60"/>
      <c r="AB69" s="31">
        <f t="shared" ref="AB69:AB73" si="45">AB70-10</f>
        <v>-50</v>
      </c>
      <c r="AC69" s="33">
        <f>$AC$68*(1-(AB69/100))</f>
        <v>1.4849999999999999</v>
      </c>
      <c r="AD69" s="34">
        <f t="dataTable" ref="AD69:AD79" dt2D="0" dtr="0" r1="J18" ca="1"/>
        <v>557676.12361005379</v>
      </c>
      <c r="AE69" s="38">
        <f>100*((AD69-$AD$74)/$AD$74)</f>
        <v>2.2695235788094132</v>
      </c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spans="1:51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1">
        <f t="shared" si="45"/>
        <v>-40</v>
      </c>
      <c r="AC70" s="33">
        <f t="shared" ref="AC70:AC73" si="46">$AC$68*(1-(AB70/100))</f>
        <v>1.3859999999999999</v>
      </c>
      <c r="AD70" s="34">
        <v>555200.97936848155</v>
      </c>
      <c r="AE70" s="38">
        <f t="shared" ref="AE70:AE79" si="47">100*((AD70-$AD$74)/$AD$74)</f>
        <v>1.8156188630475005</v>
      </c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spans="1:51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1">
        <f t="shared" si="45"/>
        <v>-30</v>
      </c>
      <c r="AC71" s="33">
        <f t="shared" si="46"/>
        <v>1.2869999999999999</v>
      </c>
      <c r="AD71" s="34">
        <v>552725.83512690954</v>
      </c>
      <c r="AE71" s="38">
        <f t="shared" si="47"/>
        <v>1.3617141472856309</v>
      </c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spans="1:51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1">
        <f t="shared" si="45"/>
        <v>-20</v>
      </c>
      <c r="AC72" s="33">
        <f t="shared" si="46"/>
        <v>1.1879999999999999</v>
      </c>
      <c r="AD72" s="34">
        <v>550250.69088533742</v>
      </c>
      <c r="AE72" s="38">
        <f t="shared" si="47"/>
        <v>0.90780943152373972</v>
      </c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spans="1:51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1">
        <f t="shared" si="45"/>
        <v>-10</v>
      </c>
      <c r="AC73" s="33">
        <f t="shared" si="46"/>
        <v>1.089</v>
      </c>
      <c r="AD73" s="34">
        <v>547775.54664376541</v>
      </c>
      <c r="AE73" s="38">
        <f t="shared" si="47"/>
        <v>0.45390471576186986</v>
      </c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spans="1:51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43">
        <v>0</v>
      </c>
      <c r="AC74" s="93">
        <f t="shared" ref="AC74" si="48">$AC$68*(1+(AB74/100))</f>
        <v>0.99</v>
      </c>
      <c r="AD74" s="45">
        <v>545300.4024021934</v>
      </c>
      <c r="AE74" s="75">
        <f t="shared" si="47"/>
        <v>0</v>
      </c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spans="1:51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1">
        <f t="shared" ref="AB75:AB79" si="49">AB74+10</f>
        <v>10</v>
      </c>
      <c r="AC75" s="33">
        <f t="shared" ref="AC75:AC79" si="50">$AC$68*(1-(AB75/100))</f>
        <v>0.89100000000000001</v>
      </c>
      <c r="AD75" s="34">
        <v>542825.25816062128</v>
      </c>
      <c r="AE75" s="38">
        <f t="shared" si="47"/>
        <v>-0.45390471576189118</v>
      </c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spans="1:51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1">
        <f t="shared" si="49"/>
        <v>20</v>
      </c>
      <c r="AC76" s="33">
        <f t="shared" si="50"/>
        <v>0.79200000000000004</v>
      </c>
      <c r="AD76" s="34">
        <v>540350.11391904915</v>
      </c>
      <c r="AE76" s="38">
        <f t="shared" si="47"/>
        <v>-0.90780943152378235</v>
      </c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spans="1:51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1">
        <f t="shared" si="49"/>
        <v>30</v>
      </c>
      <c r="AC77" s="33">
        <f t="shared" si="50"/>
        <v>0.69299999999999995</v>
      </c>
      <c r="AD77" s="34">
        <v>537874.96967747714</v>
      </c>
      <c r="AE77" s="38">
        <f t="shared" si="47"/>
        <v>-1.3617141472856522</v>
      </c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spans="1:51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1">
        <f t="shared" si="49"/>
        <v>40</v>
      </c>
      <c r="AC78" s="33">
        <f t="shared" si="50"/>
        <v>0.59399999999999997</v>
      </c>
      <c r="AD78" s="34">
        <v>535399.82543590502</v>
      </c>
      <c r="AE78" s="38">
        <f t="shared" si="47"/>
        <v>-1.8156188630475436</v>
      </c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spans="1:51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1">
        <f t="shared" si="49"/>
        <v>50</v>
      </c>
      <c r="AC79" s="33">
        <f t="shared" si="50"/>
        <v>0.495</v>
      </c>
      <c r="AD79" s="34">
        <v>532924.68119433289</v>
      </c>
      <c r="AE79" s="38">
        <f t="shared" si="47"/>
        <v>-2.2695235788094346</v>
      </c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spans="1:51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spans="1:51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spans="1:51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spans="1:51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spans="1:51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spans="1:51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  <row r="86" spans="1:51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</row>
    <row r="87" spans="1:51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</row>
    <row r="88" spans="1:51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</row>
    <row r="89" spans="1:51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</row>
    <row r="90" spans="1:51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</row>
    <row r="91" spans="1:51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</row>
    <row r="92" spans="1:51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</row>
    <row r="93" spans="1:51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</row>
    <row r="94" spans="1:51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</row>
    <row r="95" spans="1:51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</row>
    <row r="96" spans="1:51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</row>
    <row r="97" spans="1:51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</row>
    <row r="98" spans="1:51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</row>
    <row r="99" spans="1:51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</row>
    <row r="100" spans="1:51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</row>
    <row r="101" spans="1:51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</row>
    <row r="102" spans="1:51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</row>
    <row r="103" spans="1:51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spans="1:51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spans="1:51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spans="1:51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spans="1:51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spans="1:51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spans="1:51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spans="1:51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spans="1:51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</row>
    <row r="112" spans="1:51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</row>
    <row r="113" spans="1:51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</row>
    <row r="114" spans="1:51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</row>
    <row r="115" spans="1:51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</row>
    <row r="116" spans="1:51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</row>
    <row r="117" spans="1:51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</row>
    <row r="118" spans="1:51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</row>
    <row r="119" spans="1:51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</row>
    <row r="120" spans="1:51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</row>
    <row r="121" spans="1:51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</row>
    <row r="122" spans="1:51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</row>
    <row r="123" spans="1:51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</row>
    <row r="124" spans="1:51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</row>
    <row r="125" spans="1:51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</row>
    <row r="126" spans="1:51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</row>
    <row r="127" spans="1:51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</row>
    <row r="128" spans="1:51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</row>
    <row r="129" spans="1:51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</row>
    <row r="130" spans="1:51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</row>
    <row r="131" spans="1:51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</row>
    <row r="132" spans="1:51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</row>
    <row r="133" spans="1:51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</row>
    <row r="134" spans="1:51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</row>
    <row r="135" spans="1:51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</row>
    <row r="136" spans="1:51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</row>
    <row r="137" spans="1:51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</row>
    <row r="138" spans="1:51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</row>
    <row r="139" spans="1:51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</row>
    <row r="140" spans="1:51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</row>
    <row r="141" spans="1:51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</row>
    <row r="142" spans="1:51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</row>
    <row r="143" spans="1:51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</row>
    <row r="144" spans="1:51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</row>
    <row r="145" spans="1:51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</row>
    <row r="146" spans="1:51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</row>
    <row r="147" spans="1:51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</row>
    <row r="148" spans="1:51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</row>
    <row r="149" spans="1:51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</row>
    <row r="150" spans="1:51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</row>
    <row r="151" spans="1:51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</row>
    <row r="152" spans="1:51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</row>
    <row r="153" spans="1:51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</row>
    <row r="154" spans="1:51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</row>
    <row r="155" spans="1:51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</row>
    <row r="156" spans="1:51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</row>
    <row r="157" spans="1:51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</row>
    <row r="158" spans="1:51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</row>
    <row r="159" spans="1:51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</row>
    <row r="160" spans="1:51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</row>
    <row r="161" spans="1:51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</row>
    <row r="162" spans="1:51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</row>
    <row r="163" spans="1:51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</row>
    <row r="164" spans="1:51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</row>
    <row r="165" spans="1:51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</row>
    <row r="166" spans="1:51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</row>
    <row r="167" spans="1:51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</row>
    <row r="168" spans="1:51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</row>
    <row r="169" spans="1:51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</row>
    <row r="170" spans="1:51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</row>
    <row r="171" spans="1:51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</row>
    <row r="172" spans="1:51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</row>
    <row r="173" spans="1:51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</row>
    <row r="174" spans="1:51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</row>
    <row r="175" spans="1:51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</row>
    <row r="176" spans="1:51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</row>
    <row r="177" spans="1:51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</row>
    <row r="178" spans="1:51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</row>
    <row r="179" spans="1:51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</row>
    <row r="180" spans="1:51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</row>
    <row r="181" spans="1:51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</row>
    <row r="182" spans="1:51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</row>
    <row r="183" spans="1:51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</row>
    <row r="184" spans="1:51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</row>
    <row r="185" spans="1:51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</row>
    <row r="186" spans="1:51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</row>
    <row r="187" spans="1:51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</row>
    <row r="188" spans="1:51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</row>
    <row r="189" spans="1:51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</row>
    <row r="190" spans="1:51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</row>
    <row r="191" spans="1:51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</row>
    <row r="192" spans="1:51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</row>
    <row r="193" spans="1:51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</row>
    <row r="194" spans="1:51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</row>
    <row r="195" spans="1:51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</row>
    <row r="196" spans="1:51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</row>
    <row r="197" spans="1:51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</row>
    <row r="198" spans="1:51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</row>
    <row r="199" spans="1:51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</row>
    <row r="200" spans="1:51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</row>
    <row r="201" spans="1:51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</row>
    <row r="202" spans="1:51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</row>
    <row r="203" spans="1:51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</row>
    <row r="204" spans="1:51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</row>
    <row r="205" spans="1:51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</row>
    <row r="206" spans="1:51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</row>
    <row r="207" spans="1:51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</row>
    <row r="208" spans="1:51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</row>
    <row r="209" spans="1:51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</row>
    <row r="210" spans="1:51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</row>
    <row r="211" spans="1:51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</row>
    <row r="212" spans="1:51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</row>
    <row r="213" spans="1:51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</row>
    <row r="214" spans="1:51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</row>
    <row r="215" spans="1:51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</row>
    <row r="216" spans="1:51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</row>
    <row r="217" spans="1:51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</row>
    <row r="218" spans="1:51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</row>
    <row r="219" spans="1:51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</row>
    <row r="220" spans="1:51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</row>
    <row r="221" spans="1:51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</row>
    <row r="222" spans="1:51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</row>
    <row r="223" spans="1:51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</row>
    <row r="224" spans="1:51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</row>
    <row r="225" spans="1:51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</row>
    <row r="226" spans="1:51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</row>
    <row r="227" spans="1:51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</row>
    <row r="228" spans="1:51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</row>
    <row r="229" spans="1:51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</row>
    <row r="230" spans="1:51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</row>
    <row r="231" spans="1:51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</row>
    <row r="232" spans="1:51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</row>
    <row r="233" spans="1:51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</row>
    <row r="234" spans="1:51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</row>
    <row r="235" spans="1:51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</row>
    <row r="236" spans="1:51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</row>
    <row r="237" spans="1:51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</row>
    <row r="238" spans="1:51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</row>
    <row r="239" spans="1:51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</row>
    <row r="240" spans="1:51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</row>
    <row r="241" spans="1:51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</row>
    <row r="242" spans="1:51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</row>
    <row r="243" spans="1:51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</row>
    <row r="244" spans="1:51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</row>
    <row r="245" spans="1:51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</row>
    <row r="246" spans="1:51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</row>
    <row r="247" spans="1:51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</row>
    <row r="248" spans="1:51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</row>
    <row r="249" spans="1:51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</row>
    <row r="250" spans="1:51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</row>
    <row r="251" spans="1:51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</row>
    <row r="252" spans="1:51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</row>
    <row r="253" spans="1:51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</row>
    <row r="254" spans="1:51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</row>
    <row r="255" spans="1:51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</row>
    <row r="256" spans="1:51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</row>
    <row r="257" spans="1:51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</row>
    <row r="258" spans="1:51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</row>
    <row r="259" spans="1:51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</row>
    <row r="260" spans="1:51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</row>
    <row r="261" spans="1:51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</row>
    <row r="262" spans="1:51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</row>
    <row r="263" spans="1:51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</row>
    <row r="264" spans="1:51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</row>
    <row r="265" spans="1:51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</row>
    <row r="266" spans="1:51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</row>
    <row r="267" spans="1:51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</row>
    <row r="268" spans="1:51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</row>
    <row r="269" spans="1:51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</row>
    <row r="270" spans="1:51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</row>
    <row r="271" spans="1:51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</row>
    <row r="272" spans="1:51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</row>
    <row r="273" spans="1:51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</row>
    <row r="274" spans="1:51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</row>
    <row r="275" spans="1:51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</row>
    <row r="276" spans="1:51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</row>
    <row r="277" spans="1:51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</row>
    <row r="278" spans="1:51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</row>
    <row r="279" spans="1:51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</row>
    <row r="280" spans="1:51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</row>
    <row r="281" spans="1:51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</row>
    <row r="282" spans="1:51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</row>
    <row r="283" spans="1:51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</row>
    <row r="284" spans="1:51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</row>
    <row r="285" spans="1:51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</row>
    <row r="286" spans="1:51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</row>
    <row r="287" spans="1:51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</row>
    <row r="288" spans="1:51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</row>
    <row r="289" spans="1:51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</row>
    <row r="290" spans="1:51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</row>
    <row r="291" spans="1:51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</row>
    <row r="292" spans="1:51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</row>
    <row r="293" spans="1:51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</row>
    <row r="294" spans="1:51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</row>
    <row r="295" spans="1:51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</row>
    <row r="296" spans="1:51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</row>
    <row r="297" spans="1:51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</row>
    <row r="298" spans="1:51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</row>
    <row r="299" spans="1:51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</row>
    <row r="300" spans="1:51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</row>
    <row r="301" spans="1:51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</row>
    <row r="302" spans="1:51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</row>
    <row r="303" spans="1:51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</row>
    <row r="304" spans="1:51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</row>
    <row r="305" spans="1:51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</row>
    <row r="306" spans="1:51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</row>
    <row r="307" spans="1:51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</row>
    <row r="308" spans="1:51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</row>
    <row r="309" spans="1:51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</row>
    <row r="310" spans="1:51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</row>
    <row r="311" spans="1:51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</row>
    <row r="312" spans="1:51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</row>
    <row r="313" spans="1:51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</row>
    <row r="314" spans="1:51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</row>
    <row r="315" spans="1:51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</row>
    <row r="316" spans="1:51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</row>
    <row r="317" spans="1:51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</row>
    <row r="318" spans="1:51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</row>
    <row r="319" spans="1:51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</row>
    <row r="320" spans="1:51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</row>
    <row r="321" spans="1:51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</row>
    <row r="322" spans="1:51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</row>
    <row r="323" spans="1:51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</row>
    <row r="324" spans="1:51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</row>
    <row r="325" spans="1:51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</row>
    <row r="326" spans="1:51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</row>
    <row r="327" spans="1:51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</row>
    <row r="328" spans="1:51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</row>
    <row r="329" spans="1:51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</row>
    <row r="330" spans="1:51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</row>
    <row r="331" spans="1:51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</row>
    <row r="332" spans="1:51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</row>
    <row r="333" spans="1:51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</row>
    <row r="334" spans="1:51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</row>
    <row r="335" spans="1:51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</row>
    <row r="336" spans="1:51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</row>
    <row r="337" spans="1:51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</row>
    <row r="338" spans="1:51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</row>
    <row r="339" spans="1:51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</row>
    <row r="340" spans="1:51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</row>
    <row r="341" spans="1:51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</row>
    <row r="342" spans="1:51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</row>
    <row r="343" spans="1:51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</row>
    <row r="344" spans="1:51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</row>
    <row r="345" spans="1:51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</row>
    <row r="346" spans="1:51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</row>
    <row r="347" spans="1:51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</row>
    <row r="348" spans="1:51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</row>
    <row r="349" spans="1:51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</row>
    <row r="350" spans="1:51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</row>
    <row r="351" spans="1:51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</row>
    <row r="352" spans="1:51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</row>
    <row r="353" spans="1:51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</row>
    <row r="354" spans="1:51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</row>
    <row r="355" spans="1:51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</row>
    <row r="356" spans="1:51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</row>
    <row r="357" spans="1:51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</row>
    <row r="358" spans="1:51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</row>
    <row r="359" spans="1:51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</row>
    <row r="360" spans="1:51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</row>
    <row r="361" spans="1:51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</row>
    <row r="362" spans="1:51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</row>
    <row r="363" spans="1:51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</row>
    <row r="364" spans="1:51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</row>
    <row r="365" spans="1:51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</row>
    <row r="366" spans="1:51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</row>
    <row r="367" spans="1:51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</row>
    <row r="368" spans="1:51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</row>
    <row r="369" spans="1:51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</row>
    <row r="370" spans="1:51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</row>
    <row r="371" spans="1:51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</row>
    <row r="372" spans="1:51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</row>
    <row r="373" spans="1:51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</row>
    <row r="374" spans="1:51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</row>
    <row r="375" spans="1:51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</row>
    <row r="376" spans="1:51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</row>
    <row r="377" spans="1:51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</row>
    <row r="378" spans="1:51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</row>
    <row r="379" spans="1:51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</row>
    <row r="380" spans="1:51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</row>
    <row r="381" spans="1:51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</row>
    <row r="382" spans="1:51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</row>
    <row r="383" spans="1:51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</row>
    <row r="384" spans="1:51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</row>
    <row r="385" spans="1:51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</row>
    <row r="386" spans="1:51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</row>
    <row r="387" spans="1:51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</row>
    <row r="388" spans="1:51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</row>
    <row r="389" spans="1:51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</row>
    <row r="390" spans="1:51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</row>
    <row r="391" spans="1:51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</row>
    <row r="392" spans="1:51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</row>
    <row r="393" spans="1:51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</row>
    <row r="394" spans="1:51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</row>
    <row r="395" spans="1:51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</row>
    <row r="396" spans="1:51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</row>
    <row r="397" spans="1:51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</row>
    <row r="398" spans="1:51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</row>
    <row r="399" spans="1:51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</row>
    <row r="400" spans="1:51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</row>
    <row r="401" spans="1:51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</row>
    <row r="402" spans="1:51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</row>
    <row r="403" spans="1:51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</row>
    <row r="404" spans="1:51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</row>
    <row r="405" spans="1:51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</row>
    <row r="406" spans="1:51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</row>
    <row r="407" spans="1:51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</row>
    <row r="408" spans="1:51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</row>
    <row r="409" spans="1:51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</row>
    <row r="410" spans="1:51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</row>
    <row r="411" spans="1:51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</row>
    <row r="412" spans="1:51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</row>
    <row r="413" spans="1:51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</row>
    <row r="414" spans="1:51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</row>
    <row r="415" spans="1:51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</row>
    <row r="416" spans="1:51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</row>
    <row r="417" spans="1:51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</row>
    <row r="418" spans="1:51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</row>
    <row r="419" spans="1:51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</row>
    <row r="420" spans="1:51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</row>
    <row r="421" spans="1:51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</row>
    <row r="422" spans="1:51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</row>
    <row r="423" spans="1:51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</row>
    <row r="424" spans="1:51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</row>
    <row r="425" spans="1:51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</row>
    <row r="426" spans="1:51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</row>
    <row r="427" spans="1:51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</row>
    <row r="428" spans="1:51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</row>
    <row r="429" spans="1:51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</row>
    <row r="430" spans="1:51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</row>
    <row r="431" spans="1:51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</row>
    <row r="432" spans="1:51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</row>
    <row r="433" spans="1:51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</row>
    <row r="434" spans="1:51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</row>
    <row r="435" spans="1:51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</row>
    <row r="436" spans="1:51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</row>
    <row r="437" spans="1:51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</row>
    <row r="438" spans="1:51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</row>
    <row r="439" spans="1:51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</row>
    <row r="440" spans="1:51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</row>
    <row r="441" spans="1:51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</row>
    <row r="442" spans="1:51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</row>
    <row r="443" spans="1:51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</row>
    <row r="444" spans="1:51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</row>
    <row r="445" spans="1:51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</row>
    <row r="446" spans="1:51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</row>
    <row r="447" spans="1:51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</row>
    <row r="448" spans="1:51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</row>
    <row r="449" spans="1:51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</row>
    <row r="450" spans="1:51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</row>
    <row r="451" spans="1:51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</row>
    <row r="452" spans="1:51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</row>
    <row r="453" spans="1:51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</row>
    <row r="454" spans="1:51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</row>
    <row r="455" spans="1:51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</row>
    <row r="456" spans="1:51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</row>
    <row r="457" spans="1:51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</row>
    <row r="458" spans="1:51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</row>
    <row r="459" spans="1:51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</row>
    <row r="460" spans="1:51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</row>
    <row r="461" spans="1:51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</row>
    <row r="462" spans="1:51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</row>
    <row r="463" spans="1:51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</row>
    <row r="464" spans="1:51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</row>
    <row r="465" spans="1:51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</row>
    <row r="466" spans="1:51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</row>
    <row r="467" spans="1:51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</row>
    <row r="468" spans="1:51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</row>
    <row r="469" spans="1:51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</row>
    <row r="470" spans="1:51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</row>
    <row r="471" spans="1:51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</row>
    <row r="472" spans="1:51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</row>
    <row r="473" spans="1:51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</row>
    <row r="474" spans="1:51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</row>
    <row r="475" spans="1:51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</row>
    <row r="476" spans="1:51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</row>
    <row r="477" spans="1:51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</row>
    <row r="478" spans="1:51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</row>
    <row r="479" spans="1:51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</row>
    <row r="480" spans="1:51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</row>
    <row r="481" spans="1:51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</row>
    <row r="482" spans="1:51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</row>
    <row r="483" spans="1:51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</row>
    <row r="484" spans="1:51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</row>
    <row r="485" spans="1:51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</row>
    <row r="486" spans="1:51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</row>
    <row r="487" spans="1:51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</row>
    <row r="488" spans="1:51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</row>
    <row r="489" spans="1:51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</row>
    <row r="490" spans="1:51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</row>
    <row r="491" spans="1:51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</row>
    <row r="492" spans="1:51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</row>
    <row r="493" spans="1:51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</row>
    <row r="494" spans="1:51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</row>
    <row r="495" spans="1:51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</row>
    <row r="496" spans="1:51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</row>
    <row r="497" spans="1:51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</row>
    <row r="498" spans="1:51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</row>
    <row r="499" spans="1:51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</row>
    <row r="500" spans="1:51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</row>
    <row r="501" spans="1:51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</row>
    <row r="502" spans="1:51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</row>
    <row r="503" spans="1:51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</row>
    <row r="504" spans="1:51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</row>
    <row r="505" spans="1:51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</row>
    <row r="506" spans="1:51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</row>
    <row r="507" spans="1:51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</row>
    <row r="508" spans="1:51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</row>
    <row r="509" spans="1:51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</row>
    <row r="510" spans="1:51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</row>
    <row r="511" spans="1:51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</row>
    <row r="512" spans="1:51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</row>
    <row r="513" spans="1:51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</row>
    <row r="514" spans="1:51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</row>
    <row r="515" spans="1:51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</row>
    <row r="516" spans="1:51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</row>
    <row r="517" spans="1:51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</row>
    <row r="518" spans="1:51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</row>
    <row r="519" spans="1:51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</row>
    <row r="520" spans="1:51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</row>
    <row r="521" spans="1:51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</row>
    <row r="522" spans="1:51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</row>
    <row r="523" spans="1:51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</row>
    <row r="524" spans="1:51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</row>
    <row r="525" spans="1:51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</row>
    <row r="526" spans="1:51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</row>
    <row r="527" spans="1:51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</row>
    <row r="528" spans="1:51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</row>
    <row r="529" spans="1:51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</row>
    <row r="530" spans="1:51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</row>
    <row r="531" spans="1:51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</row>
    <row r="532" spans="1:51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</row>
    <row r="533" spans="1:51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</row>
    <row r="534" spans="1:51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</row>
    <row r="535" spans="1:51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</row>
    <row r="536" spans="1:51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</row>
    <row r="537" spans="1:51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</row>
    <row r="538" spans="1:51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</row>
    <row r="539" spans="1:51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</row>
    <row r="540" spans="1:51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</row>
    <row r="541" spans="1:51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</row>
    <row r="542" spans="1:51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</row>
    <row r="543" spans="1:51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</row>
    <row r="544" spans="1:51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</row>
    <row r="545" spans="1:51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</row>
    <row r="546" spans="1:51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</row>
    <row r="547" spans="1:51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</row>
    <row r="548" spans="1:51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</row>
    <row r="549" spans="1:51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</row>
    <row r="550" spans="1:51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</row>
    <row r="551" spans="1:51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</row>
    <row r="552" spans="1:51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</row>
    <row r="553" spans="1:51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</row>
    <row r="554" spans="1:51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</row>
    <row r="555" spans="1:51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</row>
    <row r="556" spans="1:51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</row>
    <row r="557" spans="1:51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</row>
    <row r="558" spans="1:51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</row>
    <row r="559" spans="1:51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</row>
    <row r="560" spans="1:51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</row>
    <row r="561" spans="1:51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</row>
    <row r="562" spans="1:51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</row>
    <row r="563" spans="1:51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</row>
    <row r="564" spans="1:51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</row>
    <row r="565" spans="1:51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</row>
    <row r="566" spans="1:51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</row>
    <row r="567" spans="1:51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</row>
    <row r="568" spans="1:51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</row>
    <row r="569" spans="1:51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</row>
    <row r="570" spans="1:51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</row>
    <row r="571" spans="1:51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</row>
    <row r="572" spans="1:51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</row>
    <row r="573" spans="1:51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</row>
    <row r="574" spans="1:51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</row>
    <row r="575" spans="1:51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</row>
    <row r="576" spans="1:51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</row>
    <row r="577" spans="1:51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</row>
    <row r="578" spans="1:51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</row>
    <row r="579" spans="1:51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</row>
    <row r="580" spans="1:51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</row>
    <row r="581" spans="1:51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</row>
    <row r="582" spans="1:51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</row>
    <row r="583" spans="1:51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</row>
    <row r="584" spans="1:51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</row>
    <row r="585" spans="1:51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</row>
    <row r="586" spans="1:51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</row>
    <row r="587" spans="1:51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</row>
    <row r="588" spans="1:51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</row>
    <row r="589" spans="1:51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</row>
    <row r="590" spans="1:51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</row>
    <row r="591" spans="1:51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</row>
    <row r="592" spans="1:51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</row>
    <row r="593" spans="1:51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</row>
    <row r="594" spans="1:51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</row>
    <row r="595" spans="1:51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</row>
    <row r="596" spans="1:51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</row>
    <row r="597" spans="1:51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</row>
    <row r="598" spans="1:51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</row>
    <row r="599" spans="1:51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</row>
    <row r="600" spans="1:51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</row>
    <row r="601" spans="1:51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</row>
    <row r="602" spans="1:51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</row>
    <row r="603" spans="1:51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</row>
    <row r="604" spans="1:51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</row>
    <row r="605" spans="1:51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</row>
    <row r="606" spans="1:51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</row>
    <row r="607" spans="1:51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</row>
    <row r="608" spans="1:51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</row>
    <row r="609" spans="1:51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</row>
    <row r="610" spans="1:51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</row>
    <row r="611" spans="1:51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</row>
    <row r="612" spans="1:51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</row>
    <row r="613" spans="1:51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</row>
    <row r="614" spans="1:51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</row>
    <row r="615" spans="1:51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</row>
    <row r="616" spans="1:51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</row>
    <row r="617" spans="1:51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</row>
    <row r="618" spans="1:51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</row>
    <row r="619" spans="1:51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</row>
    <row r="620" spans="1:51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</row>
    <row r="621" spans="1:51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</row>
    <row r="622" spans="1:51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</row>
    <row r="623" spans="1:51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</row>
    <row r="624" spans="1:51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</row>
    <row r="625" spans="1:51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</row>
    <row r="626" spans="1:51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</row>
    <row r="627" spans="1:51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</row>
    <row r="628" spans="1:51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</row>
    <row r="629" spans="1:51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</row>
    <row r="630" spans="1:51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</row>
    <row r="631" spans="1:51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</row>
    <row r="632" spans="1:51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</row>
    <row r="633" spans="1:51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</row>
    <row r="634" spans="1:51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</row>
    <row r="635" spans="1:51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</row>
    <row r="636" spans="1:51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</row>
    <row r="637" spans="1:51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</row>
    <row r="638" spans="1:51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</row>
    <row r="639" spans="1:51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</row>
    <row r="640" spans="1:51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</row>
    <row r="641" spans="1:51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</row>
    <row r="642" spans="1:51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</row>
    <row r="643" spans="1:51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</row>
    <row r="644" spans="1:51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</row>
    <row r="645" spans="1:51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</row>
    <row r="646" spans="1:51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</row>
    <row r="647" spans="1:51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</row>
    <row r="648" spans="1:51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</row>
    <row r="649" spans="1:51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</row>
    <row r="650" spans="1:51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</row>
    <row r="651" spans="1:51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</row>
    <row r="652" spans="1:51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</row>
    <row r="653" spans="1:51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</row>
    <row r="654" spans="1:51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</row>
    <row r="655" spans="1:51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</row>
    <row r="656" spans="1:51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</row>
    <row r="657" spans="1:51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</row>
    <row r="658" spans="1:51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</row>
    <row r="659" spans="1:51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</row>
    <row r="660" spans="1:51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</row>
    <row r="661" spans="1:51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</row>
    <row r="662" spans="1:51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</row>
    <row r="663" spans="1:51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</row>
    <row r="664" spans="1:51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</row>
    <row r="665" spans="1:51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</row>
    <row r="666" spans="1:51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</row>
    <row r="667" spans="1:51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</row>
    <row r="668" spans="1:51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</row>
    <row r="669" spans="1:51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</row>
    <row r="670" spans="1:51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</row>
    <row r="671" spans="1:51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</row>
    <row r="672" spans="1:51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</row>
    <row r="673" spans="1:51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</row>
    <row r="674" spans="1:51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</row>
    <row r="675" spans="1:51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</row>
    <row r="676" spans="1:51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</row>
    <row r="677" spans="1:51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</row>
    <row r="678" spans="1:51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</row>
    <row r="679" spans="1:51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</row>
    <row r="680" spans="1:51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</row>
    <row r="681" spans="1:51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</row>
    <row r="682" spans="1:51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</row>
    <row r="683" spans="1:51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</row>
    <row r="684" spans="1:51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</row>
    <row r="685" spans="1:51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</row>
    <row r="686" spans="1:51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</row>
    <row r="687" spans="1:51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</row>
    <row r="688" spans="1:51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</row>
    <row r="689" spans="1:51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</row>
    <row r="690" spans="1:51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</row>
    <row r="691" spans="1:51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</row>
    <row r="692" spans="1:51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</row>
    <row r="693" spans="1:51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</row>
    <row r="694" spans="1:51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</row>
    <row r="695" spans="1:51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</row>
    <row r="696" spans="1:51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</row>
    <row r="697" spans="1:51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</row>
    <row r="698" spans="1:51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</row>
    <row r="699" spans="1:51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</row>
    <row r="700" spans="1:51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</row>
    <row r="701" spans="1:51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</row>
    <row r="702" spans="1:51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</row>
    <row r="703" spans="1:51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</row>
    <row r="704" spans="1:51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</row>
    <row r="705" spans="1:51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</row>
    <row r="706" spans="1:51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</row>
    <row r="707" spans="1:51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</row>
    <row r="708" spans="1:51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</row>
    <row r="709" spans="1:51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</row>
    <row r="710" spans="1:51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</row>
    <row r="711" spans="1:51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</row>
    <row r="712" spans="1:51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</row>
    <row r="713" spans="1:51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</row>
    <row r="714" spans="1:51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</row>
    <row r="715" spans="1:51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</row>
    <row r="716" spans="1:51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</row>
    <row r="717" spans="1:51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</row>
    <row r="718" spans="1:51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</row>
    <row r="719" spans="1:51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</row>
    <row r="720" spans="1:51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</row>
    <row r="721" spans="1:51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</row>
    <row r="722" spans="1:51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</row>
    <row r="723" spans="1:51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</row>
    <row r="724" spans="1:51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</row>
    <row r="725" spans="1:51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</row>
    <row r="726" spans="1:51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</row>
    <row r="727" spans="1:51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</row>
    <row r="728" spans="1:51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</row>
    <row r="729" spans="1:51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</row>
    <row r="730" spans="1:51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</row>
    <row r="731" spans="1:51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</row>
    <row r="732" spans="1:51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</row>
    <row r="733" spans="1:51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</row>
    <row r="734" spans="1:51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</row>
    <row r="735" spans="1:51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</row>
    <row r="736" spans="1:51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</row>
    <row r="737" spans="1:51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</row>
    <row r="738" spans="1:51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</row>
    <row r="739" spans="1:51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</row>
    <row r="740" spans="1:51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</row>
    <row r="741" spans="1:51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</row>
    <row r="742" spans="1:51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</row>
    <row r="743" spans="1:51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</row>
    <row r="744" spans="1:51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</row>
    <row r="745" spans="1:51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</row>
    <row r="746" spans="1:51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</row>
    <row r="747" spans="1:51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</row>
    <row r="748" spans="1:51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</row>
    <row r="749" spans="1:51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</row>
    <row r="750" spans="1:51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</row>
    <row r="751" spans="1:51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</row>
    <row r="752" spans="1:51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</row>
    <row r="753" spans="1:51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</row>
    <row r="754" spans="1:51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</row>
    <row r="755" spans="1:51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</row>
    <row r="756" spans="1:51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</row>
    <row r="757" spans="1:51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</row>
    <row r="758" spans="1:51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</row>
    <row r="759" spans="1:51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</row>
    <row r="760" spans="1:51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</row>
    <row r="761" spans="1:51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</row>
    <row r="762" spans="1:51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</row>
    <row r="763" spans="1:51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</row>
    <row r="764" spans="1:51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</row>
    <row r="765" spans="1:51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</row>
    <row r="766" spans="1:51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</row>
    <row r="767" spans="1:51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</row>
    <row r="768" spans="1:51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</row>
    <row r="769" spans="1:51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</row>
    <row r="770" spans="1:51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</row>
    <row r="771" spans="1:51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</row>
    <row r="772" spans="1:51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</row>
    <row r="773" spans="1:51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</row>
    <row r="774" spans="1:51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</row>
    <row r="775" spans="1:51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</row>
    <row r="776" spans="1:51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</row>
    <row r="777" spans="1:51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</row>
    <row r="778" spans="1:51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</row>
    <row r="779" spans="1:51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</row>
    <row r="780" spans="1:51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</row>
    <row r="781" spans="1:51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</row>
    <row r="782" spans="1:51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</row>
    <row r="783" spans="1:51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</row>
    <row r="784" spans="1:51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</row>
    <row r="785" spans="1:51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</row>
    <row r="786" spans="1:51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</row>
    <row r="787" spans="1:51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</row>
    <row r="788" spans="1:51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</row>
    <row r="789" spans="1:51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</row>
    <row r="790" spans="1:51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</row>
    <row r="791" spans="1:51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</row>
    <row r="792" spans="1:51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</row>
    <row r="793" spans="1:51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</row>
    <row r="794" spans="1:51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</row>
    <row r="795" spans="1:51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</row>
    <row r="796" spans="1:51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</row>
    <row r="797" spans="1:51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</row>
    <row r="798" spans="1:51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</row>
    <row r="799" spans="1:51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</row>
    <row r="800" spans="1:51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</row>
    <row r="801" spans="1:51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</row>
    <row r="802" spans="1:51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</row>
    <row r="803" spans="1:51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</row>
    <row r="804" spans="1:51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</row>
    <row r="805" spans="1:51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</row>
    <row r="806" spans="1:51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</row>
    <row r="807" spans="1:51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</row>
    <row r="808" spans="1:51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</row>
    <row r="809" spans="1:51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</row>
    <row r="810" spans="1:51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</row>
    <row r="811" spans="1:51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</row>
    <row r="812" spans="1:51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</row>
    <row r="813" spans="1:51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</row>
    <row r="814" spans="1:51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</row>
    <row r="815" spans="1:51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</row>
    <row r="816" spans="1:51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</row>
    <row r="817" spans="1:51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</row>
    <row r="818" spans="1:51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</row>
    <row r="819" spans="1:51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</row>
    <row r="820" spans="1:51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</row>
    <row r="821" spans="1:51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</row>
    <row r="822" spans="1:51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</row>
    <row r="823" spans="1:51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</row>
    <row r="824" spans="1:51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</row>
    <row r="825" spans="1:51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</row>
    <row r="826" spans="1:51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</row>
    <row r="827" spans="1:51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</row>
    <row r="828" spans="1:51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</row>
    <row r="829" spans="1:51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</row>
    <row r="830" spans="1:51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</row>
    <row r="831" spans="1:51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</row>
    <row r="832" spans="1:51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</row>
    <row r="833" spans="1:51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</row>
    <row r="834" spans="1:51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</row>
    <row r="835" spans="1:51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</row>
    <row r="836" spans="1:51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</row>
    <row r="837" spans="1:51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</row>
    <row r="838" spans="1:51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</row>
    <row r="839" spans="1:51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</row>
    <row r="840" spans="1:51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</row>
    <row r="841" spans="1:51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</row>
    <row r="842" spans="1:51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</row>
    <row r="843" spans="1:51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</row>
    <row r="844" spans="1:51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</row>
    <row r="845" spans="1:51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</row>
    <row r="846" spans="1:51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</row>
    <row r="847" spans="1:51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</row>
    <row r="848" spans="1:51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</row>
    <row r="849" spans="1:51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</row>
    <row r="850" spans="1:51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</row>
    <row r="851" spans="1:51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</row>
    <row r="852" spans="1:51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</row>
    <row r="853" spans="1:51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</row>
    <row r="854" spans="1:51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</row>
    <row r="855" spans="1:51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</row>
    <row r="856" spans="1:51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</row>
    <row r="857" spans="1:51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</row>
    <row r="858" spans="1:51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</row>
    <row r="859" spans="1:51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</row>
    <row r="860" spans="1:51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</row>
    <row r="861" spans="1:51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</row>
    <row r="862" spans="1:51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</row>
    <row r="863" spans="1:51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</row>
    <row r="864" spans="1:51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</row>
    <row r="865" spans="1:51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</row>
    <row r="866" spans="1:51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</row>
    <row r="867" spans="1:51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</row>
    <row r="868" spans="1:51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</row>
    <row r="869" spans="1:51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</row>
    <row r="870" spans="1:51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</row>
    <row r="871" spans="1:51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</row>
    <row r="872" spans="1:51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</row>
    <row r="873" spans="1:51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</row>
    <row r="874" spans="1:51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</row>
    <row r="875" spans="1:51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</row>
    <row r="876" spans="1:51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</row>
    <row r="877" spans="1:51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</row>
    <row r="878" spans="1:51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</row>
    <row r="879" spans="1:51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</row>
    <row r="880" spans="1:51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</row>
    <row r="881" spans="1:51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</row>
    <row r="882" spans="1:51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</row>
    <row r="883" spans="1:51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</row>
    <row r="884" spans="1:51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</row>
    <row r="885" spans="1:51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</row>
    <row r="886" spans="1:51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</row>
    <row r="887" spans="1:51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</row>
    <row r="888" spans="1:51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</row>
    <row r="889" spans="1:51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</row>
    <row r="890" spans="1:51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</row>
    <row r="891" spans="1:51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</row>
    <row r="892" spans="1:51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</row>
    <row r="893" spans="1:51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</row>
    <row r="894" spans="1:51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</row>
    <row r="895" spans="1:51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</row>
    <row r="896" spans="1:51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</row>
    <row r="897" spans="1:51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</row>
    <row r="898" spans="1:51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</row>
    <row r="899" spans="1:51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</row>
    <row r="900" spans="1:51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</row>
    <row r="901" spans="1:51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</row>
    <row r="902" spans="1:51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</row>
    <row r="903" spans="1:51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</row>
    <row r="904" spans="1:51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</row>
    <row r="905" spans="1:51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</row>
    <row r="906" spans="1:51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</row>
    <row r="907" spans="1:51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</row>
    <row r="908" spans="1:51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</row>
    <row r="909" spans="1:51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</row>
    <row r="910" spans="1:51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</row>
    <row r="911" spans="1:51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</row>
    <row r="912" spans="1:51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</row>
    <row r="913" spans="1:51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</row>
    <row r="914" spans="1:51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</row>
    <row r="915" spans="1:51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</row>
    <row r="916" spans="1:51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</row>
    <row r="917" spans="1:51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</row>
    <row r="918" spans="1:51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</row>
    <row r="919" spans="1:51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</row>
    <row r="920" spans="1:51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</row>
    <row r="921" spans="1:51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</row>
    <row r="922" spans="1:51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</row>
    <row r="923" spans="1:51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</row>
    <row r="924" spans="1:51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</row>
    <row r="925" spans="1:51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</row>
    <row r="926" spans="1:51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</row>
    <row r="927" spans="1:51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</row>
    <row r="928" spans="1:51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</row>
    <row r="929" spans="1:51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</row>
    <row r="930" spans="1:51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</row>
    <row r="931" spans="1:51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</row>
    <row r="932" spans="1:51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</row>
    <row r="933" spans="1:51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</row>
    <row r="934" spans="1:51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</row>
    <row r="935" spans="1:51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</row>
    <row r="936" spans="1:51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</row>
    <row r="937" spans="1:51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</row>
    <row r="938" spans="1:51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</row>
    <row r="939" spans="1:51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</row>
    <row r="940" spans="1:51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</row>
    <row r="941" spans="1:51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</row>
    <row r="942" spans="1:51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</row>
    <row r="943" spans="1:51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</row>
    <row r="944" spans="1:51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</row>
    <row r="945" spans="1:51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</row>
    <row r="946" spans="1:51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</row>
    <row r="947" spans="1:51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</row>
    <row r="948" spans="1:51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</row>
    <row r="949" spans="1:51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</row>
    <row r="950" spans="1:51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</row>
    <row r="951" spans="1:51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</row>
    <row r="952" spans="1:51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</row>
    <row r="953" spans="1:51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</row>
    <row r="954" spans="1:51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</row>
    <row r="955" spans="1:51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</row>
    <row r="956" spans="1:51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</row>
    <row r="957" spans="1:51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</row>
    <row r="958" spans="1:51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</row>
    <row r="959" spans="1:51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</row>
    <row r="960" spans="1:51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</row>
    <row r="961" spans="1:51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</row>
    <row r="962" spans="1:51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</row>
    <row r="963" spans="1:51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</row>
    <row r="964" spans="1:51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</row>
    <row r="965" spans="1:51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</row>
    <row r="966" spans="1:51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</row>
    <row r="967" spans="1:51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</row>
    <row r="968" spans="1:51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</row>
    <row r="969" spans="1:51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</row>
    <row r="970" spans="1:51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</row>
    <row r="971" spans="1:51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</row>
    <row r="972" spans="1:51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</row>
    <row r="973" spans="1:51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</row>
    <row r="974" spans="1:51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</row>
    <row r="975" spans="1:51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</row>
    <row r="976" spans="1:51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</row>
    <row r="977" spans="1:51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</row>
    <row r="978" spans="1:51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</row>
    <row r="979" spans="1:51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</row>
    <row r="980" spans="1:51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</row>
    <row r="981" spans="1:51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</row>
    <row r="982" spans="1:51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</row>
    <row r="983" spans="1:51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</row>
    <row r="984" spans="1:51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</row>
    <row r="985" spans="1:51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</row>
    <row r="986" spans="1:51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</row>
    <row r="987" spans="1:51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</row>
    <row r="988" spans="1:51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</row>
    <row r="989" spans="1:51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</row>
    <row r="990" spans="1:51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</row>
    <row r="991" spans="1:51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</row>
    <row r="992" spans="1:51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</row>
    <row r="993" spans="1:51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</row>
    <row r="994" spans="1:51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</row>
    <row r="995" spans="1:51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</row>
    <row r="996" spans="1:51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</row>
    <row r="997" spans="1:51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</row>
    <row r="998" spans="1:51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</row>
    <row r="999" spans="1:51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</row>
    <row r="1000" spans="1:51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</row>
  </sheetData>
  <dataValidations count="1">
    <dataValidation type="list" allowBlank="1" showInputMessage="1" showErrorMessage="1" sqref="J24" xr:uid="{79416C3E-A0C9-49FA-B634-6AF0C077D3FA}">
      <formula1>#REF!</formula1>
    </dataValidation>
  </dataValidations>
  <pageMargins left="0.7" right="0.7" top="0.75" bottom="0.75" header="0" footer="0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AO1000"/>
  <sheetViews>
    <sheetView topLeftCell="F5" zoomScale="78" zoomScaleNormal="89" workbookViewId="0">
      <selection activeCell="J5" sqref="J1:J1048576"/>
    </sheetView>
  </sheetViews>
  <sheetFormatPr defaultColWidth="14.42578125" defaultRowHeight="15" customHeight="1" x14ac:dyDescent="0.25"/>
  <cols>
    <col min="1" max="1" width="52.7109375" customWidth="1"/>
    <col min="2" max="2" width="17.42578125" customWidth="1"/>
    <col min="3" max="3" width="16.28515625" customWidth="1"/>
    <col min="4" max="4" width="8.85546875" customWidth="1"/>
    <col min="5" max="5" width="48" customWidth="1"/>
    <col min="6" max="6" width="14.28515625" customWidth="1"/>
    <col min="7" max="7" width="8.85546875" customWidth="1"/>
    <col min="8" max="8" width="19.28515625" customWidth="1"/>
    <col min="9" max="9" width="47" bestFit="1" customWidth="1"/>
    <col min="10" max="10" width="17.4257812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16.42578125" customWidth="1"/>
    <col min="19" max="19" width="16" customWidth="1"/>
    <col min="20" max="20" width="22" customWidth="1"/>
    <col min="21" max="21" width="23.85546875" customWidth="1"/>
    <col min="22" max="22" width="12.7109375" customWidth="1"/>
    <col min="23" max="23" width="19.42578125" customWidth="1"/>
    <col min="24" max="24" width="13.42578125" customWidth="1"/>
    <col min="25" max="25" width="8.85546875" customWidth="1"/>
    <col min="26" max="26" width="20.140625" customWidth="1"/>
    <col min="27" max="27" width="25" customWidth="1"/>
    <col min="28" max="28" width="12.85546875" customWidth="1"/>
    <col min="29" max="29" width="19" customWidth="1"/>
    <col min="30" max="30" width="4.7109375" customWidth="1"/>
    <col min="31" max="31" width="20.140625" customWidth="1"/>
    <col min="32" max="32" width="19.28515625" customWidth="1"/>
    <col min="33" max="33" width="11.28515625" customWidth="1"/>
    <col min="34" max="34" width="17.85546875" customWidth="1"/>
  </cols>
  <sheetData>
    <row r="1" spans="1:34" x14ac:dyDescent="0.25">
      <c r="A1" s="2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25">
      <c r="A2" s="2" t="s">
        <v>2</v>
      </c>
      <c r="B2" s="4">
        <f>U49</f>
        <v>436896.16351266182</v>
      </c>
      <c r="C2" s="2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x14ac:dyDescent="0.25">
      <c r="A3" s="3"/>
      <c r="B3" s="5">
        <f>B2/F41</f>
        <v>0.97088036336147077</v>
      </c>
      <c r="C3" s="2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x14ac:dyDescent="0.25">
      <c r="A4" s="2" t="s">
        <v>5</v>
      </c>
      <c r="B4" s="3"/>
      <c r="C4" s="3"/>
      <c r="D4" s="3"/>
      <c r="E4" s="3"/>
      <c r="F4" s="3"/>
      <c r="G4" s="3"/>
      <c r="H4" s="3"/>
      <c r="I4" s="3"/>
      <c r="J4" s="8"/>
      <c r="K4" s="3"/>
      <c r="L4" s="3"/>
      <c r="M4" s="3"/>
      <c r="N4" s="2" t="s">
        <v>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2" t="s">
        <v>7</v>
      </c>
      <c r="AA4" s="3"/>
      <c r="AB4" s="3"/>
      <c r="AC4" s="3"/>
      <c r="AD4" s="3"/>
      <c r="AE4" s="3"/>
      <c r="AF4" s="3"/>
      <c r="AG4" s="3"/>
      <c r="AH4" s="3"/>
    </row>
    <row r="5" spans="1:34" x14ac:dyDescent="0.25">
      <c r="A5" s="3" t="s">
        <v>8</v>
      </c>
      <c r="B5" s="6">
        <v>10</v>
      </c>
      <c r="C5" s="3" t="s">
        <v>9</v>
      </c>
      <c r="D5" s="3"/>
      <c r="E5" s="3"/>
      <c r="F5" s="3"/>
      <c r="G5" s="3"/>
      <c r="H5" s="3"/>
      <c r="I5" s="3"/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25">
      <c r="A6" s="3"/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10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x14ac:dyDescent="0.25">
      <c r="A7" s="9" t="s">
        <v>11</v>
      </c>
      <c r="B7" s="10"/>
      <c r="C7" s="10"/>
      <c r="D7" s="10"/>
      <c r="E7" s="10"/>
      <c r="F7" s="10"/>
      <c r="G7" s="10"/>
      <c r="H7" s="11"/>
      <c r="I7" s="12" t="s">
        <v>12</v>
      </c>
      <c r="J7" s="10"/>
      <c r="K7" s="10"/>
      <c r="L7" s="11"/>
      <c r="M7" s="3"/>
      <c r="N7" s="13" t="s">
        <v>13</v>
      </c>
      <c r="O7" s="13" t="s">
        <v>14</v>
      </c>
      <c r="P7" s="13" t="s">
        <v>15</v>
      </c>
      <c r="Q7" s="13" t="s">
        <v>124</v>
      </c>
      <c r="R7" s="13" t="s">
        <v>125</v>
      </c>
      <c r="S7" s="13" t="s">
        <v>19</v>
      </c>
      <c r="T7" s="13" t="s">
        <v>22</v>
      </c>
      <c r="U7" s="14" t="s">
        <v>23</v>
      </c>
      <c r="V7" s="2"/>
      <c r="W7" s="3" t="s">
        <v>24</v>
      </c>
      <c r="X7" s="3"/>
      <c r="Y7" s="3"/>
      <c r="Z7" s="3" t="s">
        <v>25</v>
      </c>
      <c r="AA7" s="3"/>
      <c r="AB7" s="3"/>
      <c r="AC7" s="3"/>
      <c r="AD7" s="3"/>
      <c r="AE7" s="3"/>
      <c r="AF7" s="3"/>
      <c r="AG7" s="3"/>
      <c r="AH7" s="3"/>
    </row>
    <row r="8" spans="1:34" x14ac:dyDescent="0.25">
      <c r="A8" s="15" t="s">
        <v>26</v>
      </c>
      <c r="B8" s="16">
        <v>2100</v>
      </c>
      <c r="C8" s="3" t="s">
        <v>27</v>
      </c>
      <c r="D8" s="3"/>
      <c r="E8" s="3"/>
      <c r="F8" s="3"/>
      <c r="G8" s="3"/>
      <c r="H8" s="17"/>
      <c r="I8" s="18" t="s">
        <v>185</v>
      </c>
      <c r="J8" s="6">
        <v>214064516.12903225</v>
      </c>
      <c r="K8" s="3" t="s">
        <v>29</v>
      </c>
      <c r="L8" s="17"/>
      <c r="M8" s="3"/>
      <c r="N8" s="13">
        <v>0</v>
      </c>
      <c r="O8" s="19">
        <f>F31</f>
        <v>46234.877419354845</v>
      </c>
      <c r="P8" s="13"/>
      <c r="Q8" s="13"/>
      <c r="R8" s="13"/>
      <c r="S8" s="13"/>
      <c r="T8" s="13"/>
      <c r="U8" s="20">
        <f t="shared" ref="U8:U48" si="0">SUM(O8:T8)</f>
        <v>46234.877419354845</v>
      </c>
      <c r="V8" s="4"/>
      <c r="W8" s="6"/>
      <c r="X8" s="3"/>
      <c r="Y8" s="3"/>
      <c r="Z8" s="3" t="s">
        <v>166</v>
      </c>
      <c r="AA8" s="21">
        <f>F36</f>
        <v>1.1904761904761905</v>
      </c>
      <c r="AB8" s="3" t="s">
        <v>127</v>
      </c>
      <c r="AC8" s="3">
        <v>0.43870967741935485</v>
      </c>
      <c r="AD8" s="3"/>
      <c r="AE8" s="3"/>
      <c r="AF8" s="3"/>
      <c r="AG8" s="3"/>
      <c r="AH8" s="3"/>
    </row>
    <row r="9" spans="1:34" x14ac:dyDescent="0.25">
      <c r="A9" s="15"/>
      <c r="B9" s="3"/>
      <c r="C9" s="3"/>
      <c r="D9" s="3"/>
      <c r="E9" s="3"/>
      <c r="F9" s="22"/>
      <c r="G9" s="3"/>
      <c r="H9" s="17"/>
      <c r="I9" s="18" t="s">
        <v>32</v>
      </c>
      <c r="J9" s="6">
        <v>18800</v>
      </c>
      <c r="K9" s="3" t="s">
        <v>33</v>
      </c>
      <c r="L9" s="17"/>
      <c r="M9" s="3"/>
      <c r="N9" s="13">
        <v>1</v>
      </c>
      <c r="O9" s="13"/>
      <c r="P9" s="23">
        <f t="shared" ref="P9:P48" si="1">IF(N9&gt;0,IF(N9&lt;=$J$15,(($F$32+$F$33)/$J$15)/((1+($F$11/100))^N9),0),0)</f>
        <v>30823.251612903226</v>
      </c>
      <c r="Q9" s="24">
        <f t="shared" ref="Q9:Q48" si="2">IF(N9&gt;0,($F$38*((1+($F$14/100))^(N9-1)))/((1+($F$11/100))^N9),0)</f>
        <v>25000</v>
      </c>
      <c r="R9" s="24">
        <f t="shared" ref="R9:R48" si="3">IF(N9&gt;0,$J$31/((1+($F$11/100))^N9),0)</f>
        <v>8919.5281588764519</v>
      </c>
      <c r="S9" s="24">
        <f t="shared" ref="S9:S48" si="4">IF(N9&gt;0,($J$43)/((1+($F$11/100))^N9),0)</f>
        <v>4.1698778436105624</v>
      </c>
      <c r="T9" s="23">
        <f t="shared" ref="T9:T48" si="5">IF(N9=$B$5,((((1-$J$12/100)^N9)*$B$44)/((1+($F$11/100))^N9))*-1,0)</f>
        <v>0</v>
      </c>
      <c r="U9" s="20">
        <f t="shared" si="0"/>
        <v>64746.94964962329</v>
      </c>
      <c r="V9" s="4"/>
      <c r="W9" s="6">
        <f t="shared" ref="W9:W48" si="6">IF(N9&gt;0,((((1-$J$12/100)^N9)*$B$44/((1+($F$11/100))^N9))),0)</f>
        <v>99228.854070660527</v>
      </c>
      <c r="X9" s="3"/>
      <c r="Y9" s="3"/>
      <c r="Z9" s="18" t="s">
        <v>159</v>
      </c>
      <c r="AA9" s="26">
        <f>B47</f>
        <v>154116.25806451615</v>
      </c>
      <c r="AB9" s="3" t="s">
        <v>3</v>
      </c>
      <c r="AC9" s="3">
        <v>101935.48387096774</v>
      </c>
      <c r="AD9" s="6"/>
      <c r="AE9" s="3"/>
      <c r="AF9" s="3"/>
      <c r="AG9" s="3"/>
      <c r="AH9" s="3"/>
    </row>
    <row r="10" spans="1:34" x14ac:dyDescent="0.25">
      <c r="A10" s="25" t="s">
        <v>35</v>
      </c>
      <c r="B10" s="3"/>
      <c r="C10" s="3"/>
      <c r="D10" s="3"/>
      <c r="E10" s="2" t="s">
        <v>36</v>
      </c>
      <c r="F10" s="3"/>
      <c r="G10" s="3"/>
      <c r="H10" s="17"/>
      <c r="I10" s="18" t="s">
        <v>128</v>
      </c>
      <c r="J10" s="28">
        <v>0.49</v>
      </c>
      <c r="K10" s="3" t="s">
        <v>129</v>
      </c>
      <c r="L10" s="17"/>
      <c r="M10" s="3"/>
      <c r="N10" s="13">
        <f t="shared" ref="N10:N48" si="7">IF((N9+1)&gt;$B$5,,IF(N9=0,,N9+1))</f>
        <v>2</v>
      </c>
      <c r="O10" s="13"/>
      <c r="P10" s="23">
        <f t="shared" si="1"/>
        <v>29355.477726574503</v>
      </c>
      <c r="Q10" s="24">
        <f t="shared" si="2"/>
        <v>24047.619047619046</v>
      </c>
      <c r="R10" s="24">
        <f t="shared" si="3"/>
        <v>8494.7887227394785</v>
      </c>
      <c r="S10" s="24">
        <f t="shared" si="4"/>
        <v>3.9713122320100593</v>
      </c>
      <c r="T10" s="23">
        <f t="shared" si="5"/>
        <v>0</v>
      </c>
      <c r="U10" s="20">
        <f t="shared" si="0"/>
        <v>61901.856809165038</v>
      </c>
      <c r="V10" s="4"/>
      <c r="W10" s="6">
        <f t="shared" si="6"/>
        <v>87812.810669007406</v>
      </c>
      <c r="X10" s="3"/>
      <c r="Y10" s="3"/>
      <c r="Z10" s="3" t="s">
        <v>42</v>
      </c>
      <c r="AA10" s="6">
        <f>F12</f>
        <v>45000</v>
      </c>
      <c r="AB10" s="3" t="s">
        <v>43</v>
      </c>
      <c r="AC10" s="3">
        <v>70353</v>
      </c>
      <c r="AD10" s="6"/>
      <c r="AE10" s="3"/>
      <c r="AF10" s="3"/>
      <c r="AG10" s="3"/>
      <c r="AH10" s="3"/>
    </row>
    <row r="11" spans="1:34" x14ac:dyDescent="0.25">
      <c r="A11" s="27" t="s">
        <v>141</v>
      </c>
      <c r="B11" s="3">
        <v>10</v>
      </c>
      <c r="C11" s="3" t="s">
        <v>38</v>
      </c>
      <c r="D11" s="3"/>
      <c r="E11" s="18" t="s">
        <v>39</v>
      </c>
      <c r="F11" s="3">
        <v>5</v>
      </c>
      <c r="G11" s="3" t="s">
        <v>38</v>
      </c>
      <c r="H11" s="17"/>
      <c r="I11" s="18" t="s">
        <v>57</v>
      </c>
      <c r="J11" s="3">
        <v>30</v>
      </c>
      <c r="K11" s="3" t="s">
        <v>58</v>
      </c>
      <c r="L11" s="17"/>
      <c r="M11" s="3"/>
      <c r="N11" s="13">
        <f t="shared" si="7"/>
        <v>3</v>
      </c>
      <c r="O11" s="13"/>
      <c r="P11" s="23">
        <f t="shared" si="1"/>
        <v>27957.597834832857</v>
      </c>
      <c r="Q11" s="24">
        <f t="shared" si="2"/>
        <v>23131.519274376416</v>
      </c>
      <c r="R11" s="24">
        <f t="shared" si="3"/>
        <v>8090.2749740375975</v>
      </c>
      <c r="S11" s="24">
        <f t="shared" si="4"/>
        <v>3.7822021257238658</v>
      </c>
      <c r="T11" s="23">
        <f t="shared" si="5"/>
        <v>0</v>
      </c>
      <c r="U11" s="20">
        <f t="shared" si="0"/>
        <v>59183.174285372588</v>
      </c>
      <c r="V11" s="4"/>
      <c r="W11" s="6">
        <f t="shared" si="6"/>
        <v>77710.155879658734</v>
      </c>
      <c r="X11" s="3"/>
      <c r="Y11" s="3"/>
      <c r="Z11" s="18" t="s">
        <v>48</v>
      </c>
      <c r="AA11" s="6">
        <f>J35</f>
        <v>9359.9999999999982</v>
      </c>
      <c r="AB11" s="3" t="s">
        <v>49</v>
      </c>
      <c r="AC11" s="3">
        <v>19063.393548387096</v>
      </c>
      <c r="AD11" s="6"/>
      <c r="AE11" s="3"/>
      <c r="AF11" s="3"/>
      <c r="AG11" s="3"/>
      <c r="AH11" s="3"/>
    </row>
    <row r="12" spans="1:34" x14ac:dyDescent="0.25">
      <c r="A12" s="3" t="s">
        <v>44</v>
      </c>
      <c r="B12" s="3">
        <v>0</v>
      </c>
      <c r="C12" s="3" t="s">
        <v>38</v>
      </c>
      <c r="D12" s="3"/>
      <c r="E12" s="18" t="s">
        <v>45</v>
      </c>
      <c r="F12" s="6">
        <v>45000</v>
      </c>
      <c r="G12" s="3" t="s">
        <v>43</v>
      </c>
      <c r="H12" s="17"/>
      <c r="I12" s="18" t="s">
        <v>64</v>
      </c>
      <c r="J12" s="3">
        <v>7.08</v>
      </c>
      <c r="K12" s="3" t="s">
        <v>65</v>
      </c>
      <c r="L12" s="17"/>
      <c r="M12" s="3"/>
      <c r="N12" s="13">
        <f t="shared" si="7"/>
        <v>4</v>
      </c>
      <c r="O12" s="13"/>
      <c r="P12" s="23">
        <f t="shared" si="1"/>
        <v>26626.283652221769</v>
      </c>
      <c r="Q12" s="24">
        <f t="shared" si="2"/>
        <v>22250.318540114458</v>
      </c>
      <c r="R12" s="24">
        <f t="shared" si="3"/>
        <v>7705.0237847977123</v>
      </c>
      <c r="S12" s="24">
        <f t="shared" si="4"/>
        <v>3.6020972625941585</v>
      </c>
      <c r="T12" s="23">
        <f t="shared" si="5"/>
        <v>0</v>
      </c>
      <c r="U12" s="20">
        <f t="shared" si="0"/>
        <v>56585.228074396531</v>
      </c>
      <c r="V12" s="4"/>
      <c r="W12" s="6">
        <f t="shared" si="6"/>
        <v>68769.787469884672</v>
      </c>
      <c r="X12" s="3"/>
      <c r="Y12" s="3"/>
      <c r="Z12" s="95" t="s">
        <v>184</v>
      </c>
      <c r="AA12" s="96">
        <f>J10</f>
        <v>0.49</v>
      </c>
      <c r="AB12" s="95" t="s">
        <v>129</v>
      </c>
      <c r="AC12" s="3"/>
      <c r="AD12" s="6"/>
      <c r="AE12" s="3"/>
      <c r="AF12" s="3"/>
      <c r="AG12" s="3"/>
      <c r="AH12" s="3"/>
    </row>
    <row r="13" spans="1:34" x14ac:dyDescent="0.25">
      <c r="A13" s="3" t="s">
        <v>50</v>
      </c>
      <c r="B13" s="3">
        <v>5</v>
      </c>
      <c r="C13" s="3" t="s">
        <v>38</v>
      </c>
      <c r="D13" s="3"/>
      <c r="E13" s="18" t="s">
        <v>126</v>
      </c>
      <c r="F13" s="6">
        <v>2500</v>
      </c>
      <c r="G13" s="3" t="s">
        <v>130</v>
      </c>
      <c r="H13" s="17"/>
      <c r="I13" s="18"/>
      <c r="J13" s="6"/>
      <c r="K13" s="3"/>
      <c r="L13" s="17"/>
      <c r="M13" s="3"/>
      <c r="N13" s="13">
        <f t="shared" si="7"/>
        <v>5</v>
      </c>
      <c r="O13" s="13"/>
      <c r="P13" s="23">
        <f t="shared" si="1"/>
        <v>25358.365383068351</v>
      </c>
      <c r="Q13" s="24">
        <f t="shared" si="2"/>
        <v>21402.687357633906</v>
      </c>
      <c r="R13" s="24">
        <f t="shared" si="3"/>
        <v>7338.1178902835354</v>
      </c>
      <c r="S13" s="24">
        <f t="shared" si="4"/>
        <v>3.4305688215182459</v>
      </c>
      <c r="T13" s="23">
        <f t="shared" si="5"/>
        <v>0</v>
      </c>
      <c r="U13" s="20">
        <f t="shared" si="0"/>
        <v>54102.601199807315</v>
      </c>
      <c r="V13" s="4"/>
      <c r="W13" s="6">
        <f t="shared" si="6"/>
        <v>60857.987159063647</v>
      </c>
      <c r="X13" s="3"/>
      <c r="Y13" s="3"/>
      <c r="Z13" s="3"/>
      <c r="AA13" s="3"/>
      <c r="AB13" s="3"/>
      <c r="AC13" s="3"/>
      <c r="AD13" s="6"/>
      <c r="AE13" s="3"/>
      <c r="AF13" s="3"/>
      <c r="AG13" s="3"/>
      <c r="AH13" s="3"/>
    </row>
    <row r="14" spans="1:34" x14ac:dyDescent="0.25">
      <c r="A14" s="3" t="s">
        <v>54</v>
      </c>
      <c r="B14" s="3">
        <v>5</v>
      </c>
      <c r="C14" s="3" t="s">
        <v>38</v>
      </c>
      <c r="D14" s="3"/>
      <c r="E14" s="18" t="s">
        <v>131</v>
      </c>
      <c r="F14" s="3">
        <v>1</v>
      </c>
      <c r="G14" s="3" t="s">
        <v>56</v>
      </c>
      <c r="H14" s="17"/>
      <c r="I14" s="2" t="s">
        <v>78</v>
      </c>
      <c r="J14" s="3"/>
      <c r="K14" s="3"/>
      <c r="L14" s="17"/>
      <c r="M14" s="3"/>
      <c r="N14" s="13">
        <f t="shared" si="7"/>
        <v>6</v>
      </c>
      <c r="O14" s="13"/>
      <c r="P14" s="23">
        <f t="shared" si="1"/>
        <v>0</v>
      </c>
      <c r="Q14" s="24">
        <f t="shared" si="2"/>
        <v>20587.346886866901</v>
      </c>
      <c r="R14" s="24">
        <f t="shared" si="3"/>
        <v>6988.6837050319391</v>
      </c>
      <c r="S14" s="24">
        <f t="shared" si="4"/>
        <v>3.2672084014459486</v>
      </c>
      <c r="T14" s="23">
        <f t="shared" si="5"/>
        <v>0</v>
      </c>
      <c r="U14" s="20">
        <f t="shared" si="0"/>
        <v>27579.297800300283</v>
      </c>
      <c r="V14" s="4"/>
      <c r="W14" s="6">
        <f t="shared" si="6"/>
        <v>53856.42063638282</v>
      </c>
      <c r="X14" s="3"/>
      <c r="Y14" s="3"/>
      <c r="Z14" s="3"/>
      <c r="AA14" s="3"/>
      <c r="AB14" s="3"/>
      <c r="AC14" s="3"/>
      <c r="AD14" s="6"/>
      <c r="AE14" s="3"/>
      <c r="AF14" s="3"/>
      <c r="AG14" s="3"/>
      <c r="AH14" s="3"/>
    </row>
    <row r="15" spans="1:34" x14ac:dyDescent="0.25">
      <c r="A15" s="3" t="s">
        <v>59</v>
      </c>
      <c r="B15" s="3">
        <v>25</v>
      </c>
      <c r="C15" s="3" t="s">
        <v>38</v>
      </c>
      <c r="D15" s="3"/>
      <c r="E15" s="18" t="s">
        <v>167</v>
      </c>
      <c r="F15" s="3">
        <v>10.3</v>
      </c>
      <c r="G15" s="3" t="s">
        <v>56</v>
      </c>
      <c r="H15" s="17"/>
      <c r="I15" s="18" t="s">
        <v>83</v>
      </c>
      <c r="J15" s="3">
        <v>5</v>
      </c>
      <c r="K15" s="3" t="s">
        <v>58</v>
      </c>
      <c r="L15" s="17"/>
      <c r="M15" s="3"/>
      <c r="N15" s="13">
        <f t="shared" si="7"/>
        <v>7</v>
      </c>
      <c r="O15" s="13"/>
      <c r="P15" s="23">
        <f t="shared" si="1"/>
        <v>0</v>
      </c>
      <c r="Q15" s="24">
        <f t="shared" si="2"/>
        <v>19803.06700546245</v>
      </c>
      <c r="R15" s="24">
        <f t="shared" si="3"/>
        <v>6655.8892428875597</v>
      </c>
      <c r="S15" s="24">
        <f t="shared" si="4"/>
        <v>3.1116270489961408</v>
      </c>
      <c r="T15" s="23">
        <f t="shared" si="5"/>
        <v>0</v>
      </c>
      <c r="U15" s="20">
        <f t="shared" si="0"/>
        <v>26462.067875399003</v>
      </c>
      <c r="V15" s="4"/>
      <c r="W15" s="6">
        <f t="shared" si="6"/>
        <v>47660.367671739907</v>
      </c>
      <c r="X15" s="3"/>
      <c r="Y15" s="3"/>
      <c r="Z15" s="3"/>
      <c r="AA15" s="3"/>
      <c r="AB15" s="3"/>
      <c r="AC15" s="3"/>
      <c r="AD15" s="6"/>
      <c r="AE15" s="3"/>
      <c r="AF15" s="3"/>
      <c r="AG15" s="3"/>
      <c r="AH15" s="3"/>
    </row>
    <row r="16" spans="1:34" x14ac:dyDescent="0.25">
      <c r="A16" s="27" t="s">
        <v>63</v>
      </c>
      <c r="B16" s="3">
        <v>0.5</v>
      </c>
      <c r="C16" s="3" t="s">
        <v>38</v>
      </c>
      <c r="D16" s="3"/>
      <c r="E16" s="18" t="s">
        <v>66</v>
      </c>
      <c r="F16" s="6">
        <v>8.1999999999999993</v>
      </c>
      <c r="G16" s="3" t="s">
        <v>67</v>
      </c>
      <c r="H16" s="17"/>
      <c r="I16" s="18" t="s">
        <v>85</v>
      </c>
      <c r="J16" s="3">
        <v>30</v>
      </c>
      <c r="K16" s="3" t="s">
        <v>86</v>
      </c>
      <c r="L16" s="17"/>
      <c r="M16" s="3"/>
      <c r="N16" s="13">
        <f t="shared" si="7"/>
        <v>8</v>
      </c>
      <c r="O16" s="13"/>
      <c r="P16" s="23">
        <f t="shared" si="1"/>
        <v>0</v>
      </c>
      <c r="Q16" s="24">
        <f t="shared" si="2"/>
        <v>19048.6644528734</v>
      </c>
      <c r="R16" s="24">
        <f t="shared" si="3"/>
        <v>6338.9421360833912</v>
      </c>
      <c r="S16" s="24">
        <f t="shared" si="4"/>
        <v>2.9634543323772777</v>
      </c>
      <c r="T16" s="23">
        <f t="shared" si="5"/>
        <v>0</v>
      </c>
      <c r="U16" s="20">
        <f t="shared" si="0"/>
        <v>25390.570043289168</v>
      </c>
      <c r="V16" s="4"/>
      <c r="W16" s="6">
        <f t="shared" si="6"/>
        <v>42177.155848172129</v>
      </c>
      <c r="X16" s="3"/>
      <c r="Y16" s="3"/>
      <c r="Z16" s="3"/>
      <c r="AA16" s="3"/>
      <c r="AB16" s="3"/>
      <c r="AC16" s="3"/>
      <c r="AD16" s="6"/>
      <c r="AE16" s="3"/>
      <c r="AF16" s="3"/>
      <c r="AG16" s="3"/>
      <c r="AH16" s="3"/>
    </row>
    <row r="17" spans="1:41" x14ac:dyDescent="0.25">
      <c r="A17" s="27" t="s">
        <v>168</v>
      </c>
      <c r="B17" s="3">
        <v>1.5</v>
      </c>
      <c r="C17" s="3" t="s">
        <v>38</v>
      </c>
      <c r="D17" s="3"/>
      <c r="E17" s="18" t="s">
        <v>70</v>
      </c>
      <c r="F17" s="61">
        <v>0</v>
      </c>
      <c r="G17" s="3" t="s">
        <v>38</v>
      </c>
      <c r="H17" s="17"/>
      <c r="I17" s="3"/>
      <c r="J17" s="3"/>
      <c r="K17" s="3"/>
      <c r="L17" s="17"/>
      <c r="M17" s="3"/>
      <c r="N17" s="13">
        <f t="shared" si="7"/>
        <v>9</v>
      </c>
      <c r="O17" s="13"/>
      <c r="P17" s="23">
        <f t="shared" si="1"/>
        <v>0</v>
      </c>
      <c r="Q17" s="24">
        <f t="shared" si="2"/>
        <v>18323.001045144891</v>
      </c>
      <c r="R17" s="24">
        <f t="shared" si="3"/>
        <v>6037.087748650848</v>
      </c>
      <c r="S17" s="24">
        <f t="shared" si="4"/>
        <v>2.8223374594069308</v>
      </c>
      <c r="T17" s="23">
        <f t="shared" si="5"/>
        <v>0</v>
      </c>
      <c r="U17" s="20">
        <f t="shared" si="0"/>
        <v>24362.911131255143</v>
      </c>
      <c r="V17" s="4"/>
      <c r="W17" s="6">
        <f t="shared" si="6"/>
        <v>37324.77448963956</v>
      </c>
      <c r="X17" s="3"/>
      <c r="Y17" s="3"/>
      <c r="Z17" s="3"/>
      <c r="AA17" s="3"/>
      <c r="AB17" s="3"/>
      <c r="AC17" s="3"/>
      <c r="AD17" s="6"/>
      <c r="AE17" s="3"/>
      <c r="AF17" s="3"/>
      <c r="AG17" s="3"/>
      <c r="AH17" s="3"/>
    </row>
    <row r="18" spans="1:41" x14ac:dyDescent="0.25">
      <c r="A18" s="18" t="s">
        <v>69</v>
      </c>
      <c r="B18" s="3">
        <v>0.9</v>
      </c>
      <c r="C18" s="3" t="s">
        <v>38</v>
      </c>
      <c r="D18" s="3"/>
      <c r="E18" s="18" t="s">
        <v>73</v>
      </c>
      <c r="F18" s="3">
        <v>0</v>
      </c>
      <c r="G18" s="3" t="s">
        <v>61</v>
      </c>
      <c r="H18" s="17"/>
      <c r="I18" s="18"/>
      <c r="J18" s="3"/>
      <c r="K18" s="3"/>
      <c r="L18" s="17"/>
      <c r="M18" s="3"/>
      <c r="N18" s="13">
        <f t="shared" si="7"/>
        <v>10</v>
      </c>
      <c r="O18" s="13"/>
      <c r="P18" s="23">
        <f t="shared" si="1"/>
        <v>0</v>
      </c>
      <c r="Q18" s="24">
        <f t="shared" si="2"/>
        <v>17624.981957710803</v>
      </c>
      <c r="R18" s="24">
        <f t="shared" si="3"/>
        <v>5749.6073796674746</v>
      </c>
      <c r="S18" s="24">
        <f t="shared" si="4"/>
        <v>2.6879404375304103</v>
      </c>
      <c r="T18" s="23">
        <f t="shared" si="5"/>
        <v>-33030.64805311722</v>
      </c>
      <c r="U18" s="20">
        <f t="shared" si="0"/>
        <v>-9653.3707753014132</v>
      </c>
      <c r="V18" s="4"/>
      <c r="W18" s="6">
        <f t="shared" si="6"/>
        <v>33030.64805311722</v>
      </c>
      <c r="X18" s="3"/>
      <c r="Y18" s="3"/>
      <c r="Z18" s="3"/>
      <c r="AA18" s="3"/>
      <c r="AB18" s="3"/>
      <c r="AC18" s="3"/>
      <c r="AD18" s="6"/>
      <c r="AE18" s="3"/>
      <c r="AF18" s="3"/>
      <c r="AG18" s="3"/>
      <c r="AH18" s="3"/>
    </row>
    <row r="19" spans="1:41" x14ac:dyDescent="0.25">
      <c r="A19" s="3"/>
      <c r="B19" s="3"/>
      <c r="C19" s="3"/>
      <c r="D19" s="3"/>
      <c r="E19" s="18" t="s">
        <v>48</v>
      </c>
      <c r="F19" s="28">
        <v>436.79999999999995</v>
      </c>
      <c r="G19" s="3" t="s">
        <v>76</v>
      </c>
      <c r="H19" s="17"/>
      <c r="I19" s="3"/>
      <c r="J19" s="3"/>
      <c r="K19" s="3"/>
      <c r="L19" s="17"/>
      <c r="M19" s="3"/>
      <c r="N19" s="13">
        <f t="shared" si="7"/>
        <v>0</v>
      </c>
      <c r="O19" s="13"/>
      <c r="P19" s="23">
        <f t="shared" si="1"/>
        <v>0</v>
      </c>
      <c r="Q19" s="24">
        <f t="shared" si="2"/>
        <v>0</v>
      </c>
      <c r="R19" s="24">
        <f t="shared" si="3"/>
        <v>0</v>
      </c>
      <c r="S19" s="24">
        <f t="shared" si="4"/>
        <v>0</v>
      </c>
      <c r="T19" s="23">
        <f t="shared" si="5"/>
        <v>0</v>
      </c>
      <c r="U19" s="20">
        <f t="shared" si="0"/>
        <v>0</v>
      </c>
      <c r="V19" s="4"/>
      <c r="W19" s="6">
        <f t="shared" si="6"/>
        <v>0</v>
      </c>
      <c r="X19" s="3"/>
      <c r="Y19" s="3"/>
      <c r="Z19" s="3"/>
      <c r="AA19" s="3"/>
      <c r="AB19" s="3"/>
      <c r="AC19" s="3"/>
      <c r="AD19" s="6"/>
      <c r="AE19" s="3"/>
      <c r="AF19" s="3"/>
      <c r="AG19" s="3"/>
      <c r="AH19" s="3"/>
    </row>
    <row r="20" spans="1:41" x14ac:dyDescent="0.25">
      <c r="A20" s="3"/>
      <c r="B20" s="3"/>
      <c r="C20" s="3"/>
      <c r="D20" s="3"/>
      <c r="E20" s="18" t="s">
        <v>77</v>
      </c>
      <c r="F20" s="3">
        <v>10</v>
      </c>
      <c r="G20" s="3" t="s">
        <v>65</v>
      </c>
      <c r="H20" s="17"/>
      <c r="I20" s="3"/>
      <c r="J20" s="3"/>
      <c r="K20" s="3"/>
      <c r="L20" s="17"/>
      <c r="M20" s="3"/>
      <c r="N20" s="13">
        <f t="shared" si="7"/>
        <v>0</v>
      </c>
      <c r="O20" s="13"/>
      <c r="P20" s="23">
        <f t="shared" si="1"/>
        <v>0</v>
      </c>
      <c r="Q20" s="24">
        <f t="shared" si="2"/>
        <v>0</v>
      </c>
      <c r="R20" s="24">
        <f t="shared" si="3"/>
        <v>0</v>
      </c>
      <c r="S20" s="24">
        <f t="shared" si="4"/>
        <v>0</v>
      </c>
      <c r="T20" s="23">
        <f t="shared" si="5"/>
        <v>0</v>
      </c>
      <c r="U20" s="20">
        <f t="shared" si="0"/>
        <v>0</v>
      </c>
      <c r="V20" s="4"/>
      <c r="W20" s="6">
        <f t="shared" si="6"/>
        <v>0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41" ht="15.75" customHeight="1" x14ac:dyDescent="0.25">
      <c r="A21" s="3"/>
      <c r="B21" s="3"/>
      <c r="C21" s="3"/>
      <c r="D21" s="3"/>
      <c r="E21" s="3"/>
      <c r="F21" s="8"/>
      <c r="G21" s="3"/>
      <c r="H21" s="17"/>
      <c r="I21" s="3"/>
      <c r="J21" s="3"/>
      <c r="K21" s="3"/>
      <c r="L21" s="17"/>
      <c r="M21" s="3"/>
      <c r="N21" s="13">
        <f t="shared" si="7"/>
        <v>0</v>
      </c>
      <c r="O21" s="13"/>
      <c r="P21" s="23">
        <f t="shared" si="1"/>
        <v>0</v>
      </c>
      <c r="Q21" s="24">
        <f t="shared" si="2"/>
        <v>0</v>
      </c>
      <c r="R21" s="24">
        <f t="shared" si="3"/>
        <v>0</v>
      </c>
      <c r="S21" s="24">
        <f t="shared" si="4"/>
        <v>0</v>
      </c>
      <c r="T21" s="23">
        <f t="shared" si="5"/>
        <v>0</v>
      </c>
      <c r="U21" s="20">
        <f t="shared" si="0"/>
        <v>0</v>
      </c>
      <c r="V21" s="4"/>
      <c r="W21" s="6">
        <f t="shared" si="6"/>
        <v>0</v>
      </c>
      <c r="X21" s="3"/>
      <c r="Y21" s="3"/>
      <c r="Z21" s="30" t="s">
        <v>126</v>
      </c>
      <c r="AA21" s="31"/>
      <c r="AB21" s="31"/>
      <c r="AC21" s="31"/>
      <c r="AD21" s="3"/>
      <c r="AE21" s="30" t="s">
        <v>28</v>
      </c>
      <c r="AF21" s="31"/>
      <c r="AG21" s="31"/>
      <c r="AH21" s="31"/>
      <c r="AJ21" s="89" t="s">
        <v>172</v>
      </c>
      <c r="AK21" s="89" t="s">
        <v>174</v>
      </c>
      <c r="AL21" s="89" t="s">
        <v>183</v>
      </c>
      <c r="AM21" s="89" t="s">
        <v>177</v>
      </c>
      <c r="AN21" s="89" t="s">
        <v>176</v>
      </c>
      <c r="AO21" s="94" t="str">
        <f>Z51</f>
        <v>Energy Efficiency</v>
      </c>
    </row>
    <row r="22" spans="1:41" ht="15.75" customHeight="1" x14ac:dyDescent="0.25">
      <c r="A22" s="3"/>
      <c r="B22" s="3"/>
      <c r="C22" s="3"/>
      <c r="D22" s="3"/>
      <c r="E22" s="3"/>
      <c r="F22" s="3"/>
      <c r="G22" s="3"/>
      <c r="H22" s="17"/>
      <c r="I22" s="3"/>
      <c r="J22" s="3"/>
      <c r="K22" s="3"/>
      <c r="L22" s="17"/>
      <c r="M22" s="3"/>
      <c r="N22" s="13">
        <f t="shared" si="7"/>
        <v>0</v>
      </c>
      <c r="O22" s="13"/>
      <c r="P22" s="23">
        <f t="shared" si="1"/>
        <v>0</v>
      </c>
      <c r="Q22" s="24">
        <f t="shared" si="2"/>
        <v>0</v>
      </c>
      <c r="R22" s="24">
        <f t="shared" si="3"/>
        <v>0</v>
      </c>
      <c r="S22" s="24">
        <f t="shared" si="4"/>
        <v>0</v>
      </c>
      <c r="T22" s="23">
        <f t="shared" si="5"/>
        <v>0</v>
      </c>
      <c r="U22" s="20">
        <f t="shared" si="0"/>
        <v>0</v>
      </c>
      <c r="V22" s="4"/>
      <c r="W22" s="6">
        <f t="shared" si="6"/>
        <v>0</v>
      </c>
      <c r="X22" s="3"/>
      <c r="Y22" s="3"/>
      <c r="Z22" s="31" t="s">
        <v>79</v>
      </c>
      <c r="AA22" s="31" t="s">
        <v>132</v>
      </c>
      <c r="AB22" s="31" t="s">
        <v>23</v>
      </c>
      <c r="AC22" s="31" t="s">
        <v>81</v>
      </c>
      <c r="AD22" s="3"/>
      <c r="AE22" s="31" t="s">
        <v>79</v>
      </c>
      <c r="AF22" s="31" t="s">
        <v>82</v>
      </c>
      <c r="AG22" s="31" t="s">
        <v>23</v>
      </c>
      <c r="AH22" s="31" t="s">
        <v>81</v>
      </c>
      <c r="AJ22" s="90">
        <v>-50</v>
      </c>
      <c r="AK22" s="91">
        <f>AH24</f>
        <v>-21.327247661165913</v>
      </c>
      <c r="AL22" s="91">
        <f>AC24</f>
        <v>-24.172700884987403</v>
      </c>
      <c r="AM22" s="92">
        <f t="shared" ref="AM22:AM32" si="8">AC39</f>
        <v>-8.2714664230594934</v>
      </c>
      <c r="AN22" s="92">
        <f t="shared" ref="AN22:AN32" si="9">AH39</f>
        <v>-32.444167308046886</v>
      </c>
      <c r="AO22" s="58">
        <f>AC54</f>
        <v>24.172700884987361</v>
      </c>
    </row>
    <row r="23" spans="1:41" ht="15.75" customHeight="1" x14ac:dyDescent="0.25">
      <c r="A23" s="3"/>
      <c r="B23" s="3"/>
      <c r="C23" s="3"/>
      <c r="D23" s="3"/>
      <c r="E23" s="3"/>
      <c r="F23" s="3"/>
      <c r="G23" s="3"/>
      <c r="H23" s="17"/>
      <c r="I23" s="3"/>
      <c r="J23" s="3"/>
      <c r="K23" s="3"/>
      <c r="L23" s="17"/>
      <c r="M23" s="3"/>
      <c r="N23" s="13">
        <f t="shared" si="7"/>
        <v>0</v>
      </c>
      <c r="O23" s="13"/>
      <c r="P23" s="23">
        <f t="shared" si="1"/>
        <v>0</v>
      </c>
      <c r="Q23" s="24">
        <f t="shared" si="2"/>
        <v>0</v>
      </c>
      <c r="R23" s="24">
        <f t="shared" si="3"/>
        <v>0</v>
      </c>
      <c r="S23" s="24">
        <f t="shared" si="4"/>
        <v>0</v>
      </c>
      <c r="T23" s="23">
        <f t="shared" si="5"/>
        <v>0</v>
      </c>
      <c r="U23" s="20">
        <f t="shared" si="0"/>
        <v>0</v>
      </c>
      <c r="V23" s="4"/>
      <c r="W23" s="6">
        <f t="shared" si="6"/>
        <v>0</v>
      </c>
      <c r="X23" s="3"/>
      <c r="Y23" s="3"/>
      <c r="Z23" s="31" t="s">
        <v>133</v>
      </c>
      <c r="AA23" s="33">
        <v>1.1904761904761905</v>
      </c>
      <c r="AB23" s="34">
        <f>U49</f>
        <v>436896.16351266182</v>
      </c>
      <c r="AC23" s="31"/>
      <c r="AD23" s="3"/>
      <c r="AE23" s="31" t="s">
        <v>133</v>
      </c>
      <c r="AF23" s="35">
        <v>154116.25806451615</v>
      </c>
      <c r="AG23" s="34">
        <f>U49</f>
        <v>436896.16351266182</v>
      </c>
      <c r="AH23" s="31"/>
      <c r="AJ23" s="90">
        <v>-40</v>
      </c>
      <c r="AK23" s="91">
        <f>AH25</f>
        <v>-17.061798128932729</v>
      </c>
      <c r="AL23" s="91">
        <f t="shared" ref="AL23:AL32" si="10">AC25</f>
        <v>-19.338160707989907</v>
      </c>
      <c r="AM23" s="92">
        <f t="shared" si="8"/>
        <v>-6.6171731384476056</v>
      </c>
      <c r="AN23" s="92">
        <f t="shared" si="9"/>
        <v>-25.955333846437529</v>
      </c>
      <c r="AO23" s="58">
        <f t="shared" ref="AO23:AO32" si="11">AC55</f>
        <v>19.338160707989882</v>
      </c>
    </row>
    <row r="24" spans="1:41" ht="15.75" customHeight="1" x14ac:dyDescent="0.25">
      <c r="A24" s="15"/>
      <c r="B24" s="3"/>
      <c r="C24" s="3"/>
      <c r="D24" s="3"/>
      <c r="E24" s="3"/>
      <c r="F24" s="3"/>
      <c r="G24" s="3"/>
      <c r="H24" s="17"/>
      <c r="I24" s="3"/>
      <c r="J24" s="3"/>
      <c r="K24" s="3"/>
      <c r="L24" s="17"/>
      <c r="M24" s="3"/>
      <c r="N24" s="13">
        <f t="shared" si="7"/>
        <v>0</v>
      </c>
      <c r="O24" s="13"/>
      <c r="P24" s="23">
        <f t="shared" si="1"/>
        <v>0</v>
      </c>
      <c r="Q24" s="24">
        <f t="shared" si="2"/>
        <v>0</v>
      </c>
      <c r="R24" s="24">
        <f t="shared" si="3"/>
        <v>0</v>
      </c>
      <c r="S24" s="24">
        <f t="shared" si="4"/>
        <v>0</v>
      </c>
      <c r="T24" s="23">
        <f t="shared" si="5"/>
        <v>0</v>
      </c>
      <c r="U24" s="20">
        <f t="shared" si="0"/>
        <v>0</v>
      </c>
      <c r="V24" s="4"/>
      <c r="W24" s="6">
        <f t="shared" si="6"/>
        <v>0</v>
      </c>
      <c r="X24" s="3"/>
      <c r="Y24" s="3"/>
      <c r="Z24" s="31">
        <f t="shared" ref="Z24:Z28" si="12">Z25-10</f>
        <v>-50</v>
      </c>
      <c r="AA24" s="33">
        <f t="shared" ref="AA24:AA34" si="13">$AA$23*(1+(Z24/100))</f>
        <v>0.59523809523809523</v>
      </c>
      <c r="AB24" s="34">
        <f t="dataTable" ref="AB24:AB34" dt2D="0" dtr="0" r1="F36"/>
        <v>331286.56072876061</v>
      </c>
      <c r="AC24" s="38">
        <f t="shared" ref="AC24:AC34" si="14">100*((AB24-$AB$29)/$AB$29)</f>
        <v>-24.172700884987403</v>
      </c>
      <c r="AD24" s="3"/>
      <c r="AE24" s="31">
        <f t="shared" ref="AE24:AE28" si="15">AE25-10</f>
        <v>-50</v>
      </c>
      <c r="AF24" s="35">
        <f t="shared" ref="AF24:AF34" si="16">$AF$23*(1+(AE24/100))</f>
        <v>77058.129032258075</v>
      </c>
      <c r="AG24" s="34">
        <f t="dataTable" ref="AG24:AG34" dt2D="0" dtr="0" r1="B47" ca="1"/>
        <v>343718.23669818405</v>
      </c>
      <c r="AH24" s="38">
        <f t="shared" ref="AH24:AH34" si="17">100*((AG24-$AG$29)/$AG$29)</f>
        <v>-21.327247661165913</v>
      </c>
      <c r="AJ24" s="90">
        <v>-30</v>
      </c>
      <c r="AK24" s="91">
        <f t="shared" ref="AK24:AK32" si="18">AH26</f>
        <v>-12.796348596699541</v>
      </c>
      <c r="AL24" s="91">
        <f t="shared" si="10"/>
        <v>-14.503620530992453</v>
      </c>
      <c r="AM24" s="92">
        <f t="shared" si="8"/>
        <v>-4.9628798538357177</v>
      </c>
      <c r="AN24" s="92">
        <f t="shared" si="9"/>
        <v>-19.466500384828116</v>
      </c>
      <c r="AO24" s="58">
        <f t="shared" si="11"/>
        <v>14.503620530992428</v>
      </c>
    </row>
    <row r="25" spans="1:41" ht="15.75" customHeight="1" x14ac:dyDescent="0.25">
      <c r="A25" s="15"/>
      <c r="B25" s="3"/>
      <c r="C25" s="3"/>
      <c r="D25" s="3"/>
      <c r="E25" s="3"/>
      <c r="F25" s="3"/>
      <c r="G25" s="3"/>
      <c r="H25" s="17"/>
      <c r="I25" s="3"/>
      <c r="J25" s="3"/>
      <c r="K25" s="3"/>
      <c r="L25" s="17"/>
      <c r="M25" s="3"/>
      <c r="N25" s="13">
        <f t="shared" si="7"/>
        <v>0</v>
      </c>
      <c r="O25" s="13"/>
      <c r="P25" s="23">
        <f t="shared" si="1"/>
        <v>0</v>
      </c>
      <c r="Q25" s="24">
        <f t="shared" si="2"/>
        <v>0</v>
      </c>
      <c r="R25" s="24">
        <f t="shared" si="3"/>
        <v>0</v>
      </c>
      <c r="S25" s="24">
        <f t="shared" si="4"/>
        <v>0</v>
      </c>
      <c r="T25" s="23">
        <f t="shared" si="5"/>
        <v>0</v>
      </c>
      <c r="U25" s="20">
        <f t="shared" si="0"/>
        <v>0</v>
      </c>
      <c r="V25" s="4"/>
      <c r="W25" s="6">
        <f t="shared" si="6"/>
        <v>0</v>
      </c>
      <c r="X25" s="3"/>
      <c r="Y25" s="3"/>
      <c r="Z25" s="31">
        <f t="shared" si="12"/>
        <v>-40</v>
      </c>
      <c r="AA25" s="33">
        <f t="shared" si="13"/>
        <v>0.7142857142857143</v>
      </c>
      <c r="AB25" s="34">
        <v>352408.48128554091</v>
      </c>
      <c r="AC25" s="38">
        <f t="shared" si="14"/>
        <v>-19.338160707989907</v>
      </c>
      <c r="AD25" s="3"/>
      <c r="AE25" s="31">
        <f t="shared" si="15"/>
        <v>-40</v>
      </c>
      <c r="AF25" s="35">
        <f t="shared" si="16"/>
        <v>92469.75483870969</v>
      </c>
      <c r="AG25" s="34">
        <v>362353.82206107961</v>
      </c>
      <c r="AH25" s="38">
        <f t="shared" si="17"/>
        <v>-17.061798128932729</v>
      </c>
      <c r="AJ25" s="90">
        <v>-20</v>
      </c>
      <c r="AK25" s="91">
        <f t="shared" si="18"/>
        <v>-8.5308990644663716</v>
      </c>
      <c r="AL25" s="91">
        <f t="shared" si="10"/>
        <v>-9.6690803539949606</v>
      </c>
      <c r="AM25" s="92">
        <f t="shared" si="8"/>
        <v>-3.308586569223789</v>
      </c>
      <c r="AN25" s="92">
        <f t="shared" si="9"/>
        <v>-12.977666923218765</v>
      </c>
      <c r="AO25" s="58">
        <f t="shared" si="11"/>
        <v>9.6690803539949339</v>
      </c>
    </row>
    <row r="26" spans="1:41" ht="15.75" customHeight="1" x14ac:dyDescent="0.25">
      <c r="A26" s="40"/>
      <c r="B26" s="41"/>
      <c r="C26" s="41"/>
      <c r="D26" s="41"/>
      <c r="E26" s="41"/>
      <c r="F26" s="41"/>
      <c r="G26" s="41"/>
      <c r="H26" s="42"/>
      <c r="I26" s="41"/>
      <c r="J26" s="41"/>
      <c r="K26" s="41"/>
      <c r="L26" s="42"/>
      <c r="M26" s="3"/>
      <c r="N26" s="13">
        <f t="shared" si="7"/>
        <v>0</v>
      </c>
      <c r="O26" s="13"/>
      <c r="P26" s="23">
        <f t="shared" si="1"/>
        <v>0</v>
      </c>
      <c r="Q26" s="24">
        <f t="shared" si="2"/>
        <v>0</v>
      </c>
      <c r="R26" s="24">
        <f t="shared" si="3"/>
        <v>0</v>
      </c>
      <c r="S26" s="24">
        <f t="shared" si="4"/>
        <v>0</v>
      </c>
      <c r="T26" s="23">
        <f t="shared" si="5"/>
        <v>0</v>
      </c>
      <c r="U26" s="20">
        <f t="shared" si="0"/>
        <v>0</v>
      </c>
      <c r="V26" s="4"/>
      <c r="W26" s="6">
        <f t="shared" si="6"/>
        <v>0</v>
      </c>
      <c r="X26" s="3"/>
      <c r="Y26" s="3"/>
      <c r="Z26" s="31">
        <f t="shared" si="12"/>
        <v>-30</v>
      </c>
      <c r="AA26" s="33">
        <f t="shared" si="13"/>
        <v>0.83333333333333326</v>
      </c>
      <c r="AB26" s="34">
        <v>373530.40184232104</v>
      </c>
      <c r="AC26" s="38">
        <f t="shared" si="14"/>
        <v>-14.503620530992453</v>
      </c>
      <c r="AD26" s="3"/>
      <c r="AE26" s="31">
        <f t="shared" si="15"/>
        <v>-30</v>
      </c>
      <c r="AF26" s="35">
        <f t="shared" si="16"/>
        <v>107881.38064516131</v>
      </c>
      <c r="AG26" s="34">
        <v>380989.40742397518</v>
      </c>
      <c r="AH26" s="38">
        <f t="shared" si="17"/>
        <v>-12.796348596699541</v>
      </c>
      <c r="AJ26" s="90">
        <v>-10</v>
      </c>
      <c r="AK26" s="91">
        <f t="shared" si="18"/>
        <v>-4.2654495322331858</v>
      </c>
      <c r="AL26" s="91">
        <f t="shared" si="10"/>
        <v>-4.834540176997467</v>
      </c>
      <c r="AM26" s="92">
        <f t="shared" si="8"/>
        <v>-1.6542932846118878</v>
      </c>
      <c r="AN26" s="92">
        <f t="shared" si="9"/>
        <v>-6.4888334616093681</v>
      </c>
      <c r="AO26" s="58">
        <f t="shared" si="11"/>
        <v>4.834540176997467</v>
      </c>
    </row>
    <row r="27" spans="1:41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6"/>
      <c r="K27" s="3"/>
      <c r="L27" s="3"/>
      <c r="M27" s="3"/>
      <c r="N27" s="13">
        <f t="shared" si="7"/>
        <v>0</v>
      </c>
      <c r="O27" s="13"/>
      <c r="P27" s="23">
        <f t="shared" si="1"/>
        <v>0</v>
      </c>
      <c r="Q27" s="24">
        <f t="shared" si="2"/>
        <v>0</v>
      </c>
      <c r="R27" s="24">
        <f t="shared" si="3"/>
        <v>0</v>
      </c>
      <c r="S27" s="24">
        <f t="shared" si="4"/>
        <v>0</v>
      </c>
      <c r="T27" s="23">
        <f t="shared" si="5"/>
        <v>0</v>
      </c>
      <c r="U27" s="20">
        <f t="shared" si="0"/>
        <v>0</v>
      </c>
      <c r="V27" s="4"/>
      <c r="W27" s="6">
        <f t="shared" si="6"/>
        <v>0</v>
      </c>
      <c r="X27" s="3"/>
      <c r="Y27" s="3"/>
      <c r="Z27" s="31">
        <f t="shared" si="12"/>
        <v>-20</v>
      </c>
      <c r="AA27" s="33">
        <f t="shared" si="13"/>
        <v>0.95238095238095244</v>
      </c>
      <c r="AB27" s="34">
        <v>394652.32239910134</v>
      </c>
      <c r="AC27" s="38">
        <f t="shared" si="14"/>
        <v>-9.6690803539949606</v>
      </c>
      <c r="AD27" s="3"/>
      <c r="AE27" s="31">
        <f t="shared" si="15"/>
        <v>-20</v>
      </c>
      <c r="AF27" s="35">
        <f t="shared" si="16"/>
        <v>123293.00645161292</v>
      </c>
      <c r="AG27" s="34">
        <v>399624.99278687069</v>
      </c>
      <c r="AH27" s="38">
        <f t="shared" si="17"/>
        <v>-8.5308990644663716</v>
      </c>
      <c r="AJ27" s="90">
        <v>0</v>
      </c>
      <c r="AK27" s="91">
        <f t="shared" si="18"/>
        <v>0</v>
      </c>
      <c r="AL27" s="91">
        <f t="shared" si="10"/>
        <v>0</v>
      </c>
      <c r="AM27" s="92">
        <f t="shared" si="8"/>
        <v>0</v>
      </c>
      <c r="AN27" s="92">
        <f t="shared" si="9"/>
        <v>0</v>
      </c>
      <c r="AO27" s="58">
        <f t="shared" si="11"/>
        <v>0</v>
      </c>
    </row>
    <row r="28" spans="1:41" ht="15.75" customHeight="1" x14ac:dyDescent="0.25">
      <c r="A28" s="2" t="s">
        <v>87</v>
      </c>
      <c r="B28" s="3"/>
      <c r="C28" s="3"/>
      <c r="D28" s="3"/>
      <c r="E28" s="3"/>
      <c r="F28" s="3"/>
      <c r="G28" s="3"/>
      <c r="H28" s="3"/>
      <c r="I28" s="3"/>
      <c r="J28" s="6"/>
      <c r="K28" s="3"/>
      <c r="L28" s="3"/>
      <c r="M28" s="3"/>
      <c r="N28" s="13">
        <f t="shared" si="7"/>
        <v>0</v>
      </c>
      <c r="O28" s="13"/>
      <c r="P28" s="23">
        <f t="shared" si="1"/>
        <v>0</v>
      </c>
      <c r="Q28" s="24">
        <f t="shared" si="2"/>
        <v>0</v>
      </c>
      <c r="R28" s="24">
        <f t="shared" si="3"/>
        <v>0</v>
      </c>
      <c r="S28" s="24">
        <f t="shared" si="4"/>
        <v>0</v>
      </c>
      <c r="T28" s="23">
        <f t="shared" si="5"/>
        <v>0</v>
      </c>
      <c r="U28" s="20">
        <f t="shared" si="0"/>
        <v>0</v>
      </c>
      <c r="V28" s="4"/>
      <c r="W28" s="6">
        <f t="shared" si="6"/>
        <v>0</v>
      </c>
      <c r="X28" s="3"/>
      <c r="Y28" s="3"/>
      <c r="Z28" s="31">
        <f t="shared" si="12"/>
        <v>-10</v>
      </c>
      <c r="AA28" s="33">
        <f t="shared" si="13"/>
        <v>1.0714285714285714</v>
      </c>
      <c r="AB28" s="34">
        <v>415774.24295588164</v>
      </c>
      <c r="AC28" s="38">
        <f t="shared" si="14"/>
        <v>-4.834540176997467</v>
      </c>
      <c r="AD28" s="3"/>
      <c r="AE28" s="31">
        <f t="shared" si="15"/>
        <v>-10</v>
      </c>
      <c r="AF28" s="35">
        <f t="shared" si="16"/>
        <v>138704.63225806455</v>
      </c>
      <c r="AG28" s="34">
        <v>418260.57814976625</v>
      </c>
      <c r="AH28" s="38">
        <f t="shared" si="17"/>
        <v>-4.2654495322331858</v>
      </c>
      <c r="AJ28" s="90">
        <v>10</v>
      </c>
      <c r="AK28" s="91">
        <f t="shared" si="18"/>
        <v>4.2654495322331991</v>
      </c>
      <c r="AL28" s="91">
        <f t="shared" si="10"/>
        <v>4.834540176997467</v>
      </c>
      <c r="AM28" s="92">
        <f t="shared" si="8"/>
        <v>1.6542932846118878</v>
      </c>
      <c r="AN28" s="92">
        <f t="shared" si="9"/>
        <v>6.4888334616093948</v>
      </c>
      <c r="AO28" s="58">
        <f t="shared" si="11"/>
        <v>-4.834540176997467</v>
      </c>
    </row>
    <row r="29" spans="1:41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6"/>
      <c r="K29" s="3"/>
      <c r="L29" s="3"/>
      <c r="M29" s="3"/>
      <c r="N29" s="13">
        <f t="shared" si="7"/>
        <v>0</v>
      </c>
      <c r="O29" s="13"/>
      <c r="P29" s="23">
        <f t="shared" si="1"/>
        <v>0</v>
      </c>
      <c r="Q29" s="24">
        <f t="shared" si="2"/>
        <v>0</v>
      </c>
      <c r="R29" s="24">
        <f t="shared" si="3"/>
        <v>0</v>
      </c>
      <c r="S29" s="24">
        <f t="shared" si="4"/>
        <v>0</v>
      </c>
      <c r="T29" s="23">
        <f t="shared" si="5"/>
        <v>0</v>
      </c>
      <c r="U29" s="20">
        <f t="shared" si="0"/>
        <v>0</v>
      </c>
      <c r="V29" s="4"/>
      <c r="W29" s="6">
        <f t="shared" si="6"/>
        <v>0</v>
      </c>
      <c r="X29" s="3"/>
      <c r="Y29" s="3"/>
      <c r="Z29" s="43">
        <v>0</v>
      </c>
      <c r="AA29" s="44">
        <f t="shared" si="13"/>
        <v>1.1904761904761905</v>
      </c>
      <c r="AB29" s="45">
        <v>436896.16351266182</v>
      </c>
      <c r="AC29" s="46">
        <f t="shared" si="14"/>
        <v>0</v>
      </c>
      <c r="AD29" s="3"/>
      <c r="AE29" s="43">
        <v>0</v>
      </c>
      <c r="AF29" s="47">
        <f t="shared" si="16"/>
        <v>154116.25806451615</v>
      </c>
      <c r="AG29" s="45">
        <v>436896.16351266182</v>
      </c>
      <c r="AH29" s="46">
        <f t="shared" si="17"/>
        <v>0</v>
      </c>
      <c r="AJ29" s="90">
        <v>20</v>
      </c>
      <c r="AK29" s="91">
        <f t="shared" si="18"/>
        <v>8.5308990644663716</v>
      </c>
      <c r="AL29" s="91">
        <f t="shared" si="10"/>
        <v>9.6690803539949339</v>
      </c>
      <c r="AM29" s="92">
        <f t="shared" si="8"/>
        <v>3.3085865692238028</v>
      </c>
      <c r="AN29" s="92">
        <f t="shared" si="9"/>
        <v>12.977666923218736</v>
      </c>
      <c r="AO29" s="58">
        <f t="shared" si="11"/>
        <v>-9.6690803539949606</v>
      </c>
    </row>
    <row r="30" spans="1:41" ht="15.75" customHeight="1" x14ac:dyDescent="0.25">
      <c r="A30" s="9" t="s">
        <v>88</v>
      </c>
      <c r="B30" s="10"/>
      <c r="C30" s="10"/>
      <c r="D30" s="10"/>
      <c r="E30" s="12" t="s">
        <v>89</v>
      </c>
      <c r="F30" s="10"/>
      <c r="G30" s="10"/>
      <c r="H30" s="10"/>
      <c r="I30" s="12"/>
      <c r="J30" s="48"/>
      <c r="K30" s="10"/>
      <c r="L30" s="11"/>
      <c r="M30" s="3"/>
      <c r="N30" s="13">
        <f t="shared" si="7"/>
        <v>0</v>
      </c>
      <c r="O30" s="13"/>
      <c r="P30" s="23">
        <f t="shared" si="1"/>
        <v>0</v>
      </c>
      <c r="Q30" s="24">
        <f t="shared" si="2"/>
        <v>0</v>
      </c>
      <c r="R30" s="24">
        <f t="shared" si="3"/>
        <v>0</v>
      </c>
      <c r="S30" s="24">
        <f t="shared" si="4"/>
        <v>0</v>
      </c>
      <c r="T30" s="23">
        <f t="shared" si="5"/>
        <v>0</v>
      </c>
      <c r="U30" s="20">
        <f t="shared" si="0"/>
        <v>0</v>
      </c>
      <c r="V30" s="4"/>
      <c r="W30" s="6">
        <f t="shared" si="6"/>
        <v>0</v>
      </c>
      <c r="X30" s="3"/>
      <c r="Y30" s="3"/>
      <c r="Z30" s="31">
        <f t="shared" ref="Z30:Z34" si="19">Z29+10</f>
        <v>10</v>
      </c>
      <c r="AA30" s="33">
        <f t="shared" si="13"/>
        <v>1.3095238095238095</v>
      </c>
      <c r="AB30" s="34">
        <v>458018.084069442</v>
      </c>
      <c r="AC30" s="38">
        <f t="shared" si="14"/>
        <v>4.834540176997467</v>
      </c>
      <c r="AD30" s="3"/>
      <c r="AE30" s="31">
        <f t="shared" ref="AE30:AE34" si="20">AE29+10</f>
        <v>10</v>
      </c>
      <c r="AF30" s="35">
        <f t="shared" si="16"/>
        <v>169527.88387096778</v>
      </c>
      <c r="AG30" s="34">
        <v>455531.74887555744</v>
      </c>
      <c r="AH30" s="38">
        <f t="shared" si="17"/>
        <v>4.2654495322331991</v>
      </c>
      <c r="AJ30" s="90">
        <v>30</v>
      </c>
      <c r="AK30" s="91">
        <f t="shared" si="18"/>
        <v>12.796348596699556</v>
      </c>
      <c r="AL30" s="91">
        <f t="shared" si="10"/>
        <v>14.503620530992428</v>
      </c>
      <c r="AM30" s="92">
        <f t="shared" si="8"/>
        <v>4.9628798538357044</v>
      </c>
      <c r="AN30" s="92">
        <f t="shared" si="9"/>
        <v>19.466500384828091</v>
      </c>
      <c r="AO30" s="58">
        <f t="shared" si="11"/>
        <v>-14.503620530992453</v>
      </c>
    </row>
    <row r="31" spans="1:41" ht="15.75" customHeight="1" x14ac:dyDescent="0.25">
      <c r="A31" s="27" t="s">
        <v>141</v>
      </c>
      <c r="B31" s="6">
        <f t="shared" ref="B31:B32" si="21">IF(B11=0,0,-(B11/100)*$B$45)</f>
        <v>-15411.625806451615</v>
      </c>
      <c r="C31" s="3" t="s">
        <v>3</v>
      </c>
      <c r="D31" s="3"/>
      <c r="E31" s="18" t="s">
        <v>91</v>
      </c>
      <c r="F31" s="26">
        <f>(J16/100)*B47</f>
        <v>46234.877419354845</v>
      </c>
      <c r="G31" s="3" t="s">
        <v>3</v>
      </c>
      <c r="H31" s="3"/>
      <c r="I31" s="2" t="s">
        <v>100</v>
      </c>
      <c r="J31" s="49">
        <f>SUM(J32:J35)</f>
        <v>9365.5045668202747</v>
      </c>
      <c r="K31" s="2" t="s">
        <v>49</v>
      </c>
      <c r="L31" s="17"/>
      <c r="M31" s="3"/>
      <c r="N31" s="13">
        <f t="shared" si="7"/>
        <v>0</v>
      </c>
      <c r="O31" s="13"/>
      <c r="P31" s="23">
        <f t="shared" si="1"/>
        <v>0</v>
      </c>
      <c r="Q31" s="24">
        <f t="shared" si="2"/>
        <v>0</v>
      </c>
      <c r="R31" s="24">
        <f t="shared" si="3"/>
        <v>0</v>
      </c>
      <c r="S31" s="24">
        <f t="shared" si="4"/>
        <v>0</v>
      </c>
      <c r="T31" s="23">
        <f t="shared" si="5"/>
        <v>0</v>
      </c>
      <c r="U31" s="20">
        <f t="shared" si="0"/>
        <v>0</v>
      </c>
      <c r="V31" s="4"/>
      <c r="W31" s="6">
        <f t="shared" si="6"/>
        <v>0</v>
      </c>
      <c r="X31" s="3"/>
      <c r="Y31" s="3"/>
      <c r="Z31" s="31">
        <f t="shared" si="19"/>
        <v>20</v>
      </c>
      <c r="AA31" s="33">
        <f t="shared" si="13"/>
        <v>1.4285714285714286</v>
      </c>
      <c r="AB31" s="34">
        <v>479140.00462622219</v>
      </c>
      <c r="AC31" s="38">
        <f t="shared" si="14"/>
        <v>9.6690803539949339</v>
      </c>
      <c r="AD31" s="3"/>
      <c r="AE31" s="31">
        <f t="shared" si="20"/>
        <v>20</v>
      </c>
      <c r="AF31" s="35">
        <f t="shared" si="16"/>
        <v>184939.50967741938</v>
      </c>
      <c r="AG31" s="34">
        <v>474167.33423845295</v>
      </c>
      <c r="AH31" s="38">
        <f t="shared" si="17"/>
        <v>8.5308990644663716</v>
      </c>
      <c r="AJ31" s="90">
        <v>40</v>
      </c>
      <c r="AK31" s="91">
        <f t="shared" si="18"/>
        <v>17.061798128932729</v>
      </c>
      <c r="AL31" s="91">
        <f t="shared" si="10"/>
        <v>19.338160707989882</v>
      </c>
      <c r="AM31" s="92">
        <f t="shared" si="8"/>
        <v>6.6171731384475923</v>
      </c>
      <c r="AN31" s="92">
        <f t="shared" si="9"/>
        <v>25.955333846437501</v>
      </c>
      <c r="AO31" s="58">
        <f t="shared" si="11"/>
        <v>-19.338160707989907</v>
      </c>
    </row>
    <row r="32" spans="1:41" ht="15.75" customHeight="1" x14ac:dyDescent="0.25">
      <c r="A32" s="3" t="s">
        <v>44</v>
      </c>
      <c r="B32" s="6">
        <f t="shared" si="21"/>
        <v>0</v>
      </c>
      <c r="C32" s="3" t="s">
        <v>3</v>
      </c>
      <c r="D32" s="3"/>
      <c r="E32" s="18" t="s">
        <v>93</v>
      </c>
      <c r="F32" s="6">
        <f>B47-F31</f>
        <v>107881.38064516131</v>
      </c>
      <c r="G32" s="3" t="s">
        <v>3</v>
      </c>
      <c r="H32" s="3"/>
      <c r="I32" s="18" t="s">
        <v>167</v>
      </c>
      <c r="J32" s="28">
        <f>((F15/100)*B44)/$B$8</f>
        <v>5.4996620583717366</v>
      </c>
      <c r="K32" s="3" t="s">
        <v>49</v>
      </c>
      <c r="L32" s="17"/>
      <c r="M32" s="3"/>
      <c r="N32" s="13">
        <f t="shared" si="7"/>
        <v>0</v>
      </c>
      <c r="O32" s="13"/>
      <c r="P32" s="23">
        <f t="shared" si="1"/>
        <v>0</v>
      </c>
      <c r="Q32" s="24">
        <f t="shared" si="2"/>
        <v>0</v>
      </c>
      <c r="R32" s="24">
        <f t="shared" si="3"/>
        <v>0</v>
      </c>
      <c r="S32" s="24">
        <f t="shared" si="4"/>
        <v>0</v>
      </c>
      <c r="T32" s="23">
        <f t="shared" si="5"/>
        <v>0</v>
      </c>
      <c r="U32" s="20">
        <f t="shared" si="0"/>
        <v>0</v>
      </c>
      <c r="V32" s="4"/>
      <c r="W32" s="6">
        <f t="shared" si="6"/>
        <v>0</v>
      </c>
      <c r="X32" s="3"/>
      <c r="Y32" s="3"/>
      <c r="Z32" s="31">
        <f t="shared" si="19"/>
        <v>30</v>
      </c>
      <c r="AA32" s="33">
        <f t="shared" si="13"/>
        <v>1.5476190476190477</v>
      </c>
      <c r="AB32" s="34">
        <v>500261.92518300249</v>
      </c>
      <c r="AC32" s="38">
        <f t="shared" si="14"/>
        <v>14.503620530992428</v>
      </c>
      <c r="AD32" s="3"/>
      <c r="AE32" s="31">
        <f t="shared" si="20"/>
        <v>30</v>
      </c>
      <c r="AF32" s="35">
        <f t="shared" si="16"/>
        <v>200351.13548387101</v>
      </c>
      <c r="AG32" s="34">
        <v>492802.91960134852</v>
      </c>
      <c r="AH32" s="38">
        <f t="shared" si="17"/>
        <v>12.796348596699556</v>
      </c>
      <c r="AJ32" s="90">
        <v>50</v>
      </c>
      <c r="AK32" s="91">
        <f t="shared" si="18"/>
        <v>21.327247661165941</v>
      </c>
      <c r="AL32" s="91">
        <f t="shared" si="10"/>
        <v>24.172700884987361</v>
      </c>
      <c r="AM32" s="92">
        <f t="shared" si="8"/>
        <v>8.2714664230594934</v>
      </c>
      <c r="AN32" s="92">
        <f t="shared" si="9"/>
        <v>32.444167308046865</v>
      </c>
      <c r="AO32" s="58">
        <f t="shared" si="11"/>
        <v>-24.172700884987403</v>
      </c>
    </row>
    <row r="33" spans="1:34" ht="15.75" customHeight="1" x14ac:dyDescent="0.25">
      <c r="A33" s="3" t="s">
        <v>50</v>
      </c>
      <c r="B33" s="6">
        <f>IF(B13=0,0,(B13/100)*$B$44)</f>
        <v>5606.4516129032272</v>
      </c>
      <c r="C33" s="3" t="s">
        <v>3</v>
      </c>
      <c r="D33" s="3"/>
      <c r="E33" s="18" t="s">
        <v>94</v>
      </c>
      <c r="F33" s="26">
        <f>F32*(F20/100)*J15</f>
        <v>53940.69032258066</v>
      </c>
      <c r="G33" s="3" t="s">
        <v>3</v>
      </c>
      <c r="H33" s="3"/>
      <c r="I33" s="18" t="s">
        <v>73</v>
      </c>
      <c r="J33" s="28">
        <f>F18/$B$8</f>
        <v>0</v>
      </c>
      <c r="K33" s="3" t="s">
        <v>49</v>
      </c>
      <c r="L33" s="17"/>
      <c r="M33" s="3"/>
      <c r="N33" s="13">
        <f t="shared" si="7"/>
        <v>0</v>
      </c>
      <c r="O33" s="13"/>
      <c r="P33" s="23">
        <f t="shared" si="1"/>
        <v>0</v>
      </c>
      <c r="Q33" s="24">
        <f t="shared" si="2"/>
        <v>0</v>
      </c>
      <c r="R33" s="24">
        <f t="shared" si="3"/>
        <v>0</v>
      </c>
      <c r="S33" s="24">
        <f t="shared" si="4"/>
        <v>0</v>
      </c>
      <c r="T33" s="23">
        <f t="shared" si="5"/>
        <v>0</v>
      </c>
      <c r="U33" s="20">
        <f t="shared" si="0"/>
        <v>0</v>
      </c>
      <c r="V33" s="4"/>
      <c r="W33" s="6">
        <f t="shared" si="6"/>
        <v>0</v>
      </c>
      <c r="X33" s="3"/>
      <c r="Y33" s="3"/>
      <c r="Z33" s="31">
        <f t="shared" si="19"/>
        <v>40</v>
      </c>
      <c r="AA33" s="33">
        <f t="shared" si="13"/>
        <v>1.6666666666666665</v>
      </c>
      <c r="AB33" s="34">
        <v>521383.84573978261</v>
      </c>
      <c r="AC33" s="38">
        <f t="shared" si="14"/>
        <v>19.338160707989882</v>
      </c>
      <c r="AD33" s="3"/>
      <c r="AE33" s="31">
        <f t="shared" si="20"/>
        <v>40</v>
      </c>
      <c r="AF33" s="35">
        <f t="shared" si="16"/>
        <v>215762.76129032261</v>
      </c>
      <c r="AG33" s="34">
        <v>511438.50496424403</v>
      </c>
      <c r="AH33" s="38">
        <f t="shared" si="17"/>
        <v>17.061798128932729</v>
      </c>
    </row>
    <row r="34" spans="1:34" ht="15.75" customHeight="1" x14ac:dyDescent="0.25">
      <c r="A34" s="3" t="s">
        <v>54</v>
      </c>
      <c r="B34" s="6">
        <f>IF(B14=0,0,(B14/100)*$B$43)</f>
        <v>5096.7741935483873</v>
      </c>
      <c r="C34" s="3" t="s">
        <v>3</v>
      </c>
      <c r="D34" s="3"/>
      <c r="E34" s="3"/>
      <c r="F34" s="7"/>
      <c r="G34" s="3"/>
      <c r="H34" s="3"/>
      <c r="I34" s="18" t="s">
        <v>105</v>
      </c>
      <c r="J34" s="28">
        <f>F15/$B$8</f>
        <v>4.9047619047619048E-3</v>
      </c>
      <c r="K34" s="3" t="s">
        <v>49</v>
      </c>
      <c r="L34" s="17"/>
      <c r="M34" s="3"/>
      <c r="N34" s="13">
        <f t="shared" si="7"/>
        <v>0</v>
      </c>
      <c r="O34" s="13"/>
      <c r="P34" s="23">
        <f t="shared" si="1"/>
        <v>0</v>
      </c>
      <c r="Q34" s="24">
        <f t="shared" si="2"/>
        <v>0</v>
      </c>
      <c r="R34" s="24">
        <f t="shared" si="3"/>
        <v>0</v>
      </c>
      <c r="S34" s="24">
        <f t="shared" si="4"/>
        <v>0</v>
      </c>
      <c r="T34" s="23">
        <f t="shared" si="5"/>
        <v>0</v>
      </c>
      <c r="U34" s="20">
        <f t="shared" si="0"/>
        <v>0</v>
      </c>
      <c r="V34" s="4"/>
      <c r="W34" s="6">
        <f t="shared" si="6"/>
        <v>0</v>
      </c>
      <c r="X34" s="3"/>
      <c r="Y34" s="3"/>
      <c r="Z34" s="31">
        <f t="shared" si="19"/>
        <v>50</v>
      </c>
      <c r="AA34" s="33">
        <f t="shared" si="13"/>
        <v>1.7857142857142856</v>
      </c>
      <c r="AB34" s="34">
        <v>542505.76629656286</v>
      </c>
      <c r="AC34" s="38">
        <f t="shared" si="14"/>
        <v>24.172700884987361</v>
      </c>
      <c r="AD34" s="3"/>
      <c r="AE34" s="31">
        <f t="shared" si="20"/>
        <v>50</v>
      </c>
      <c r="AF34" s="35">
        <f t="shared" si="16"/>
        <v>231174.38709677424</v>
      </c>
      <c r="AG34" s="34">
        <v>530074.09032713971</v>
      </c>
      <c r="AH34" s="38">
        <f t="shared" si="17"/>
        <v>21.327247661165941</v>
      </c>
    </row>
    <row r="35" spans="1:34" ht="15.75" customHeight="1" x14ac:dyDescent="0.25">
      <c r="A35" s="3" t="s">
        <v>59</v>
      </c>
      <c r="B35" s="6">
        <f t="shared" ref="B35:B38" si="22">IF(B15=0,0,(B15/100)*$B$44)</f>
        <v>28032.258064516132</v>
      </c>
      <c r="C35" s="3" t="s">
        <v>3</v>
      </c>
      <c r="D35" s="3"/>
      <c r="E35" s="2" t="s">
        <v>97</v>
      </c>
      <c r="F35" s="3"/>
      <c r="G35" s="3"/>
      <c r="H35" s="3"/>
      <c r="I35" s="18" t="s">
        <v>48</v>
      </c>
      <c r="J35" s="22">
        <f>F19*F12/$B$8</f>
        <v>9359.9999999999982</v>
      </c>
      <c r="K35" s="3" t="s">
        <v>49</v>
      </c>
      <c r="L35" s="17"/>
      <c r="M35" s="3"/>
      <c r="N35" s="13">
        <f t="shared" si="7"/>
        <v>0</v>
      </c>
      <c r="O35" s="13"/>
      <c r="P35" s="23">
        <f t="shared" si="1"/>
        <v>0</v>
      </c>
      <c r="Q35" s="24">
        <f t="shared" si="2"/>
        <v>0</v>
      </c>
      <c r="R35" s="24">
        <f t="shared" si="3"/>
        <v>0</v>
      </c>
      <c r="S35" s="24">
        <f t="shared" si="4"/>
        <v>0</v>
      </c>
      <c r="T35" s="23">
        <f t="shared" si="5"/>
        <v>0</v>
      </c>
      <c r="U35" s="20">
        <f t="shared" si="0"/>
        <v>0</v>
      </c>
      <c r="V35" s="4"/>
      <c r="W35" s="6">
        <f t="shared" si="6"/>
        <v>0</v>
      </c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15.75" customHeight="1" x14ac:dyDescent="0.25">
      <c r="A36" s="27" t="s">
        <v>63</v>
      </c>
      <c r="B36" s="6">
        <f t="shared" si="22"/>
        <v>560.64516129032268</v>
      </c>
      <c r="C36" s="3" t="s">
        <v>3</v>
      </c>
      <c r="D36" s="3"/>
      <c r="E36" s="18" t="s">
        <v>161</v>
      </c>
      <c r="F36" s="28">
        <f>F13/$B$8</f>
        <v>1.1904761904761905</v>
      </c>
      <c r="G36" s="3" t="s">
        <v>127</v>
      </c>
      <c r="H36" s="3"/>
      <c r="I36" s="76"/>
      <c r="J36" s="76"/>
      <c r="K36" s="76"/>
      <c r="L36" s="17"/>
      <c r="M36" s="3"/>
      <c r="N36" s="13">
        <f t="shared" si="7"/>
        <v>0</v>
      </c>
      <c r="O36" s="13"/>
      <c r="P36" s="23">
        <f t="shared" si="1"/>
        <v>0</v>
      </c>
      <c r="Q36" s="24">
        <f t="shared" si="2"/>
        <v>0</v>
      </c>
      <c r="R36" s="24">
        <f t="shared" si="3"/>
        <v>0</v>
      </c>
      <c r="S36" s="24">
        <f t="shared" si="4"/>
        <v>0</v>
      </c>
      <c r="T36" s="23">
        <f t="shared" si="5"/>
        <v>0</v>
      </c>
      <c r="U36" s="20">
        <f t="shared" si="0"/>
        <v>0</v>
      </c>
      <c r="V36" s="4"/>
      <c r="W36" s="6">
        <f t="shared" si="6"/>
        <v>0</v>
      </c>
      <c r="X36" s="3"/>
      <c r="Y36" s="3"/>
      <c r="Z36" s="30" t="s">
        <v>48</v>
      </c>
      <c r="AA36" s="31"/>
      <c r="AB36" s="31"/>
      <c r="AC36" s="31"/>
      <c r="AD36" s="3"/>
      <c r="AE36" s="30" t="s">
        <v>98</v>
      </c>
      <c r="AF36" s="31"/>
      <c r="AG36" s="31"/>
      <c r="AH36" s="31"/>
    </row>
    <row r="37" spans="1:34" ht="15.75" customHeight="1" x14ac:dyDescent="0.25">
      <c r="A37" s="27" t="s">
        <v>168</v>
      </c>
      <c r="B37" s="6">
        <f t="shared" si="22"/>
        <v>1681.9354838709678</v>
      </c>
      <c r="C37" s="3" t="s">
        <v>3</v>
      </c>
      <c r="D37" s="3"/>
      <c r="E37" s="18" t="s">
        <v>162</v>
      </c>
      <c r="F37" s="50">
        <f>F36*J10</f>
        <v>0.58333333333333337</v>
      </c>
      <c r="G37" s="3" t="s">
        <v>4</v>
      </c>
      <c r="H37" s="3"/>
      <c r="I37" s="3"/>
      <c r="J37" s="3"/>
      <c r="K37" s="3"/>
      <c r="L37" s="17"/>
      <c r="M37" s="3"/>
      <c r="N37" s="13">
        <f t="shared" si="7"/>
        <v>0</v>
      </c>
      <c r="O37" s="13"/>
      <c r="P37" s="23">
        <f t="shared" si="1"/>
        <v>0</v>
      </c>
      <c r="Q37" s="24">
        <f t="shared" si="2"/>
        <v>0</v>
      </c>
      <c r="R37" s="24">
        <f t="shared" si="3"/>
        <v>0</v>
      </c>
      <c r="S37" s="24">
        <f t="shared" si="4"/>
        <v>0</v>
      </c>
      <c r="T37" s="23">
        <f t="shared" si="5"/>
        <v>0</v>
      </c>
      <c r="U37" s="20">
        <f t="shared" si="0"/>
        <v>0</v>
      </c>
      <c r="V37" s="4"/>
      <c r="W37" s="6">
        <f t="shared" si="6"/>
        <v>0</v>
      </c>
      <c r="X37" s="3"/>
      <c r="Y37" s="3"/>
      <c r="Z37" s="31" t="s">
        <v>79</v>
      </c>
      <c r="AA37" s="31" t="s">
        <v>134</v>
      </c>
      <c r="AB37" s="31" t="s">
        <v>23</v>
      </c>
      <c r="AC37" s="31" t="s">
        <v>81</v>
      </c>
      <c r="AD37" s="3"/>
      <c r="AE37" s="31" t="s">
        <v>79</v>
      </c>
      <c r="AF37" s="31" t="s">
        <v>102</v>
      </c>
      <c r="AG37" s="31" t="s">
        <v>23</v>
      </c>
      <c r="AH37" s="31" t="s">
        <v>81</v>
      </c>
    </row>
    <row r="38" spans="1:34" ht="15.75" customHeight="1" x14ac:dyDescent="0.25">
      <c r="A38" s="18" t="s">
        <v>69</v>
      </c>
      <c r="B38" s="6">
        <f t="shared" si="22"/>
        <v>1009.1612903225808</v>
      </c>
      <c r="C38" s="3" t="s">
        <v>3</v>
      </c>
      <c r="D38" s="3"/>
      <c r="E38" s="18" t="s">
        <v>135</v>
      </c>
      <c r="F38" s="7">
        <f>F37*F12</f>
        <v>26250</v>
      </c>
      <c r="G38" s="1" t="s">
        <v>49</v>
      </c>
      <c r="H38" s="3"/>
      <c r="I38" s="3"/>
      <c r="J38" s="3"/>
      <c r="K38" s="3"/>
      <c r="L38" s="17"/>
      <c r="M38" s="3"/>
      <c r="N38" s="13">
        <f t="shared" si="7"/>
        <v>0</v>
      </c>
      <c r="O38" s="13"/>
      <c r="P38" s="23">
        <f t="shared" si="1"/>
        <v>0</v>
      </c>
      <c r="Q38" s="24">
        <f t="shared" si="2"/>
        <v>0</v>
      </c>
      <c r="R38" s="24">
        <f t="shared" si="3"/>
        <v>0</v>
      </c>
      <c r="S38" s="24">
        <f t="shared" si="4"/>
        <v>0</v>
      </c>
      <c r="T38" s="23">
        <f t="shared" si="5"/>
        <v>0</v>
      </c>
      <c r="U38" s="20">
        <f t="shared" si="0"/>
        <v>0</v>
      </c>
      <c r="V38" s="4"/>
      <c r="W38" s="6">
        <f t="shared" si="6"/>
        <v>0</v>
      </c>
      <c r="X38" s="3"/>
      <c r="Y38" s="3"/>
      <c r="Z38" s="31" t="s">
        <v>133</v>
      </c>
      <c r="AA38" s="33">
        <v>9359.9999999999982</v>
      </c>
      <c r="AB38" s="34">
        <f>U49</f>
        <v>436896.16351266182</v>
      </c>
      <c r="AC38" s="31"/>
      <c r="AD38" s="3"/>
      <c r="AE38" s="31" t="s">
        <v>133</v>
      </c>
      <c r="AF38" s="35">
        <v>45000</v>
      </c>
      <c r="AG38" s="34">
        <f>U49</f>
        <v>436896.16351266182</v>
      </c>
      <c r="AH38" s="31"/>
    </row>
    <row r="39" spans="1:34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17"/>
      <c r="M39" s="3"/>
      <c r="N39" s="13">
        <f t="shared" si="7"/>
        <v>0</v>
      </c>
      <c r="O39" s="13"/>
      <c r="P39" s="23">
        <f t="shared" si="1"/>
        <v>0</v>
      </c>
      <c r="Q39" s="24">
        <f t="shared" si="2"/>
        <v>0</v>
      </c>
      <c r="R39" s="24">
        <f t="shared" si="3"/>
        <v>0</v>
      </c>
      <c r="S39" s="24">
        <f t="shared" si="4"/>
        <v>0</v>
      </c>
      <c r="T39" s="23">
        <f t="shared" si="5"/>
        <v>0</v>
      </c>
      <c r="U39" s="20">
        <f t="shared" si="0"/>
        <v>0</v>
      </c>
      <c r="V39" s="4"/>
      <c r="W39" s="6">
        <f t="shared" si="6"/>
        <v>0</v>
      </c>
      <c r="X39" s="3"/>
      <c r="Y39" s="3"/>
      <c r="Z39" s="31">
        <f t="shared" ref="Z39:Z43" si="23">Z40-10</f>
        <v>-50</v>
      </c>
      <c r="AA39" s="33">
        <f t="shared" ref="AA39:AA49" si="24">$AA$38*(1+(Z39/100))</f>
        <v>4679.9999999999991</v>
      </c>
      <c r="AB39" s="34">
        <f t="dataTable" ref="AB39:AB49" dt2D="0" dtr="0" r1="J35" ca="1"/>
        <v>400758.4440440769</v>
      </c>
      <c r="AC39" s="38">
        <f t="shared" ref="AC39:AC49" si="25">100*((AB39-$AB$29)/$AB$29)</f>
        <v>-8.2714664230594934</v>
      </c>
      <c r="AD39" s="3"/>
      <c r="AE39" s="31">
        <f t="shared" ref="AE39:AE43" si="26">AE40-10</f>
        <v>-50</v>
      </c>
      <c r="AF39" s="35">
        <f t="shared" ref="AF39:AF49" si="27">$AF$38*(1+(AE39/100))</f>
        <v>22500</v>
      </c>
      <c r="AG39" s="34">
        <f t="dataTable" ref="AG39:AG49" dt2D="0" dtr="0" r1="F12" ca="1"/>
        <v>295148.84126017574</v>
      </c>
      <c r="AH39" s="38">
        <f t="shared" ref="AH39:AH49" si="28">100*((AG39-$AG$44)/$AG$44)</f>
        <v>-32.444167308046886</v>
      </c>
    </row>
    <row r="40" spans="1:34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17"/>
      <c r="M40" s="3"/>
      <c r="N40" s="13">
        <f t="shared" si="7"/>
        <v>0</v>
      </c>
      <c r="O40" s="13"/>
      <c r="P40" s="23">
        <f t="shared" si="1"/>
        <v>0</v>
      </c>
      <c r="Q40" s="24">
        <f t="shared" si="2"/>
        <v>0</v>
      </c>
      <c r="R40" s="24">
        <f t="shared" si="3"/>
        <v>0</v>
      </c>
      <c r="S40" s="24">
        <f t="shared" si="4"/>
        <v>0</v>
      </c>
      <c r="T40" s="23">
        <f t="shared" si="5"/>
        <v>0</v>
      </c>
      <c r="U40" s="20">
        <f t="shared" si="0"/>
        <v>0</v>
      </c>
      <c r="V40" s="4"/>
      <c r="W40" s="6">
        <f t="shared" si="6"/>
        <v>0</v>
      </c>
      <c r="X40" s="3"/>
      <c r="Y40" s="3"/>
      <c r="Z40" s="31">
        <f t="shared" si="23"/>
        <v>-40</v>
      </c>
      <c r="AA40" s="33">
        <f t="shared" si="24"/>
        <v>5615.9999999999991</v>
      </c>
      <c r="AB40" s="34">
        <v>407985.98793779383</v>
      </c>
      <c r="AC40" s="38">
        <f t="shared" si="25"/>
        <v>-6.6171731384476056</v>
      </c>
      <c r="AD40" s="3"/>
      <c r="AE40" s="31">
        <f t="shared" si="26"/>
        <v>-40</v>
      </c>
      <c r="AF40" s="35">
        <f t="shared" si="27"/>
        <v>27000</v>
      </c>
      <c r="AG40" s="34">
        <v>323498.30571067287</v>
      </c>
      <c r="AH40" s="38">
        <f t="shared" si="28"/>
        <v>-25.955333846437529</v>
      </c>
    </row>
    <row r="41" spans="1:34" ht="15.75" customHeight="1" x14ac:dyDescent="0.25">
      <c r="A41" s="3"/>
      <c r="B41" s="3"/>
      <c r="C41" s="3"/>
      <c r="D41" s="3"/>
      <c r="E41" s="18" t="s">
        <v>95</v>
      </c>
      <c r="F41" s="6">
        <f>F12*B5</f>
        <v>450000</v>
      </c>
      <c r="G41" s="3" t="s">
        <v>96</v>
      </c>
      <c r="H41" s="3"/>
      <c r="I41" s="3"/>
      <c r="J41" s="3"/>
      <c r="K41" s="3"/>
      <c r="L41" s="17"/>
      <c r="M41" s="3"/>
      <c r="N41" s="13">
        <f t="shared" si="7"/>
        <v>0</v>
      </c>
      <c r="O41" s="13"/>
      <c r="P41" s="23">
        <f t="shared" si="1"/>
        <v>0</v>
      </c>
      <c r="Q41" s="24">
        <f t="shared" si="2"/>
        <v>0</v>
      </c>
      <c r="R41" s="24">
        <f t="shared" si="3"/>
        <v>0</v>
      </c>
      <c r="S41" s="24">
        <f t="shared" si="4"/>
        <v>0</v>
      </c>
      <c r="T41" s="23">
        <f t="shared" si="5"/>
        <v>0</v>
      </c>
      <c r="U41" s="20">
        <f t="shared" si="0"/>
        <v>0</v>
      </c>
      <c r="V41" s="4"/>
      <c r="W41" s="6">
        <f t="shared" si="6"/>
        <v>0</v>
      </c>
      <c r="X41" s="3"/>
      <c r="Y41" s="3"/>
      <c r="Z41" s="31">
        <f t="shared" si="23"/>
        <v>-30</v>
      </c>
      <c r="AA41" s="33">
        <f t="shared" si="24"/>
        <v>6551.9999999999982</v>
      </c>
      <c r="AB41" s="34">
        <v>415213.53183151077</v>
      </c>
      <c r="AC41" s="38">
        <f t="shared" si="25"/>
        <v>-4.9628798538357177</v>
      </c>
      <c r="AD41" s="3"/>
      <c r="AE41" s="31">
        <f t="shared" si="26"/>
        <v>-30</v>
      </c>
      <c r="AF41" s="35">
        <f t="shared" si="27"/>
        <v>31499.999999999996</v>
      </c>
      <c r="AG41" s="34">
        <v>351847.77016117022</v>
      </c>
      <c r="AH41" s="38">
        <f t="shared" si="28"/>
        <v>-19.466500384828116</v>
      </c>
    </row>
    <row r="42" spans="1:34" ht="15.75" customHeight="1" x14ac:dyDescent="0.25">
      <c r="A42" s="25" t="s">
        <v>107</v>
      </c>
      <c r="B42" s="4"/>
      <c r="C42" s="2"/>
      <c r="D42" s="3"/>
      <c r="E42" s="18"/>
      <c r="F42" s="28"/>
      <c r="G42" s="3"/>
      <c r="H42" s="3"/>
      <c r="I42" s="2" t="s">
        <v>136</v>
      </c>
      <c r="J42" s="3"/>
      <c r="K42" s="3"/>
      <c r="L42" s="17"/>
      <c r="M42" s="3"/>
      <c r="N42" s="13">
        <f t="shared" si="7"/>
        <v>0</v>
      </c>
      <c r="O42" s="13"/>
      <c r="P42" s="23">
        <f t="shared" si="1"/>
        <v>0</v>
      </c>
      <c r="Q42" s="24">
        <f t="shared" si="2"/>
        <v>0</v>
      </c>
      <c r="R42" s="24">
        <f t="shared" si="3"/>
        <v>0</v>
      </c>
      <c r="S42" s="24">
        <f t="shared" si="4"/>
        <v>0</v>
      </c>
      <c r="T42" s="23">
        <f t="shared" si="5"/>
        <v>0</v>
      </c>
      <c r="U42" s="20">
        <f t="shared" si="0"/>
        <v>0</v>
      </c>
      <c r="V42" s="4"/>
      <c r="W42" s="6">
        <f t="shared" si="6"/>
        <v>0</v>
      </c>
      <c r="X42" s="3"/>
      <c r="Y42" s="3"/>
      <c r="Z42" s="31">
        <f t="shared" si="23"/>
        <v>-20</v>
      </c>
      <c r="AA42" s="33">
        <f t="shared" si="24"/>
        <v>7487.9999999999991</v>
      </c>
      <c r="AB42" s="34">
        <v>422441.07572522789</v>
      </c>
      <c r="AC42" s="38">
        <f t="shared" si="25"/>
        <v>-3.308586569223789</v>
      </c>
      <c r="AD42" s="3"/>
      <c r="AE42" s="31">
        <f t="shared" si="26"/>
        <v>-20</v>
      </c>
      <c r="AF42" s="35">
        <f t="shared" si="27"/>
        <v>36000</v>
      </c>
      <c r="AG42" s="34">
        <v>380197.23461166734</v>
      </c>
      <c r="AH42" s="38">
        <f t="shared" si="28"/>
        <v>-12.977666923218765</v>
      </c>
    </row>
    <row r="43" spans="1:34" ht="15.75" customHeight="1" x14ac:dyDescent="0.25">
      <c r="A43" s="18" t="s">
        <v>160</v>
      </c>
      <c r="B43" s="6">
        <f>J8/B8</f>
        <v>101935.48387096774</v>
      </c>
      <c r="C43" s="3" t="s">
        <v>3</v>
      </c>
      <c r="D43" s="3"/>
      <c r="E43" s="3"/>
      <c r="F43" s="3"/>
      <c r="G43" s="3"/>
      <c r="H43" s="3"/>
      <c r="I43" s="18" t="s">
        <v>66</v>
      </c>
      <c r="J43" s="22">
        <f>((F16/100)*B44)/B8</f>
        <v>4.3783717357910907</v>
      </c>
      <c r="K43" s="3" t="s">
        <v>49</v>
      </c>
      <c r="L43" s="17"/>
      <c r="M43" s="3"/>
      <c r="N43" s="13">
        <f t="shared" si="7"/>
        <v>0</v>
      </c>
      <c r="O43" s="13"/>
      <c r="P43" s="23">
        <f t="shared" si="1"/>
        <v>0</v>
      </c>
      <c r="Q43" s="24">
        <f t="shared" si="2"/>
        <v>0</v>
      </c>
      <c r="R43" s="24">
        <f t="shared" si="3"/>
        <v>0</v>
      </c>
      <c r="S43" s="24">
        <f t="shared" si="4"/>
        <v>0</v>
      </c>
      <c r="T43" s="23">
        <f t="shared" si="5"/>
        <v>0</v>
      </c>
      <c r="U43" s="20">
        <f t="shared" si="0"/>
        <v>0</v>
      </c>
      <c r="V43" s="4"/>
      <c r="W43" s="6">
        <f t="shared" si="6"/>
        <v>0</v>
      </c>
      <c r="X43" s="3"/>
      <c r="Y43" s="3"/>
      <c r="Z43" s="31">
        <f t="shared" si="23"/>
        <v>-10</v>
      </c>
      <c r="AA43" s="33">
        <f t="shared" si="24"/>
        <v>8423.9999999999982</v>
      </c>
      <c r="AB43" s="34">
        <v>429668.61961894488</v>
      </c>
      <c r="AC43" s="38">
        <f t="shared" si="25"/>
        <v>-1.6542932846118878</v>
      </c>
      <c r="AD43" s="3"/>
      <c r="AE43" s="31">
        <f t="shared" si="26"/>
        <v>-10</v>
      </c>
      <c r="AF43" s="35">
        <f t="shared" si="27"/>
        <v>40500</v>
      </c>
      <c r="AG43" s="34">
        <v>408546.69906216464</v>
      </c>
      <c r="AH43" s="38">
        <f t="shared" si="28"/>
        <v>-6.4888334616093681</v>
      </c>
    </row>
    <row r="44" spans="1:34" ht="15.75" customHeight="1" x14ac:dyDescent="0.25">
      <c r="A44" s="3" t="s">
        <v>112</v>
      </c>
      <c r="B44" s="26">
        <f>(1+B11/100)*B43</f>
        <v>112129.03225806453</v>
      </c>
      <c r="C44" s="3" t="s">
        <v>3</v>
      </c>
      <c r="D44" s="3"/>
      <c r="E44" s="3"/>
      <c r="F44" s="3"/>
      <c r="G44" s="3"/>
      <c r="H44" s="3"/>
      <c r="I44" s="3"/>
      <c r="J44" s="3"/>
      <c r="K44" s="3"/>
      <c r="L44" s="17"/>
      <c r="M44" s="3"/>
      <c r="N44" s="13">
        <f t="shared" si="7"/>
        <v>0</v>
      </c>
      <c r="O44" s="13"/>
      <c r="P44" s="23">
        <f t="shared" si="1"/>
        <v>0</v>
      </c>
      <c r="Q44" s="24">
        <f t="shared" si="2"/>
        <v>0</v>
      </c>
      <c r="R44" s="24">
        <f t="shared" si="3"/>
        <v>0</v>
      </c>
      <c r="S44" s="24">
        <f t="shared" si="4"/>
        <v>0</v>
      </c>
      <c r="T44" s="23">
        <f t="shared" si="5"/>
        <v>0</v>
      </c>
      <c r="U44" s="20">
        <f t="shared" si="0"/>
        <v>0</v>
      </c>
      <c r="V44" s="4"/>
      <c r="W44" s="6">
        <f t="shared" si="6"/>
        <v>0</v>
      </c>
      <c r="X44" s="3"/>
      <c r="Y44" s="3"/>
      <c r="Z44" s="43">
        <v>0</v>
      </c>
      <c r="AA44" s="44">
        <f t="shared" si="24"/>
        <v>9359.9999999999982</v>
      </c>
      <c r="AB44" s="45">
        <v>436896.16351266182</v>
      </c>
      <c r="AC44" s="46">
        <f t="shared" si="25"/>
        <v>0</v>
      </c>
      <c r="AD44" s="3"/>
      <c r="AE44" s="43">
        <v>0</v>
      </c>
      <c r="AF44" s="47">
        <f t="shared" si="27"/>
        <v>45000</v>
      </c>
      <c r="AG44" s="45">
        <v>436896.16351266182</v>
      </c>
      <c r="AH44" s="46">
        <f t="shared" si="28"/>
        <v>0</v>
      </c>
    </row>
    <row r="45" spans="1:34" ht="15.75" customHeight="1" x14ac:dyDescent="0.25">
      <c r="A45" s="27" t="s">
        <v>137</v>
      </c>
      <c r="B45" s="6">
        <f>SUM(B32:B38)+B44</f>
        <v>154116.25806451615</v>
      </c>
      <c r="C45" s="3" t="s">
        <v>3</v>
      </c>
      <c r="D45" s="3"/>
      <c r="E45" s="3"/>
      <c r="F45" s="3"/>
      <c r="G45" s="3"/>
      <c r="H45" s="3"/>
      <c r="I45" s="3"/>
      <c r="J45" s="3"/>
      <c r="K45" s="3"/>
      <c r="L45" s="17"/>
      <c r="M45" s="3"/>
      <c r="N45" s="13">
        <f t="shared" si="7"/>
        <v>0</v>
      </c>
      <c r="O45" s="13"/>
      <c r="P45" s="23">
        <f t="shared" si="1"/>
        <v>0</v>
      </c>
      <c r="Q45" s="24">
        <f t="shared" si="2"/>
        <v>0</v>
      </c>
      <c r="R45" s="24">
        <f t="shared" si="3"/>
        <v>0</v>
      </c>
      <c r="S45" s="24">
        <f t="shared" si="4"/>
        <v>0</v>
      </c>
      <c r="T45" s="23">
        <f t="shared" si="5"/>
        <v>0</v>
      </c>
      <c r="U45" s="20">
        <f t="shared" si="0"/>
        <v>0</v>
      </c>
      <c r="V45" s="4"/>
      <c r="W45" s="6">
        <f t="shared" si="6"/>
        <v>0</v>
      </c>
      <c r="X45" s="3"/>
      <c r="Y45" s="3"/>
      <c r="Z45" s="31">
        <f t="shared" ref="Z45:Z49" si="29">Z44+10</f>
        <v>10</v>
      </c>
      <c r="AA45" s="33">
        <f t="shared" si="24"/>
        <v>10295.999999999998</v>
      </c>
      <c r="AB45" s="34">
        <v>444123.70740637876</v>
      </c>
      <c r="AC45" s="38">
        <f t="shared" si="25"/>
        <v>1.6542932846118878</v>
      </c>
      <c r="AD45" s="3"/>
      <c r="AE45" s="31">
        <f t="shared" ref="AE45:AE49" si="30">AE44+10</f>
        <v>10</v>
      </c>
      <c r="AF45" s="35">
        <f t="shared" si="27"/>
        <v>49500.000000000007</v>
      </c>
      <c r="AG45" s="34">
        <v>465245.62796315912</v>
      </c>
      <c r="AH45" s="38">
        <f t="shared" si="28"/>
        <v>6.4888334616093948</v>
      </c>
    </row>
    <row r="46" spans="1:34" ht="15.75" customHeight="1" x14ac:dyDescent="0.25">
      <c r="A46" s="27" t="s">
        <v>115</v>
      </c>
      <c r="B46" s="6">
        <v>0</v>
      </c>
      <c r="C46" s="3" t="s">
        <v>3</v>
      </c>
      <c r="D46" s="3"/>
      <c r="E46" s="3"/>
      <c r="F46" s="3"/>
      <c r="G46" s="3"/>
      <c r="H46" s="3"/>
      <c r="I46" s="3"/>
      <c r="J46" s="3"/>
      <c r="K46" s="3"/>
      <c r="L46" s="17"/>
      <c r="M46" s="3"/>
      <c r="N46" s="13">
        <f t="shared" si="7"/>
        <v>0</v>
      </c>
      <c r="O46" s="13"/>
      <c r="P46" s="23">
        <f t="shared" si="1"/>
        <v>0</v>
      </c>
      <c r="Q46" s="24">
        <f t="shared" si="2"/>
        <v>0</v>
      </c>
      <c r="R46" s="24">
        <f t="shared" si="3"/>
        <v>0</v>
      </c>
      <c r="S46" s="24">
        <f t="shared" si="4"/>
        <v>0</v>
      </c>
      <c r="T46" s="23">
        <f t="shared" si="5"/>
        <v>0</v>
      </c>
      <c r="U46" s="20">
        <f t="shared" si="0"/>
        <v>0</v>
      </c>
      <c r="V46" s="4"/>
      <c r="W46" s="6">
        <f t="shared" si="6"/>
        <v>0</v>
      </c>
      <c r="X46" s="3"/>
      <c r="Y46" s="3"/>
      <c r="Z46" s="31">
        <f t="shared" si="29"/>
        <v>20</v>
      </c>
      <c r="AA46" s="33">
        <f t="shared" si="24"/>
        <v>11231.999999999998</v>
      </c>
      <c r="AB46" s="34">
        <v>451351.25130009581</v>
      </c>
      <c r="AC46" s="38">
        <f t="shared" si="25"/>
        <v>3.3085865692238028</v>
      </c>
      <c r="AD46" s="3"/>
      <c r="AE46" s="31">
        <f t="shared" si="30"/>
        <v>20</v>
      </c>
      <c r="AF46" s="35">
        <f t="shared" si="27"/>
        <v>54000</v>
      </c>
      <c r="AG46" s="34">
        <v>493595.09241365618</v>
      </c>
      <c r="AH46" s="38">
        <f t="shared" si="28"/>
        <v>12.977666923218736</v>
      </c>
    </row>
    <row r="47" spans="1:34" ht="15.75" customHeight="1" x14ac:dyDescent="0.25">
      <c r="A47" s="27" t="s">
        <v>159</v>
      </c>
      <c r="B47" s="6">
        <f>SUM(B45:B46)</f>
        <v>154116.25806451615</v>
      </c>
      <c r="C47" s="3" t="s">
        <v>3</v>
      </c>
      <c r="D47" s="3"/>
      <c r="E47" s="3"/>
      <c r="F47" s="3"/>
      <c r="G47" s="3"/>
      <c r="H47" s="3"/>
      <c r="I47" s="3"/>
      <c r="J47" s="3"/>
      <c r="K47" s="3"/>
      <c r="L47" s="17"/>
      <c r="M47" s="3"/>
      <c r="N47" s="13">
        <f t="shared" si="7"/>
        <v>0</v>
      </c>
      <c r="O47" s="13"/>
      <c r="P47" s="23">
        <f t="shared" si="1"/>
        <v>0</v>
      </c>
      <c r="Q47" s="24">
        <f t="shared" si="2"/>
        <v>0</v>
      </c>
      <c r="R47" s="24">
        <f t="shared" si="3"/>
        <v>0</v>
      </c>
      <c r="S47" s="24">
        <f t="shared" si="4"/>
        <v>0</v>
      </c>
      <c r="T47" s="23">
        <f t="shared" si="5"/>
        <v>0</v>
      </c>
      <c r="U47" s="20">
        <f t="shared" si="0"/>
        <v>0</v>
      </c>
      <c r="V47" s="4"/>
      <c r="W47" s="6">
        <f t="shared" si="6"/>
        <v>0</v>
      </c>
      <c r="X47" s="3"/>
      <c r="Y47" s="3"/>
      <c r="Z47" s="31">
        <f t="shared" si="29"/>
        <v>30</v>
      </c>
      <c r="AA47" s="33">
        <f t="shared" si="24"/>
        <v>12167.999999999998</v>
      </c>
      <c r="AB47" s="34">
        <v>458578.79519381281</v>
      </c>
      <c r="AC47" s="38">
        <f t="shared" si="25"/>
        <v>4.9628798538357044</v>
      </c>
      <c r="AD47" s="3"/>
      <c r="AE47" s="31">
        <f t="shared" si="30"/>
        <v>30</v>
      </c>
      <c r="AF47" s="35">
        <f t="shared" si="27"/>
        <v>58500</v>
      </c>
      <c r="AG47" s="34">
        <v>521944.5568641533</v>
      </c>
      <c r="AH47" s="38">
        <f t="shared" si="28"/>
        <v>19.466500384828091</v>
      </c>
    </row>
    <row r="48" spans="1:34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17"/>
      <c r="M48" s="3"/>
      <c r="N48" s="13">
        <f t="shared" si="7"/>
        <v>0</v>
      </c>
      <c r="O48" s="13"/>
      <c r="P48" s="23">
        <f t="shared" si="1"/>
        <v>0</v>
      </c>
      <c r="Q48" s="24">
        <f t="shared" si="2"/>
        <v>0</v>
      </c>
      <c r="R48" s="24">
        <f t="shared" si="3"/>
        <v>0</v>
      </c>
      <c r="S48" s="24">
        <f t="shared" si="4"/>
        <v>0</v>
      </c>
      <c r="T48" s="23">
        <f t="shared" si="5"/>
        <v>0</v>
      </c>
      <c r="U48" s="20">
        <f t="shared" si="0"/>
        <v>0</v>
      </c>
      <c r="V48" s="4"/>
      <c r="W48" s="6">
        <f t="shared" si="6"/>
        <v>0</v>
      </c>
      <c r="X48" s="3"/>
      <c r="Y48" s="3"/>
      <c r="Z48" s="31">
        <f t="shared" si="29"/>
        <v>40</v>
      </c>
      <c r="AA48" s="33">
        <f t="shared" si="24"/>
        <v>13103.999999999996</v>
      </c>
      <c r="AB48" s="34">
        <v>465806.33908752975</v>
      </c>
      <c r="AC48" s="38">
        <f t="shared" si="25"/>
        <v>6.6171731384475923</v>
      </c>
      <c r="AD48" s="3"/>
      <c r="AE48" s="31">
        <f t="shared" si="30"/>
        <v>40</v>
      </c>
      <c r="AF48" s="35">
        <f t="shared" si="27"/>
        <v>62999.999999999993</v>
      </c>
      <c r="AG48" s="34">
        <v>550294.02131465066</v>
      </c>
      <c r="AH48" s="38">
        <f t="shared" si="28"/>
        <v>25.955333846437501</v>
      </c>
    </row>
    <row r="49" spans="1:34" ht="15.75" customHeight="1" x14ac:dyDescent="0.25">
      <c r="A49" s="15"/>
      <c r="B49" s="8"/>
      <c r="C49" s="3"/>
      <c r="D49" s="3"/>
      <c r="E49" s="3"/>
      <c r="F49" s="3"/>
      <c r="G49" s="3"/>
      <c r="H49" s="3"/>
      <c r="I49" s="3"/>
      <c r="J49" s="3"/>
      <c r="K49" s="3"/>
      <c r="L49" s="17"/>
      <c r="M49" s="3"/>
      <c r="N49" s="14" t="s">
        <v>113</v>
      </c>
      <c r="O49" s="20">
        <f t="shared" ref="O49:U49" si="31">SUM(O8:O48)</f>
        <v>46234.877419354845</v>
      </c>
      <c r="P49" s="20">
        <f t="shared" si="31"/>
        <v>140120.97620960072</v>
      </c>
      <c r="Q49" s="20">
        <f t="shared" si="31"/>
        <v>211219.20556780227</v>
      </c>
      <c r="R49" s="20">
        <f t="shared" si="31"/>
        <v>72317.943743056006</v>
      </c>
      <c r="S49" s="20">
        <f t="shared" si="31"/>
        <v>33.808625965213601</v>
      </c>
      <c r="T49" s="20">
        <f t="shared" si="31"/>
        <v>-33030.64805311722</v>
      </c>
      <c r="U49" s="20">
        <f t="shared" si="31"/>
        <v>436896.16351266182</v>
      </c>
      <c r="V49" s="4"/>
      <c r="W49" s="4"/>
      <c r="X49" s="3"/>
      <c r="Y49" s="3"/>
      <c r="Z49" s="31">
        <f t="shared" si="29"/>
        <v>50</v>
      </c>
      <c r="AA49" s="33">
        <f t="shared" si="24"/>
        <v>14039.999999999996</v>
      </c>
      <c r="AB49" s="34">
        <v>473033.88298124674</v>
      </c>
      <c r="AC49" s="38">
        <f t="shared" si="25"/>
        <v>8.2714664230594934</v>
      </c>
      <c r="AD49" s="3"/>
      <c r="AE49" s="31">
        <f t="shared" si="30"/>
        <v>50</v>
      </c>
      <c r="AF49" s="35">
        <f t="shared" si="27"/>
        <v>67500</v>
      </c>
      <c r="AG49" s="34">
        <v>578643.48576514784</v>
      </c>
      <c r="AH49" s="38">
        <f t="shared" si="28"/>
        <v>32.444167308046865</v>
      </c>
    </row>
    <row r="50" spans="1:34" ht="15.75" customHeight="1" x14ac:dyDescent="0.25">
      <c r="A50" s="3"/>
      <c r="B50" s="7"/>
      <c r="C50" s="3"/>
      <c r="D50" s="3"/>
      <c r="E50" s="3"/>
      <c r="F50" s="3"/>
      <c r="G50" s="3"/>
      <c r="H50" s="3"/>
      <c r="I50" s="3"/>
      <c r="J50" s="3"/>
      <c r="K50" s="3"/>
      <c r="L50" s="17"/>
      <c r="M50" s="3"/>
      <c r="N50" s="3"/>
      <c r="O50" s="3"/>
      <c r="P50" s="3"/>
      <c r="Q50" s="3"/>
      <c r="R50" s="26">
        <f>SUM(R49:S49)</f>
        <v>72351.752369021226</v>
      </c>
      <c r="S50" s="3"/>
      <c r="T50" s="3"/>
      <c r="U50" s="3"/>
      <c r="V50" s="3"/>
      <c r="W50" s="3"/>
      <c r="X50" s="26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17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0" t="s">
        <v>184</v>
      </c>
      <c r="AA51" s="31"/>
      <c r="AB51" s="31"/>
      <c r="AC51" s="31"/>
      <c r="AD51" s="3"/>
      <c r="AE51" s="3"/>
      <c r="AF51" s="3"/>
      <c r="AG51" s="3"/>
      <c r="AH51" s="3"/>
    </row>
    <row r="52" spans="1:34" ht="15.75" customHeight="1" x14ac:dyDescent="0.25">
      <c r="A52" s="15"/>
      <c r="B52" s="3"/>
      <c r="C52" s="3"/>
      <c r="D52" s="3"/>
      <c r="E52" s="3"/>
      <c r="F52" s="3"/>
      <c r="G52" s="3"/>
      <c r="H52" s="3"/>
      <c r="I52" s="3"/>
      <c r="J52" s="3"/>
      <c r="K52" s="3"/>
      <c r="L52" s="17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1" t="s">
        <v>79</v>
      </c>
      <c r="AA52" s="31" t="s">
        <v>184</v>
      </c>
      <c r="AB52" s="31" t="s">
        <v>23</v>
      </c>
      <c r="AC52" s="31" t="s">
        <v>81</v>
      </c>
      <c r="AD52" s="3"/>
      <c r="AE52" s="3"/>
      <c r="AF52" s="3"/>
      <c r="AG52" s="3"/>
      <c r="AH52" s="3"/>
    </row>
    <row r="53" spans="1:34" ht="15.75" customHeight="1" x14ac:dyDescent="0.25">
      <c r="A53" s="40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2"/>
      <c r="M53" s="3"/>
      <c r="N53" s="3"/>
      <c r="O53" s="2" t="s">
        <v>117</v>
      </c>
      <c r="P53" s="2"/>
      <c r="Q53" s="3"/>
      <c r="R53" s="3"/>
      <c r="S53" s="3"/>
      <c r="T53" s="3"/>
      <c r="U53" s="3"/>
      <c r="V53" s="3"/>
      <c r="W53" s="3"/>
      <c r="X53" s="7"/>
      <c r="Y53" s="3"/>
      <c r="Z53" s="31" t="s">
        <v>133</v>
      </c>
      <c r="AA53" s="33">
        <v>0.49</v>
      </c>
      <c r="AB53" s="34">
        <f>U49</f>
        <v>436896.16351266182</v>
      </c>
      <c r="AC53" s="31"/>
      <c r="AD53" s="3"/>
      <c r="AE53" s="3"/>
      <c r="AF53" s="3"/>
      <c r="AG53" s="3"/>
      <c r="AH53" s="3"/>
    </row>
    <row r="54" spans="1:34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54"/>
      <c r="O54" s="55" t="s">
        <v>118</v>
      </c>
      <c r="P54" s="56" t="s">
        <v>119</v>
      </c>
      <c r="Q54" s="54"/>
      <c r="R54" s="54"/>
      <c r="S54" s="54"/>
      <c r="T54" s="54"/>
      <c r="U54" s="3"/>
      <c r="V54" s="3"/>
      <c r="W54" s="3"/>
      <c r="X54" s="7"/>
      <c r="Y54" s="3"/>
      <c r="Z54" s="31">
        <f t="shared" ref="Z54:Z58" si="32">Z55-10</f>
        <v>-50</v>
      </c>
      <c r="AA54" s="33">
        <f>$AA$53*(1-(Z54/100))</f>
        <v>0.73499999999999999</v>
      </c>
      <c r="AB54" s="34">
        <f t="dataTable" ref="AB54:AB64" dt2D="0" dtr="0" r1="J10" ca="1"/>
        <v>542505.76629656286</v>
      </c>
      <c r="AC54" s="38">
        <f>100*((AB54-$AB$59)/$AB$59)</f>
        <v>24.172700884987361</v>
      </c>
      <c r="AD54" s="3"/>
      <c r="AE54" s="3"/>
      <c r="AF54" s="3"/>
      <c r="AG54" s="3"/>
      <c r="AH54" s="3"/>
    </row>
    <row r="55" spans="1:34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 t="s">
        <v>120</v>
      </c>
      <c r="P55" s="26">
        <f>SUM(O49:P49)</f>
        <v>186355.85362895555</v>
      </c>
      <c r="Q55" s="3" t="s">
        <v>3</v>
      </c>
      <c r="R55" s="50">
        <f t="shared" ref="R55:R58" si="33">P55/$F$41</f>
        <v>0.41412411917545677</v>
      </c>
      <c r="S55" s="3" t="s">
        <v>4</v>
      </c>
      <c r="T55" s="3"/>
      <c r="U55" s="3"/>
      <c r="V55" s="3"/>
      <c r="W55" s="3"/>
      <c r="X55" s="7"/>
      <c r="Y55" s="3"/>
      <c r="Z55" s="31">
        <f t="shared" si="32"/>
        <v>-40</v>
      </c>
      <c r="AA55" s="33">
        <f t="shared" ref="AA55:AA58" si="34">$AA$53*(1-(Z55/100))</f>
        <v>0.68599999999999994</v>
      </c>
      <c r="AB55" s="34">
        <v>521383.84573978261</v>
      </c>
      <c r="AC55" s="38">
        <f t="shared" ref="AC55:AC64" si="35">100*((AB55-$AB$59)/$AB$59)</f>
        <v>19.338160707989882</v>
      </c>
      <c r="AD55" s="3"/>
      <c r="AE55" s="3"/>
      <c r="AF55" s="3"/>
      <c r="AG55" s="3"/>
      <c r="AH55" s="3"/>
    </row>
    <row r="56" spans="1:34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 t="s">
        <v>97</v>
      </c>
      <c r="P56" s="26">
        <f>SUM(Q49)</f>
        <v>211219.20556780227</v>
      </c>
      <c r="Q56" s="3" t="s">
        <v>3</v>
      </c>
      <c r="R56" s="50">
        <f t="shared" si="33"/>
        <v>0.46937601237289395</v>
      </c>
      <c r="S56" s="3" t="s">
        <v>4</v>
      </c>
      <c r="T56" s="3"/>
      <c r="U56" s="3"/>
      <c r="V56" s="3"/>
      <c r="W56" s="3"/>
      <c r="X56" s="7"/>
      <c r="Y56" s="3"/>
      <c r="Z56" s="31">
        <f t="shared" si="32"/>
        <v>-30</v>
      </c>
      <c r="AA56" s="33">
        <f t="shared" si="34"/>
        <v>0.63700000000000001</v>
      </c>
      <c r="AB56" s="34">
        <v>500261.92518300249</v>
      </c>
      <c r="AC56" s="38">
        <f t="shared" si="35"/>
        <v>14.503620530992428</v>
      </c>
      <c r="AD56" s="3"/>
      <c r="AE56" s="3"/>
      <c r="AF56" s="3"/>
      <c r="AG56" s="3"/>
      <c r="AH56" s="3"/>
    </row>
    <row r="57" spans="1:34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 t="s">
        <v>121</v>
      </c>
      <c r="P57" s="26">
        <f>SUM(R49:S49)</f>
        <v>72351.752369021226</v>
      </c>
      <c r="Q57" s="3" t="s">
        <v>3</v>
      </c>
      <c r="R57" s="50">
        <f t="shared" si="33"/>
        <v>0.16078167193115828</v>
      </c>
      <c r="S57" s="3" t="s">
        <v>4</v>
      </c>
      <c r="T57" s="3"/>
      <c r="U57" s="3"/>
      <c r="V57" s="3"/>
      <c r="W57" s="3"/>
      <c r="X57" s="7"/>
      <c r="Y57" s="3"/>
      <c r="Z57" s="31">
        <f t="shared" si="32"/>
        <v>-20</v>
      </c>
      <c r="AA57" s="33">
        <f t="shared" si="34"/>
        <v>0.58799999999999997</v>
      </c>
      <c r="AB57" s="34">
        <v>479140.00462622219</v>
      </c>
      <c r="AC57" s="38">
        <f t="shared" si="35"/>
        <v>9.6690803539949339</v>
      </c>
      <c r="AD57" s="3"/>
      <c r="AE57" s="3"/>
      <c r="AF57" s="3"/>
      <c r="AG57" s="3"/>
      <c r="AH57" s="3"/>
    </row>
    <row r="58" spans="1:34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 t="s">
        <v>123</v>
      </c>
      <c r="P58" s="26">
        <f>T49</f>
        <v>-33030.64805311722</v>
      </c>
      <c r="Q58" s="3" t="s">
        <v>3</v>
      </c>
      <c r="R58" s="50">
        <f t="shared" si="33"/>
        <v>-7.3401440118038272E-2</v>
      </c>
      <c r="S58" s="3" t="s">
        <v>4</v>
      </c>
      <c r="T58" s="3"/>
      <c r="U58" s="3"/>
      <c r="V58" s="3"/>
      <c r="W58" s="3"/>
      <c r="X58" s="7"/>
      <c r="Y58" s="3"/>
      <c r="Z58" s="31">
        <f t="shared" si="32"/>
        <v>-10</v>
      </c>
      <c r="AA58" s="33">
        <f t="shared" si="34"/>
        <v>0.53900000000000003</v>
      </c>
      <c r="AB58" s="34">
        <v>458018.084069442</v>
      </c>
      <c r="AC58" s="38">
        <f t="shared" si="35"/>
        <v>4.834540176997467</v>
      </c>
      <c r="AD58" s="3"/>
      <c r="AE58" s="3"/>
      <c r="AF58" s="3"/>
      <c r="AG58" s="3"/>
      <c r="AH58" s="3"/>
    </row>
    <row r="59" spans="1:34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7"/>
      <c r="Y59" s="3"/>
      <c r="Z59" s="43">
        <v>0</v>
      </c>
      <c r="AA59" s="93">
        <f t="shared" ref="AA59" si="36">$AA$53*(1+(Z59/100))</f>
        <v>0.49</v>
      </c>
      <c r="AB59" s="45">
        <v>436896.16351266182</v>
      </c>
      <c r="AC59" s="75">
        <f t="shared" si="35"/>
        <v>0</v>
      </c>
      <c r="AD59" s="3"/>
      <c r="AE59" s="3"/>
      <c r="AF59" s="3"/>
      <c r="AG59" s="3"/>
      <c r="AH59" s="3"/>
    </row>
    <row r="60" spans="1:34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2" t="s">
        <v>2</v>
      </c>
      <c r="P60" s="4">
        <f>SUM(P55:P58)</f>
        <v>436896.16351266188</v>
      </c>
      <c r="Q60" s="2" t="s">
        <v>3</v>
      </c>
      <c r="R60" s="51">
        <f>SUM(R55:R58)</f>
        <v>0.97088036336147066</v>
      </c>
      <c r="S60" s="2" t="s">
        <v>4</v>
      </c>
      <c r="T60" s="3"/>
      <c r="U60" s="3"/>
      <c r="V60" s="3"/>
      <c r="W60" s="3"/>
      <c r="X60" s="7"/>
      <c r="Y60" s="3"/>
      <c r="Z60" s="31">
        <f t="shared" ref="Z60:Z64" si="37">Z59+10</f>
        <v>10</v>
      </c>
      <c r="AA60" s="33">
        <f t="shared" ref="AA60:AA64" si="38">$AA$53*(1-(Z60/100))</f>
        <v>0.441</v>
      </c>
      <c r="AB60" s="34">
        <v>415774.24295588164</v>
      </c>
      <c r="AC60" s="38">
        <f t="shared" si="35"/>
        <v>-4.834540176997467</v>
      </c>
      <c r="AD60" s="3"/>
      <c r="AE60" s="3"/>
      <c r="AF60" s="3"/>
      <c r="AG60" s="3"/>
      <c r="AH60" s="3"/>
    </row>
    <row r="61" spans="1:34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7"/>
      <c r="Y61" s="3"/>
      <c r="Z61" s="31">
        <f t="shared" si="37"/>
        <v>20</v>
      </c>
      <c r="AA61" s="33">
        <f t="shared" si="38"/>
        <v>0.39200000000000002</v>
      </c>
      <c r="AB61" s="34">
        <v>394652.32239910134</v>
      </c>
      <c r="AC61" s="38">
        <f t="shared" si="35"/>
        <v>-9.6690803539949606</v>
      </c>
      <c r="AD61" s="3"/>
      <c r="AE61" s="3"/>
      <c r="AF61" s="3"/>
      <c r="AG61" s="3"/>
      <c r="AH61" s="3"/>
    </row>
    <row r="62" spans="1:34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7"/>
      <c r="Y62" s="3"/>
      <c r="Z62" s="31">
        <f t="shared" si="37"/>
        <v>30</v>
      </c>
      <c r="AA62" s="33">
        <f t="shared" si="38"/>
        <v>0.34299999999999997</v>
      </c>
      <c r="AB62" s="34">
        <v>373530.40184232104</v>
      </c>
      <c r="AC62" s="38">
        <f t="shared" si="35"/>
        <v>-14.503620530992453</v>
      </c>
      <c r="AD62" s="3"/>
      <c r="AE62" s="3"/>
      <c r="AF62" s="3"/>
      <c r="AG62" s="3"/>
      <c r="AH62" s="3"/>
    </row>
    <row r="63" spans="1:34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7"/>
      <c r="Y63" s="3"/>
      <c r="Z63" s="31">
        <f t="shared" si="37"/>
        <v>40</v>
      </c>
      <c r="AA63" s="33">
        <f t="shared" si="38"/>
        <v>0.29399999999999998</v>
      </c>
      <c r="AB63" s="34">
        <v>352408.48128554091</v>
      </c>
      <c r="AC63" s="38">
        <f t="shared" si="35"/>
        <v>-19.338160707989907</v>
      </c>
      <c r="AD63" s="3"/>
      <c r="AE63" s="3"/>
      <c r="AF63" s="3"/>
      <c r="AG63" s="3"/>
      <c r="AH63" s="3"/>
    </row>
    <row r="64" spans="1:34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7"/>
      <c r="Y64" s="3"/>
      <c r="Z64" s="31">
        <f t="shared" si="37"/>
        <v>50</v>
      </c>
      <c r="AA64" s="33">
        <f t="shared" si="38"/>
        <v>0.245</v>
      </c>
      <c r="AB64" s="34">
        <v>331286.56072876061</v>
      </c>
      <c r="AC64" s="38">
        <f t="shared" si="35"/>
        <v>-24.172700884987403</v>
      </c>
      <c r="AD64" s="3"/>
      <c r="AE64" s="3"/>
      <c r="AF64" s="3"/>
      <c r="AG64" s="3"/>
      <c r="AH64" s="3"/>
    </row>
    <row r="65" spans="1:34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7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7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7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34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:34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:34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:34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:34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:34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:34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:34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:34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:34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:34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:34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:34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:34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1:34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:34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:34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1:34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:34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:34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:34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:34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:34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:34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1:34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1:34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spans="1:34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:34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1:34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1:34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spans="1:34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spans="1:34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spans="1:34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spans="1:34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spans="1:34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spans="1:34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spans="1:34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spans="1:34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spans="1:34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1:34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spans="1:34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spans="1:34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spans="1:34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1:34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spans="1:34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spans="1:34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spans="1:34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1:34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spans="1:34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spans="1:34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1:34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1:34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1:34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spans="1:34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1:34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1:34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spans="1:34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1:34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1:34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spans="1:34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spans="1:34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spans="1:34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spans="1:34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spans="1:34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spans="1:34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1:34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spans="1:34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spans="1:34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spans="1:34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1:34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1:34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1:34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1:34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1:34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1:34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1:34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1:34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1:34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1:34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1:34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 spans="1:34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 spans="1:34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spans="1:34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 spans="1:34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 spans="1:34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 spans="1:34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 spans="1:34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 spans="1:34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 spans="1:34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 spans="1:34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 spans="1:34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 spans="1:34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 spans="1:34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 spans="1:34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 spans="1:34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 spans="1:34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spans="1:34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spans="1:34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spans="1:34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spans="1:34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spans="1:34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spans="1:34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spans="1:34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spans="1:34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spans="1:34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spans="1:34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spans="1:34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spans="1:34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spans="1:34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spans="1:34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1:34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spans="1:34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spans="1:34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spans="1:34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spans="1:34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spans="1:34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spans="1:34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spans="1:34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spans="1:34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spans="1:34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spans="1:34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spans="1:34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spans="1:34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spans="1:34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spans="1:34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 spans="1:34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spans="1:34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spans="1:34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spans="1:34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spans="1:34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spans="1:34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spans="1:34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spans="1:34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spans="1:34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 spans="1:34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 spans="1:34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 spans="1:34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 spans="1:34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 spans="1:34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 spans="1:34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 spans="1:34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 spans="1:34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 spans="1:34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 spans="1:34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 spans="1:34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 spans="1:34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 spans="1:34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 spans="1:34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 spans="1:34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spans="1:34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spans="1:34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spans="1:34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spans="1:34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spans="1:34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spans="1:34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spans="1:34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spans="1:34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spans="1:34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spans="1:34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spans="1:34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spans="1:34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spans="1:34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spans="1:34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spans="1:34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spans="1:34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spans="1:34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spans="1:34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spans="1:34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spans="1:34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spans="1:34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spans="1:34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spans="1:34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spans="1:34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 spans="1:34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spans="1:34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spans="1:34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spans="1:34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spans="1:34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spans="1:34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spans="1:34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spans="1:34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spans="1:34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spans="1:34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spans="1:34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spans="1:34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spans="1:34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spans="1:34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spans="1:34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spans="1:34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 spans="1:34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spans="1:34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 spans="1:34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 spans="1:34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 spans="1:34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spans="1:34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spans="1:34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spans="1:34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 spans="1:34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spans="1:34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spans="1:34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spans="1:34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spans="1:34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spans="1:34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spans="1:34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 spans="1:34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spans="1:34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spans="1:34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spans="1:34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 spans="1:34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spans="1:34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spans="1:34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spans="1:34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spans="1:34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spans="1:34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spans="1:34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spans="1:34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spans="1:34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spans="1:34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spans="1:34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spans="1:34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spans="1:34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spans="1:34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spans="1:34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 spans="1:34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 spans="1:34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spans="1:34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spans="1:34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 spans="1:34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spans="1:34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spans="1:34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 spans="1:34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spans="1:34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spans="1:34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spans="1:34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spans="1:34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spans="1:34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spans="1:34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spans="1:34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spans="1:34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spans="1:34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spans="1:34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spans="1:34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spans="1:34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spans="1:34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spans="1:34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spans="1:34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spans="1:34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spans="1:34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spans="1:34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spans="1:34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spans="1:34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spans="1:34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spans="1:34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spans="1:34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spans="1:34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spans="1:34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spans="1:34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 spans="1:34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 spans="1:34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spans="1:34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spans="1:34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spans="1:34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spans="1:34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spans="1:34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spans="1:34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spans="1:34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spans="1:34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spans="1:34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spans="1:34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spans="1:34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spans="1:34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spans="1:34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spans="1:34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spans="1:34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spans="1:34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spans="1:34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spans="1:34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spans="1:34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spans="1:34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spans="1:34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spans="1:34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spans="1:34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spans="1:34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spans="1:34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spans="1:34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spans="1:34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spans="1:34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spans="1:34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spans="1:34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spans="1:34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spans="1:34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spans="1:34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spans="1:34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spans="1:34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spans="1:34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spans="1:34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spans="1:34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spans="1:34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spans="1:34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spans="1:34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spans="1:34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spans="1:34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spans="1:34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spans="1:34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spans="1:34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spans="1:34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spans="1:34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spans="1:34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spans="1:34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spans="1:34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spans="1:34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 spans="1:34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 spans="1:34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 spans="1:34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spans="1:34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spans="1:34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spans="1:34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spans="1:34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spans="1:34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spans="1:34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 spans="1:34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spans="1:34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spans="1:34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spans="1:34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spans="1:34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spans="1:34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spans="1:34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spans="1:34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spans="1:34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spans="1:34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spans="1:34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spans="1:34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spans="1:34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spans="1:34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spans="1:34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spans="1:34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spans="1:34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spans="1:34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spans="1:34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spans="1:34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spans="1:34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spans="1:34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spans="1:34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spans="1:34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spans="1:34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spans="1:34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spans="1:34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spans="1:34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spans="1:34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spans="1:34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spans="1:34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spans="1:34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spans="1:34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spans="1:34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spans="1:34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spans="1:34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spans="1:34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spans="1:34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 spans="1:34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spans="1:34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spans="1:34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spans="1:34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spans="1:34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spans="1:34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spans="1:34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spans="1:34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spans="1:34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spans="1:34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spans="1:34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 spans="1:34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spans="1:34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spans="1:34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 spans="1:34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 spans="1:34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spans="1:34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spans="1:34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spans="1:34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spans="1:34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 spans="1:34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spans="1:34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spans="1:34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spans="1:34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spans="1:34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spans="1:34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spans="1:34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spans="1:34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spans="1:34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spans="1:34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spans="1:34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 spans="1:34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spans="1:34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spans="1:34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spans="1:34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spans="1:34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spans="1:34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spans="1:34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spans="1:34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spans="1:34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spans="1:34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spans="1:34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spans="1:34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spans="1:34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 spans="1:34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spans="1:34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spans="1:34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spans="1:34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spans="1:34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spans="1:34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spans="1:34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spans="1:34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spans="1:34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spans="1:34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spans="1:34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spans="1:34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spans="1:34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spans="1:34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spans="1:34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spans="1:34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spans="1:34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spans="1:34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spans="1:34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spans="1:34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spans="1:34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spans="1:34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spans="1:34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 spans="1:34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spans="1:34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spans="1:34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spans="1:34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spans="1:34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spans="1:34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spans="1:34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spans="1:34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spans="1:34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spans="1:34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spans="1:34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spans="1:34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spans="1:34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spans="1:34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spans="1:34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spans="1:34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spans="1:34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spans="1:34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spans="1:34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 spans="1:34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spans="1:34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spans="1:34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spans="1:34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spans="1:34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spans="1:34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 spans="1:34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spans="1:34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spans="1:34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spans="1:34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spans="1:34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spans="1:34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spans="1:34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spans="1:34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spans="1:34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spans="1:34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spans="1:34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spans="1:34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spans="1:34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spans="1:34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spans="1:34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spans="1:34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spans="1:34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spans="1:34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spans="1:34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spans="1:34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spans="1:34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spans="1:34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spans="1:34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spans="1:34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 spans="1:34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spans="1:34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spans="1:34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spans="1:34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spans="1:34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spans="1:34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spans="1:34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spans="1:34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spans="1:34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 spans="1:34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spans="1:34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spans="1:34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spans="1:34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spans="1:34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spans="1:34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spans="1:34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spans="1:34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spans="1:34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spans="1:34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spans="1:34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 spans="1:34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 spans="1:34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 spans="1:34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 spans="1:34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 spans="1:34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 spans="1:34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 spans="1:34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 spans="1:34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spans="1:34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 spans="1:34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 spans="1:34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 spans="1:34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 spans="1:34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 spans="1:34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 spans="1:34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 spans="1:34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 spans="1:34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 spans="1:34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spans="1:34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 spans="1:34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 spans="1:34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 spans="1:34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 spans="1:34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 spans="1:34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 spans="1:34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 spans="1:34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 spans="1:34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 spans="1:34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 spans="1:34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 spans="1:34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 spans="1:34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 spans="1:34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 spans="1:34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 spans="1:34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 spans="1:34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 spans="1:34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 spans="1:34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 spans="1:34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 spans="1:34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 spans="1:34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 spans="1:34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 spans="1:34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 spans="1:34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 spans="1:34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 spans="1:34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 spans="1:34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 spans="1:34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 spans="1:34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 spans="1:34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 spans="1:34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 spans="1:34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 spans="1:34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 spans="1:34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 spans="1:34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 spans="1:34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 spans="1:34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 spans="1:34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 spans="1:34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 spans="1:34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 spans="1:34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 spans="1:34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 spans="1:34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 spans="1:34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 spans="1:34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 spans="1:34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 spans="1:34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 spans="1:34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 spans="1:34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 spans="1:34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 spans="1:34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 spans="1:34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 spans="1:34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 spans="1:34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 spans="1:34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 spans="1:34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 spans="1:34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 spans="1:34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 spans="1:34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 spans="1:34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 spans="1:34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 spans="1:34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 spans="1:34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 spans="1:34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 spans="1:34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 spans="1:34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 spans="1:34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 spans="1:34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 spans="1:34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 spans="1:34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 spans="1:34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 spans="1:34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 spans="1:34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 spans="1:34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 spans="1:34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 spans="1:34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 spans="1:34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 spans="1:34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 spans="1:34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 spans="1:34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 spans="1:34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 spans="1:34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 spans="1:34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 spans="1:34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 spans="1:34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 spans="1:34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 spans="1:34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 spans="1:34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 spans="1:34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 spans="1:34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 spans="1:34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 spans="1:34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 spans="1:34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 spans="1:34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 spans="1:34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 spans="1:34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 spans="1:34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 spans="1:34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 spans="1:34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 spans="1:34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 spans="1:34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 spans="1:34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 spans="1:34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 spans="1:34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 spans="1:34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 spans="1:34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 spans="1:34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 spans="1:34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 spans="1:34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 spans="1:34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 spans="1:34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 spans="1:34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 spans="1:34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 spans="1:34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 spans="1:34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 spans="1:34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 spans="1:34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 spans="1:34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 spans="1:34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 spans="1:34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 spans="1:34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 spans="1:34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 spans="1:34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 spans="1:34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 spans="1:34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 spans="1:34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 spans="1:34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 spans="1:34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 spans="1:34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 spans="1:34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 spans="1:34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 spans="1:34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 spans="1:34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 spans="1:34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 spans="1:34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 spans="1:34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 spans="1:34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 spans="1:34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 spans="1:34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 spans="1:34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 spans="1:34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 spans="1:34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 spans="1:34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 spans="1:34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 spans="1:34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 spans="1:34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 spans="1:34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 spans="1:34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 spans="1:34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 spans="1:34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 spans="1:34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 spans="1:34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 spans="1:34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 spans="1:34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 spans="1:34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 spans="1:34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 spans="1:34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 spans="1:34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 spans="1:34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 spans="1:34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 spans="1:34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 spans="1:34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 spans="1:34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 spans="1:34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 spans="1:34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 spans="1:34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 spans="1:34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 spans="1:34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 spans="1:34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 spans="1:34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 spans="1:34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 spans="1:34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 spans="1:34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 spans="1:34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 spans="1:34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 spans="1:34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 spans="1:34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 spans="1:34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 spans="1:34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 spans="1:34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 spans="1:34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 spans="1:34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 spans="1:34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 spans="1:34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 spans="1:34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 spans="1:34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 spans="1:34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 spans="1:34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 spans="1:34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 spans="1:34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 spans="1:34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 spans="1:34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 spans="1:34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 spans="1:34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 spans="1:34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 spans="1:34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 spans="1:34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 spans="1:34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 spans="1:34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 spans="1:34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 spans="1:34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 spans="1:34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 spans="1:34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 spans="1:34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 spans="1:34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 spans="1:34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 spans="1:34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 spans="1:34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 spans="1:34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 spans="1:34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 spans="1:34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 spans="1:34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 spans="1:34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 spans="1:34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 spans="1:34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 spans="1:34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 spans="1:34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 spans="1:34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 spans="1:34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 spans="1:34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 spans="1:34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 spans="1:34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 spans="1:34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 spans="1:34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 spans="1:34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 spans="1:34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 spans="1:34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 spans="1:34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 spans="1:34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 spans="1:34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 spans="1:34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 spans="1:34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 spans="1:34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 spans="1:34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r="1000" spans="1:34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</sheetData>
  <pageMargins left="0.7" right="0.7" top="0.75" bottom="0.75" header="0" footer="0"/>
  <pageSetup orientation="landscape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AY1000"/>
  <sheetViews>
    <sheetView topLeftCell="F1" zoomScale="93" zoomScaleNormal="110" workbookViewId="0">
      <selection activeCell="I8" sqref="I8"/>
    </sheetView>
  </sheetViews>
  <sheetFormatPr defaultColWidth="14.42578125" defaultRowHeight="15" customHeight="1" x14ac:dyDescent="0.25"/>
  <cols>
    <col min="1" max="1" width="52.7109375" customWidth="1"/>
    <col min="2" max="2" width="17.42578125" customWidth="1"/>
    <col min="3" max="3" width="16.28515625" customWidth="1"/>
    <col min="4" max="4" width="8.85546875" customWidth="1"/>
    <col min="5" max="5" width="48" customWidth="1"/>
    <col min="6" max="6" width="17" customWidth="1"/>
    <col min="7" max="7" width="8.85546875" customWidth="1"/>
    <col min="8" max="8" width="19.28515625" customWidth="1"/>
    <col min="9" max="9" width="47" bestFit="1" customWidth="1"/>
    <col min="10" max="10" width="17.710937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33.7109375" customWidth="1"/>
    <col min="19" max="19" width="16.42578125" customWidth="1"/>
    <col min="20" max="20" width="11.140625" customWidth="1"/>
    <col min="21" max="22" width="31.28515625" customWidth="1"/>
    <col min="23" max="23" width="23.85546875" customWidth="1"/>
    <col min="24" max="25" width="13.42578125" customWidth="1"/>
    <col min="26" max="26" width="19.42578125" customWidth="1"/>
    <col min="27" max="27" width="12.28515625" customWidth="1"/>
    <col min="28" max="28" width="20.140625" customWidth="1"/>
    <col min="29" max="29" width="19.28515625" customWidth="1"/>
    <col min="30" max="30" width="12.85546875" customWidth="1"/>
    <col min="31" max="31" width="19" customWidth="1"/>
    <col min="32" max="32" width="4.7109375" customWidth="1"/>
    <col min="33" max="33" width="20.140625" customWidth="1"/>
    <col min="34" max="34" width="19.28515625" customWidth="1"/>
    <col min="35" max="35" width="11.28515625" customWidth="1"/>
    <col min="36" max="36" width="17.85546875" customWidth="1"/>
    <col min="37" max="38" width="8.85546875" customWidth="1"/>
    <col min="39" max="39" width="17.42578125" customWidth="1"/>
    <col min="40" max="40" width="9.7109375" customWidth="1"/>
    <col min="41" max="41" width="15.42578125" customWidth="1"/>
    <col min="42" max="42" width="8.85546875" customWidth="1"/>
    <col min="43" max="44" width="12.7109375" customWidth="1"/>
    <col min="45" max="51" width="8.85546875" customWidth="1"/>
  </cols>
  <sheetData>
    <row r="1" spans="1:51" x14ac:dyDescent="0.25">
      <c r="A1" s="2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25">
      <c r="A2" s="2" t="s">
        <v>2</v>
      </c>
      <c r="B2" s="4">
        <f>X49</f>
        <v>118696.25173981604</v>
      </c>
      <c r="C2" s="2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25">
      <c r="A3" s="3"/>
      <c r="B3" s="5">
        <f>B2/J34</f>
        <v>0.26376944831070231</v>
      </c>
      <c r="C3" s="2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x14ac:dyDescent="0.25">
      <c r="A4" s="2" t="s">
        <v>5</v>
      </c>
      <c r="B4" s="3"/>
      <c r="C4" s="3"/>
      <c r="D4" s="3"/>
      <c r="E4" s="3"/>
      <c r="F4" s="3"/>
      <c r="G4" s="3"/>
      <c r="H4" s="3"/>
      <c r="I4" s="7"/>
      <c r="J4" s="8"/>
      <c r="K4" s="3"/>
      <c r="L4" s="3"/>
      <c r="M4" s="3"/>
      <c r="N4" s="2" t="s">
        <v>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2" t="s">
        <v>7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x14ac:dyDescent="0.25">
      <c r="A5" s="3" t="s">
        <v>8</v>
      </c>
      <c r="B5" s="6">
        <v>10</v>
      </c>
      <c r="C5" s="3" t="s">
        <v>9</v>
      </c>
      <c r="D5" s="3"/>
      <c r="E5" s="3"/>
      <c r="F5" s="3"/>
      <c r="G5" s="3"/>
      <c r="H5" s="3"/>
      <c r="I5" s="7"/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x14ac:dyDescent="0.25">
      <c r="A6" s="3"/>
      <c r="B6" s="6"/>
      <c r="C6" s="3"/>
      <c r="D6" s="3"/>
      <c r="E6" s="3"/>
      <c r="F6" s="3"/>
      <c r="G6" s="3"/>
      <c r="H6" s="3"/>
      <c r="I6" s="3"/>
      <c r="J6" s="8"/>
      <c r="K6" s="3"/>
      <c r="L6" s="3"/>
      <c r="M6" s="3"/>
      <c r="N6" s="3" t="s">
        <v>10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x14ac:dyDescent="0.25">
      <c r="A7" s="9" t="s">
        <v>11</v>
      </c>
      <c r="B7" s="10"/>
      <c r="C7" s="10"/>
      <c r="D7" s="10"/>
      <c r="E7" s="10"/>
      <c r="F7" s="10"/>
      <c r="G7" s="10"/>
      <c r="H7" s="11"/>
      <c r="I7" s="12" t="s">
        <v>12</v>
      </c>
      <c r="J7" s="10"/>
      <c r="K7" s="10"/>
      <c r="L7" s="11"/>
      <c r="M7" s="3"/>
      <c r="N7" s="13" t="s">
        <v>13</v>
      </c>
      <c r="O7" s="13" t="s">
        <v>14</v>
      </c>
      <c r="P7" s="13" t="s">
        <v>15</v>
      </c>
      <c r="Q7" s="13" t="s">
        <v>16</v>
      </c>
      <c r="R7" s="13" t="s">
        <v>17</v>
      </c>
      <c r="S7" s="13" t="s">
        <v>18</v>
      </c>
      <c r="T7" s="13" t="s">
        <v>19</v>
      </c>
      <c r="U7" s="13" t="s">
        <v>20</v>
      </c>
      <c r="V7" s="13" t="s">
        <v>21</v>
      </c>
      <c r="W7" s="13" t="s">
        <v>22</v>
      </c>
      <c r="X7" s="14" t="s">
        <v>23</v>
      </c>
      <c r="Y7" s="2"/>
      <c r="Z7" s="3" t="s">
        <v>24</v>
      </c>
      <c r="AA7" s="3"/>
      <c r="AB7" s="3" t="s">
        <v>25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x14ac:dyDescent="0.25">
      <c r="A8" s="15" t="s">
        <v>26</v>
      </c>
      <c r="B8" s="16">
        <v>2100</v>
      </c>
      <c r="C8" s="3" t="s">
        <v>27</v>
      </c>
      <c r="D8" s="3"/>
      <c r="E8" s="3"/>
      <c r="F8" s="3"/>
      <c r="G8" s="3"/>
      <c r="H8" s="17"/>
      <c r="I8" s="18" t="s">
        <v>185</v>
      </c>
      <c r="J8" s="6">
        <v>89419354.838709682</v>
      </c>
      <c r="K8" s="3" t="s">
        <v>29</v>
      </c>
      <c r="L8" s="17"/>
      <c r="M8" s="3"/>
      <c r="N8" s="13">
        <v>0</v>
      </c>
      <c r="O8" s="19">
        <f>F31</f>
        <v>24147.162754838708</v>
      </c>
      <c r="P8" s="13"/>
      <c r="Q8" s="13"/>
      <c r="R8" s="13"/>
      <c r="S8" s="13"/>
      <c r="T8" s="13"/>
      <c r="U8" s="13"/>
      <c r="V8" s="13"/>
      <c r="W8" s="13"/>
      <c r="X8" s="20">
        <f t="shared" ref="X8:X48" si="0">SUM(O8:W8)</f>
        <v>24147.162754838708</v>
      </c>
      <c r="Y8" s="4"/>
      <c r="Z8" s="6"/>
      <c r="AA8" s="3"/>
      <c r="AB8" s="3" t="s">
        <v>30</v>
      </c>
      <c r="AC8" s="21">
        <f>F36</f>
        <v>6.9047619047619052E-2</v>
      </c>
      <c r="AD8" s="3" t="s">
        <v>31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 x14ac:dyDescent="0.25">
      <c r="A9" s="15"/>
      <c r="B9" s="3"/>
      <c r="C9" s="3"/>
      <c r="D9" s="3"/>
      <c r="E9" s="3"/>
      <c r="F9" s="22"/>
      <c r="G9" s="3"/>
      <c r="H9" s="17"/>
      <c r="I9" s="18" t="s">
        <v>32</v>
      </c>
      <c r="J9" s="6">
        <v>7490</v>
      </c>
      <c r="K9" s="3" t="s">
        <v>33</v>
      </c>
      <c r="L9" s="17"/>
      <c r="M9" s="3"/>
      <c r="N9" s="13">
        <v>1</v>
      </c>
      <c r="O9" s="13"/>
      <c r="P9" s="23">
        <f t="shared" ref="P9:P48" si="1">IF(N9&gt;0,IF(N9&lt;=$J$21,(($F$32+$F$33)/$J$21)/((1+($F$11/100))^N9),0),0)</f>
        <v>16098.108503225809</v>
      </c>
      <c r="Q9" s="24">
        <f t="shared" ref="Q9:Q48" si="2">IF(N9&gt;0,($F$41*((1+($F$14/100))^(N9-1)))/((1+($F$11/100))^N9),0)</f>
        <v>562.24489795918373</v>
      </c>
      <c r="R9" s="24">
        <f t="shared" ref="R9:R48" si="3">IF(N9&gt;0,$F$40/((1+($F$11/100))^N9),0)</f>
        <v>0</v>
      </c>
      <c r="S9" s="24">
        <f t="shared" ref="S9:S48" si="4">IF(N9&gt;0,$J$37/((1+($F$11/100))^N9),0)</f>
        <v>2572.8766187111401</v>
      </c>
      <c r="T9" s="24">
        <f t="shared" ref="T9:T48" si="5">IF(N9&gt;0,($J$46)/((1+($F$11/100))^N9),0)</f>
        <v>1.1398701777485185</v>
      </c>
      <c r="U9" s="24">
        <f t="shared" ref="U9:U48" si="6">IF(AND(MOD(N9,$J$31)=0,N9&gt;0),$B$46/((1+($F$11/100))^N9),0)</f>
        <v>0</v>
      </c>
      <c r="V9" s="24">
        <f t="shared" ref="V9:V48" si="7">IF(N9&gt;0,$J$32/((1+($F$11/100))^N9),0)</f>
        <v>0</v>
      </c>
      <c r="W9" s="23">
        <f t="shared" ref="W9:W18" si="8">IF(N9=$B$5,((((1-$J$16/100)^N9)*$B$47+((1-$J$17/100)^N9)*$B$48)/((1+($F$11/100))^N9))*-1,0)</f>
        <v>0</v>
      </c>
      <c r="X9" s="20">
        <f t="shared" si="0"/>
        <v>19234.369890073878</v>
      </c>
      <c r="Y9" s="4"/>
      <c r="Z9" s="6">
        <f t="shared" ref="Z9:Z48" si="9">IF(N9&gt;0,((((1-$J$16/100)^N9)*$B$47+((1-$J$17/100)^N9)*$B$48)/((1+($F$11/100))^N9)),0)</f>
        <v>53869.011981566822</v>
      </c>
      <c r="AA9" s="3"/>
      <c r="AB9" s="3" t="s">
        <v>34</v>
      </c>
      <c r="AC9" s="8">
        <f>B48</f>
        <v>10206</v>
      </c>
      <c r="AD9" s="3" t="s">
        <v>3</v>
      </c>
      <c r="AE9" s="3"/>
      <c r="AF9" s="6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x14ac:dyDescent="0.25">
      <c r="A10" s="25" t="s">
        <v>35</v>
      </c>
      <c r="B10" s="3"/>
      <c r="C10" s="3"/>
      <c r="D10" s="3"/>
      <c r="E10" s="2" t="s">
        <v>36</v>
      </c>
      <c r="F10" s="3"/>
      <c r="G10" s="3"/>
      <c r="H10" s="17"/>
      <c r="I10" s="18" t="s">
        <v>37</v>
      </c>
      <c r="J10" s="6">
        <v>105</v>
      </c>
      <c r="K10" s="3" t="s">
        <v>31</v>
      </c>
      <c r="L10" s="17"/>
      <c r="M10" s="3"/>
      <c r="N10" s="13">
        <f t="shared" ref="N10:N48" si="10">IF((N9+1)&gt;$B$5,,IF(N9=0,,N9+1))</f>
        <v>2</v>
      </c>
      <c r="O10" s="13"/>
      <c r="P10" s="23">
        <f t="shared" si="1"/>
        <v>15331.531907834104</v>
      </c>
      <c r="Q10" s="24">
        <f t="shared" si="2"/>
        <v>540.82604470359581</v>
      </c>
      <c r="R10" s="24">
        <f t="shared" si="3"/>
        <v>0</v>
      </c>
      <c r="S10" s="24">
        <f t="shared" si="4"/>
        <v>2450.3586844868</v>
      </c>
      <c r="T10" s="24">
        <f t="shared" si="5"/>
        <v>1.0855906454747797</v>
      </c>
      <c r="U10" s="24">
        <f t="shared" si="6"/>
        <v>0</v>
      </c>
      <c r="V10" s="24">
        <f t="shared" si="7"/>
        <v>0</v>
      </c>
      <c r="W10" s="23">
        <f t="shared" si="8"/>
        <v>0</v>
      </c>
      <c r="X10" s="20">
        <f t="shared" si="0"/>
        <v>18323.802227669974</v>
      </c>
      <c r="Y10" s="4"/>
      <c r="Z10" s="6">
        <f t="shared" si="9"/>
        <v>47348.547212639896</v>
      </c>
      <c r="AA10" s="3"/>
      <c r="AB10" s="18" t="s">
        <v>159</v>
      </c>
      <c r="AC10" s="26">
        <f>B52</f>
        <v>80490.542516129033</v>
      </c>
      <c r="AD10" s="3" t="s">
        <v>3</v>
      </c>
      <c r="AE10" s="3"/>
      <c r="AF10" s="6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x14ac:dyDescent="0.25">
      <c r="A11" s="27" t="s">
        <v>141</v>
      </c>
      <c r="B11" s="1">
        <v>20</v>
      </c>
      <c r="C11" s="3" t="s">
        <v>38</v>
      </c>
      <c r="D11" s="3"/>
      <c r="E11" s="18" t="s">
        <v>39</v>
      </c>
      <c r="F11" s="3">
        <v>5</v>
      </c>
      <c r="G11" s="3" t="s">
        <v>38</v>
      </c>
      <c r="H11" s="17"/>
      <c r="I11" s="18" t="s">
        <v>40</v>
      </c>
      <c r="J11" s="6">
        <v>81</v>
      </c>
      <c r="K11" s="3" t="s">
        <v>41</v>
      </c>
      <c r="L11" s="17"/>
      <c r="M11" s="3"/>
      <c r="N11" s="13">
        <f t="shared" si="10"/>
        <v>3</v>
      </c>
      <c r="O11" s="13"/>
      <c r="P11" s="23">
        <f t="shared" si="1"/>
        <v>14601.458959842003</v>
      </c>
      <c r="Q11" s="24">
        <f t="shared" si="2"/>
        <v>520.2231477625063</v>
      </c>
      <c r="R11" s="24">
        <f t="shared" si="3"/>
        <v>0</v>
      </c>
      <c r="S11" s="24">
        <f t="shared" si="4"/>
        <v>2333.6749376064763</v>
      </c>
      <c r="T11" s="24">
        <f t="shared" si="5"/>
        <v>1.0338958528331235</v>
      </c>
      <c r="U11" s="24">
        <f t="shared" si="6"/>
        <v>0</v>
      </c>
      <c r="V11" s="24">
        <f t="shared" si="7"/>
        <v>0</v>
      </c>
      <c r="W11" s="23">
        <f t="shared" si="8"/>
        <v>0</v>
      </c>
      <c r="X11" s="20">
        <f t="shared" si="0"/>
        <v>17456.390941063819</v>
      </c>
      <c r="Y11" s="4"/>
      <c r="Z11" s="6">
        <f t="shared" si="9"/>
        <v>41627.459830461892</v>
      </c>
      <c r="AA11" s="3"/>
      <c r="AB11" s="3" t="s">
        <v>42</v>
      </c>
      <c r="AC11" s="6">
        <f>F12</f>
        <v>45000</v>
      </c>
      <c r="AD11" s="3" t="s">
        <v>43</v>
      </c>
      <c r="AE11" s="3"/>
      <c r="AF11" s="6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1" x14ac:dyDescent="0.25">
      <c r="A12" s="3" t="s">
        <v>44</v>
      </c>
      <c r="B12" s="3">
        <v>0</v>
      </c>
      <c r="C12" s="3" t="s">
        <v>38</v>
      </c>
      <c r="D12" s="3"/>
      <c r="E12" s="18" t="s">
        <v>45</v>
      </c>
      <c r="F12" s="6">
        <v>45000</v>
      </c>
      <c r="G12" s="3" t="s">
        <v>43</v>
      </c>
      <c r="H12" s="17"/>
      <c r="I12" s="18" t="s">
        <v>46</v>
      </c>
      <c r="J12" s="6">
        <v>900</v>
      </c>
      <c r="K12" s="3" t="s">
        <v>47</v>
      </c>
      <c r="L12" s="17"/>
      <c r="M12" s="3"/>
      <c r="N12" s="13">
        <f t="shared" si="10"/>
        <v>4</v>
      </c>
      <c r="O12" s="13"/>
      <c r="P12" s="23">
        <f t="shared" si="1"/>
        <v>13906.151390325718</v>
      </c>
      <c r="Q12" s="24">
        <f t="shared" si="2"/>
        <v>500.40512308583942</v>
      </c>
      <c r="R12" s="24">
        <f t="shared" si="3"/>
        <v>0</v>
      </c>
      <c r="S12" s="24">
        <f t="shared" si="4"/>
        <v>2222.5475596252154</v>
      </c>
      <c r="T12" s="24">
        <f t="shared" si="5"/>
        <v>0.98466271698392716</v>
      </c>
      <c r="U12" s="24">
        <f t="shared" si="6"/>
        <v>6997.0845481049564</v>
      </c>
      <c r="V12" s="24">
        <f t="shared" si="7"/>
        <v>0</v>
      </c>
      <c r="W12" s="23">
        <f t="shared" si="8"/>
        <v>0</v>
      </c>
      <c r="X12" s="20">
        <f t="shared" si="0"/>
        <v>23627.173283858712</v>
      </c>
      <c r="Y12" s="4"/>
      <c r="Z12" s="6">
        <f t="shared" si="9"/>
        <v>36606.284179109716</v>
      </c>
      <c r="AA12" s="3"/>
      <c r="AB12" s="18" t="s">
        <v>48</v>
      </c>
      <c r="AC12" s="26">
        <f>J41</f>
        <v>2700</v>
      </c>
      <c r="AD12" s="3" t="s">
        <v>49</v>
      </c>
      <c r="AE12" s="3"/>
      <c r="AF12" s="6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spans="1:51" x14ac:dyDescent="0.25">
      <c r="A13" s="3" t="s">
        <v>50</v>
      </c>
      <c r="B13" s="3">
        <v>5</v>
      </c>
      <c r="C13" s="3" t="s">
        <v>38</v>
      </c>
      <c r="D13" s="3"/>
      <c r="E13" s="18" t="s">
        <v>30</v>
      </c>
      <c r="F13" s="28">
        <v>145</v>
      </c>
      <c r="G13" s="3" t="s">
        <v>51</v>
      </c>
      <c r="H13" s="17"/>
      <c r="I13" s="18" t="s">
        <v>52</v>
      </c>
      <c r="J13" s="6">
        <v>200</v>
      </c>
      <c r="K13" s="3" t="s">
        <v>53</v>
      </c>
      <c r="L13" s="17"/>
      <c r="M13" s="3"/>
      <c r="N13" s="13">
        <f t="shared" si="10"/>
        <v>5</v>
      </c>
      <c r="O13" s="13"/>
      <c r="P13" s="23">
        <f t="shared" si="1"/>
        <v>13243.95370507211</v>
      </c>
      <c r="Q13" s="24">
        <f t="shared" si="2"/>
        <v>481.34207077780752</v>
      </c>
      <c r="R13" s="24">
        <f t="shared" si="3"/>
        <v>0</v>
      </c>
      <c r="S13" s="24">
        <f t="shared" si="4"/>
        <v>2116.7119615478241</v>
      </c>
      <c r="T13" s="24">
        <f t="shared" si="5"/>
        <v>0.93777401617516853</v>
      </c>
      <c r="U13" s="24">
        <f t="shared" si="6"/>
        <v>0</v>
      </c>
      <c r="V13" s="24">
        <f t="shared" si="7"/>
        <v>0</v>
      </c>
      <c r="W13" s="23">
        <f t="shared" si="8"/>
        <v>0</v>
      </c>
      <c r="X13" s="20">
        <f t="shared" si="0"/>
        <v>15842.945511413916</v>
      </c>
      <c r="Y13" s="4"/>
      <c r="Z13" s="6">
        <f t="shared" si="9"/>
        <v>32198.140623396077</v>
      </c>
      <c r="AA13" s="3"/>
      <c r="AB13" s="3" t="s">
        <v>158</v>
      </c>
      <c r="AC13" s="6">
        <f>J26</f>
        <v>100</v>
      </c>
      <c r="AD13" s="3" t="s">
        <v>148</v>
      </c>
      <c r="AE13" s="3"/>
      <c r="AF13" s="6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spans="1:51" x14ac:dyDescent="0.25">
      <c r="A14" s="3" t="s">
        <v>54</v>
      </c>
      <c r="B14" s="3">
        <v>0</v>
      </c>
      <c r="C14" s="3" t="s">
        <v>38</v>
      </c>
      <c r="D14" s="3"/>
      <c r="E14" s="18" t="s">
        <v>55</v>
      </c>
      <c r="F14" s="3">
        <v>1</v>
      </c>
      <c r="G14" s="3" t="s">
        <v>56</v>
      </c>
      <c r="H14" s="17"/>
      <c r="I14" s="18" t="s">
        <v>57</v>
      </c>
      <c r="J14" s="29">
        <v>30</v>
      </c>
      <c r="K14" s="3" t="s">
        <v>58</v>
      </c>
      <c r="L14" s="17"/>
      <c r="M14" s="3"/>
      <c r="N14" s="13">
        <f t="shared" si="10"/>
        <v>6</v>
      </c>
      <c r="O14" s="13"/>
      <c r="P14" s="23">
        <f t="shared" si="1"/>
        <v>0</v>
      </c>
      <c r="Q14" s="24">
        <f t="shared" si="2"/>
        <v>463.00522998627196</v>
      </c>
      <c r="R14" s="24">
        <f t="shared" si="3"/>
        <v>0</v>
      </c>
      <c r="S14" s="24">
        <f t="shared" si="4"/>
        <v>2015.9161538550709</v>
      </c>
      <c r="T14" s="24">
        <f t="shared" si="5"/>
        <v>0.89311811064301783</v>
      </c>
      <c r="U14" s="24">
        <f t="shared" si="6"/>
        <v>0</v>
      </c>
      <c r="V14" s="24">
        <f t="shared" si="7"/>
        <v>0</v>
      </c>
      <c r="W14" s="23">
        <f t="shared" si="8"/>
        <v>0</v>
      </c>
      <c r="X14" s="20">
        <f t="shared" si="0"/>
        <v>2479.8145019519861</v>
      </c>
      <c r="Y14" s="4"/>
      <c r="Z14" s="6">
        <f t="shared" si="9"/>
        <v>28327.113426279077</v>
      </c>
      <c r="AA14" s="3"/>
      <c r="AB14" s="3" t="s">
        <v>184</v>
      </c>
      <c r="AC14" s="28">
        <f>J18</f>
        <v>0.19</v>
      </c>
      <c r="AD14" s="3" t="s">
        <v>72</v>
      </c>
      <c r="AE14" s="3"/>
      <c r="AF14" s="6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 spans="1:51" x14ac:dyDescent="0.25">
      <c r="A15" s="3" t="s">
        <v>59</v>
      </c>
      <c r="B15" s="3">
        <v>25</v>
      </c>
      <c r="C15" s="3" t="s">
        <v>38</v>
      </c>
      <c r="D15" s="3"/>
      <c r="E15" s="18" t="s">
        <v>60</v>
      </c>
      <c r="F15" s="3">
        <v>0</v>
      </c>
      <c r="G15" s="3" t="s">
        <v>61</v>
      </c>
      <c r="H15" s="17"/>
      <c r="I15" s="18" t="s">
        <v>62</v>
      </c>
      <c r="J15" s="8">
        <v>20</v>
      </c>
      <c r="K15" s="3" t="s">
        <v>38</v>
      </c>
      <c r="L15" s="17"/>
      <c r="M15" s="3"/>
      <c r="N15" s="13">
        <f t="shared" si="10"/>
        <v>7</v>
      </c>
      <c r="O15" s="13"/>
      <c r="P15" s="23">
        <f t="shared" si="1"/>
        <v>0</v>
      </c>
      <c r="Q15" s="24">
        <f t="shared" si="2"/>
        <v>445.36693551060449</v>
      </c>
      <c r="R15" s="24">
        <f t="shared" si="3"/>
        <v>0</v>
      </c>
      <c r="S15" s="24">
        <f t="shared" si="4"/>
        <v>1919.9201465286385</v>
      </c>
      <c r="T15" s="24">
        <f t="shared" si="5"/>
        <v>0.85058867680287398</v>
      </c>
      <c r="U15" s="24">
        <f t="shared" si="6"/>
        <v>0</v>
      </c>
      <c r="V15" s="24">
        <f t="shared" si="7"/>
        <v>0</v>
      </c>
      <c r="W15" s="23">
        <f t="shared" si="8"/>
        <v>0</v>
      </c>
      <c r="X15" s="20">
        <f t="shared" si="0"/>
        <v>2366.1376707160462</v>
      </c>
      <c r="Y15" s="4"/>
      <c r="Z15" s="6">
        <f t="shared" si="9"/>
        <v>24926.841781841409</v>
      </c>
      <c r="AA15" s="3"/>
      <c r="AB15" s="3"/>
      <c r="AC15" s="3"/>
      <c r="AD15" s="3"/>
      <c r="AE15" s="3"/>
      <c r="AF15" s="6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1" x14ac:dyDescent="0.25">
      <c r="A16" s="27" t="s">
        <v>63</v>
      </c>
      <c r="B16" s="3">
        <v>0.3</v>
      </c>
      <c r="C16" s="3" t="s">
        <v>38</v>
      </c>
      <c r="D16" s="3"/>
      <c r="E16" s="18" t="s">
        <v>167</v>
      </c>
      <c r="F16" s="3">
        <v>5.2</v>
      </c>
      <c r="G16" s="3" t="s">
        <v>56</v>
      </c>
      <c r="H16" s="17"/>
      <c r="I16" s="18" t="s">
        <v>64</v>
      </c>
      <c r="J16" s="3">
        <v>7.08</v>
      </c>
      <c r="K16" s="3" t="s">
        <v>65</v>
      </c>
      <c r="L16" s="17"/>
      <c r="M16" s="3"/>
      <c r="N16" s="13">
        <f t="shared" si="10"/>
        <v>8</v>
      </c>
      <c r="O16" s="13"/>
      <c r="P16" s="23">
        <f t="shared" si="1"/>
        <v>0</v>
      </c>
      <c r="Q16" s="24">
        <f t="shared" si="2"/>
        <v>428.40057606258131</v>
      </c>
      <c r="R16" s="24">
        <f t="shared" si="3"/>
        <v>0</v>
      </c>
      <c r="S16" s="24">
        <f t="shared" si="4"/>
        <v>1828.4953776463226</v>
      </c>
      <c r="T16" s="24">
        <f t="shared" si="5"/>
        <v>0.81008445409797525</v>
      </c>
      <c r="U16" s="24">
        <f t="shared" si="6"/>
        <v>5756.5187740539841</v>
      </c>
      <c r="V16" s="24">
        <f t="shared" si="7"/>
        <v>0</v>
      </c>
      <c r="W16" s="23">
        <f t="shared" si="8"/>
        <v>0</v>
      </c>
      <c r="X16" s="20">
        <f t="shared" si="0"/>
        <v>8014.2248122169858</v>
      </c>
      <c r="Y16" s="4"/>
      <c r="Z16" s="6">
        <f t="shared" si="9"/>
        <v>21939.295437487996</v>
      </c>
      <c r="AA16" s="3"/>
      <c r="AB16" s="3"/>
      <c r="AC16" s="3"/>
      <c r="AD16" s="3"/>
      <c r="AE16" s="3"/>
      <c r="AF16" s="6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spans="1:51" x14ac:dyDescent="0.25">
      <c r="A17" s="27" t="s">
        <v>168</v>
      </c>
      <c r="B17" s="3">
        <v>1</v>
      </c>
      <c r="C17" s="3" t="s">
        <v>38</v>
      </c>
      <c r="D17" s="3"/>
      <c r="E17" s="18" t="s">
        <v>66</v>
      </c>
      <c r="F17" s="16">
        <v>4.0999999999999996</v>
      </c>
      <c r="G17" s="3" t="s">
        <v>67</v>
      </c>
      <c r="H17" s="17"/>
      <c r="I17" s="18" t="s">
        <v>68</v>
      </c>
      <c r="J17" s="3">
        <v>11</v>
      </c>
      <c r="K17" s="3" t="s">
        <v>65</v>
      </c>
      <c r="L17" s="17"/>
      <c r="M17" s="3"/>
      <c r="N17" s="13">
        <f t="shared" si="10"/>
        <v>9</v>
      </c>
      <c r="O17" s="13"/>
      <c r="P17" s="23">
        <f t="shared" si="1"/>
        <v>0</v>
      </c>
      <c r="Q17" s="24">
        <f t="shared" si="2"/>
        <v>412.08055411734023</v>
      </c>
      <c r="R17" s="24">
        <f t="shared" si="3"/>
        <v>0</v>
      </c>
      <c r="S17" s="24">
        <f t="shared" si="4"/>
        <v>1741.4241691869738</v>
      </c>
      <c r="T17" s="24">
        <f t="shared" si="5"/>
        <v>0.77150900390283361</v>
      </c>
      <c r="U17" s="24">
        <f t="shared" si="6"/>
        <v>0</v>
      </c>
      <c r="V17" s="24">
        <f t="shared" si="7"/>
        <v>0</v>
      </c>
      <c r="W17" s="23">
        <f t="shared" si="8"/>
        <v>0</v>
      </c>
      <c r="X17" s="20">
        <f t="shared" si="0"/>
        <v>2154.276232308217</v>
      </c>
      <c r="Y17" s="4"/>
      <c r="Z17" s="6">
        <f t="shared" si="9"/>
        <v>19313.710241624129</v>
      </c>
      <c r="AA17" s="3"/>
      <c r="AB17" s="3"/>
      <c r="AC17" s="3"/>
      <c r="AD17" s="3"/>
      <c r="AE17" s="3"/>
      <c r="AF17" s="6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</row>
    <row r="18" spans="1:51" x14ac:dyDescent="0.25">
      <c r="A18" s="18" t="s">
        <v>69</v>
      </c>
      <c r="B18" s="3">
        <v>0.3</v>
      </c>
      <c r="C18" s="3" t="s">
        <v>38</v>
      </c>
      <c r="D18" s="3"/>
      <c r="E18" s="18" t="s">
        <v>70</v>
      </c>
      <c r="F18" s="3">
        <v>0</v>
      </c>
      <c r="G18" s="3" t="s">
        <v>38</v>
      </c>
      <c r="H18" s="17"/>
      <c r="I18" s="18" t="s">
        <v>71</v>
      </c>
      <c r="J18" s="28">
        <v>0.19</v>
      </c>
      <c r="K18" s="3" t="s">
        <v>72</v>
      </c>
      <c r="L18" s="17"/>
      <c r="M18" s="3"/>
      <c r="N18" s="13">
        <f t="shared" si="10"/>
        <v>10</v>
      </c>
      <c r="O18" s="13"/>
      <c r="P18" s="23">
        <f t="shared" si="1"/>
        <v>0</v>
      </c>
      <c r="Q18" s="24">
        <f t="shared" si="2"/>
        <v>396.38224729382256</v>
      </c>
      <c r="R18" s="24">
        <f t="shared" si="3"/>
        <v>0</v>
      </c>
      <c r="S18" s="24">
        <f t="shared" si="4"/>
        <v>1658.4992087494988</v>
      </c>
      <c r="T18" s="24">
        <f t="shared" si="5"/>
        <v>0.73477047990746058</v>
      </c>
      <c r="U18" s="24">
        <f t="shared" si="6"/>
        <v>0</v>
      </c>
      <c r="V18" s="24">
        <f t="shared" si="7"/>
        <v>0</v>
      </c>
      <c r="W18" s="23">
        <f t="shared" si="8"/>
        <v>-17005.662312819433</v>
      </c>
      <c r="X18" s="20">
        <f t="shared" si="0"/>
        <v>-14950.046086296205</v>
      </c>
      <c r="Y18" s="4"/>
      <c r="Z18" s="6">
        <f t="shared" si="9"/>
        <v>17005.662312819433</v>
      </c>
      <c r="AA18" s="3"/>
      <c r="AB18" s="3"/>
      <c r="AC18" s="3"/>
      <c r="AD18" s="3"/>
      <c r="AE18" s="3"/>
      <c r="AF18" s="6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</row>
    <row r="19" spans="1:51" x14ac:dyDescent="0.25">
      <c r="A19" s="27"/>
      <c r="B19" s="3"/>
      <c r="C19" s="3"/>
      <c r="D19" s="3"/>
      <c r="E19" s="18" t="s">
        <v>73</v>
      </c>
      <c r="F19" s="6">
        <v>0</v>
      </c>
      <c r="G19" s="3" t="s">
        <v>61</v>
      </c>
      <c r="H19" s="17"/>
      <c r="I19" s="3"/>
      <c r="J19" s="3"/>
      <c r="K19" s="3"/>
      <c r="L19" s="17"/>
      <c r="M19" s="3"/>
      <c r="N19" s="13">
        <f t="shared" si="10"/>
        <v>0</v>
      </c>
      <c r="O19" s="13"/>
      <c r="P19" s="23">
        <f t="shared" si="1"/>
        <v>0</v>
      </c>
      <c r="Q19" s="24">
        <f t="shared" si="2"/>
        <v>0</v>
      </c>
      <c r="R19" s="24">
        <f t="shared" si="3"/>
        <v>0</v>
      </c>
      <c r="S19" s="24">
        <f t="shared" si="4"/>
        <v>0</v>
      </c>
      <c r="T19" s="24">
        <f t="shared" si="5"/>
        <v>0</v>
      </c>
      <c r="U19" s="24">
        <f t="shared" si="6"/>
        <v>0</v>
      </c>
      <c r="V19" s="24">
        <f t="shared" si="7"/>
        <v>0</v>
      </c>
      <c r="W19" s="23">
        <f t="shared" ref="W19:W48" si="11">IF(N19=$B$5,((((1-$J$16/100)^N19)*$B$52+((1-$J$17/100)^N19)*$B$48)/((1+($F$11/100))^N19))*-1,0)</f>
        <v>0</v>
      </c>
      <c r="X19" s="20">
        <f t="shared" si="0"/>
        <v>0</v>
      </c>
      <c r="Y19" s="4"/>
      <c r="Z19" s="6">
        <f t="shared" si="9"/>
        <v>0</v>
      </c>
      <c r="AA19" s="3"/>
      <c r="AB19" s="3"/>
      <c r="AC19" s="3"/>
      <c r="AD19" s="3"/>
      <c r="AE19" s="3"/>
      <c r="AF19" s="6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</row>
    <row r="20" spans="1:51" x14ac:dyDescent="0.25">
      <c r="A20" s="27"/>
      <c r="B20" s="3"/>
      <c r="C20" s="3"/>
      <c r="D20" s="3"/>
      <c r="E20" s="18" t="s">
        <v>74</v>
      </c>
      <c r="F20" s="6">
        <v>0</v>
      </c>
      <c r="G20" s="3" t="s">
        <v>75</v>
      </c>
      <c r="H20" s="17"/>
      <c r="I20" s="2" t="s">
        <v>78</v>
      </c>
      <c r="J20" s="3"/>
      <c r="K20" s="3"/>
      <c r="L20" s="17"/>
      <c r="M20" s="3"/>
      <c r="N20" s="13">
        <f t="shared" si="10"/>
        <v>0</v>
      </c>
      <c r="O20" s="13"/>
      <c r="P20" s="23">
        <f t="shared" si="1"/>
        <v>0</v>
      </c>
      <c r="Q20" s="24">
        <f t="shared" si="2"/>
        <v>0</v>
      </c>
      <c r="R20" s="24">
        <f t="shared" si="3"/>
        <v>0</v>
      </c>
      <c r="S20" s="24">
        <f t="shared" si="4"/>
        <v>0</v>
      </c>
      <c r="T20" s="24">
        <f t="shared" si="5"/>
        <v>0</v>
      </c>
      <c r="U20" s="24">
        <f t="shared" si="6"/>
        <v>0</v>
      </c>
      <c r="V20" s="24">
        <f t="shared" si="7"/>
        <v>0</v>
      </c>
      <c r="W20" s="23">
        <f t="shared" si="11"/>
        <v>0</v>
      </c>
      <c r="X20" s="20">
        <f t="shared" si="0"/>
        <v>0</v>
      </c>
      <c r="Y20" s="4"/>
      <c r="Z20" s="6">
        <f t="shared" si="9"/>
        <v>0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</row>
    <row r="21" spans="1:51" ht="15.75" customHeight="1" x14ac:dyDescent="0.25">
      <c r="A21" s="27"/>
      <c r="B21" s="3"/>
      <c r="C21" s="3"/>
      <c r="D21" s="3"/>
      <c r="E21" s="18" t="s">
        <v>48</v>
      </c>
      <c r="F21" s="7">
        <v>126</v>
      </c>
      <c r="G21" s="3" t="s">
        <v>76</v>
      </c>
      <c r="H21" s="17"/>
      <c r="I21" s="18" t="s">
        <v>83</v>
      </c>
      <c r="J21" s="3">
        <v>5</v>
      </c>
      <c r="K21" s="3" t="s">
        <v>58</v>
      </c>
      <c r="L21" s="17"/>
      <c r="M21" s="3"/>
      <c r="N21" s="13">
        <f t="shared" si="10"/>
        <v>0</v>
      </c>
      <c r="O21" s="13"/>
      <c r="P21" s="23">
        <f t="shared" si="1"/>
        <v>0</v>
      </c>
      <c r="Q21" s="24">
        <f t="shared" si="2"/>
        <v>0</v>
      </c>
      <c r="R21" s="24">
        <f t="shared" si="3"/>
        <v>0</v>
      </c>
      <c r="S21" s="24">
        <f t="shared" si="4"/>
        <v>0</v>
      </c>
      <c r="T21" s="24">
        <f t="shared" si="5"/>
        <v>0</v>
      </c>
      <c r="U21" s="24">
        <f t="shared" si="6"/>
        <v>0</v>
      </c>
      <c r="V21" s="24">
        <f t="shared" si="7"/>
        <v>0</v>
      </c>
      <c r="W21" s="23">
        <f t="shared" si="11"/>
        <v>0</v>
      </c>
      <c r="X21" s="20">
        <f t="shared" si="0"/>
        <v>0</v>
      </c>
      <c r="Y21" s="4"/>
      <c r="Z21" s="6">
        <f t="shared" si="9"/>
        <v>0</v>
      </c>
      <c r="AA21" s="3"/>
      <c r="AB21" s="30" t="s">
        <v>30</v>
      </c>
      <c r="AC21" s="31"/>
      <c r="AD21" s="31"/>
      <c r="AE21" s="31"/>
      <c r="AF21" s="3"/>
      <c r="AG21" s="30" t="s">
        <v>28</v>
      </c>
      <c r="AH21" s="31"/>
      <c r="AI21" s="31"/>
      <c r="AJ21" s="31"/>
      <c r="AK21" s="3"/>
      <c r="AL21" s="89" t="s">
        <v>172</v>
      </c>
      <c r="AM21" s="89" t="s">
        <v>174</v>
      </c>
      <c r="AN21" s="89" t="s">
        <v>175</v>
      </c>
      <c r="AO21" s="89" t="s">
        <v>34</v>
      </c>
      <c r="AP21" s="89" t="s">
        <v>176</v>
      </c>
      <c r="AQ21" s="89" t="s">
        <v>177</v>
      </c>
      <c r="AR21" s="94" t="str">
        <f>AB66</f>
        <v>Energy Efficiency</v>
      </c>
      <c r="AS21" s="3"/>
      <c r="AT21" s="3"/>
      <c r="AU21" s="3"/>
      <c r="AV21" s="3"/>
      <c r="AW21" s="3"/>
      <c r="AX21" s="3"/>
      <c r="AY21" s="3"/>
    </row>
    <row r="22" spans="1:51" ht="15.75" customHeight="1" x14ac:dyDescent="0.25">
      <c r="A22" s="27"/>
      <c r="B22" s="3"/>
      <c r="C22" s="3"/>
      <c r="D22" s="3"/>
      <c r="E22" s="18" t="s">
        <v>77</v>
      </c>
      <c r="F22" s="3">
        <v>10</v>
      </c>
      <c r="G22" s="3" t="s">
        <v>65</v>
      </c>
      <c r="H22" s="17"/>
      <c r="I22" s="18" t="s">
        <v>85</v>
      </c>
      <c r="J22" s="3">
        <v>30</v>
      </c>
      <c r="K22" s="3" t="s">
        <v>86</v>
      </c>
      <c r="L22" s="17"/>
      <c r="M22" s="3"/>
      <c r="N22" s="13">
        <f t="shared" si="10"/>
        <v>0</v>
      </c>
      <c r="O22" s="13"/>
      <c r="P22" s="23">
        <f t="shared" si="1"/>
        <v>0</v>
      </c>
      <c r="Q22" s="24">
        <f t="shared" si="2"/>
        <v>0</v>
      </c>
      <c r="R22" s="24">
        <f t="shared" si="3"/>
        <v>0</v>
      </c>
      <c r="S22" s="24">
        <f t="shared" si="4"/>
        <v>0</v>
      </c>
      <c r="T22" s="24">
        <f t="shared" si="5"/>
        <v>0</v>
      </c>
      <c r="U22" s="24">
        <f t="shared" si="6"/>
        <v>0</v>
      </c>
      <c r="V22" s="24">
        <f t="shared" si="7"/>
        <v>0</v>
      </c>
      <c r="W22" s="23">
        <f t="shared" si="11"/>
        <v>0</v>
      </c>
      <c r="X22" s="20">
        <f t="shared" si="0"/>
        <v>0</v>
      </c>
      <c r="Y22" s="4"/>
      <c r="Z22" s="6">
        <f t="shared" si="9"/>
        <v>0</v>
      </c>
      <c r="AA22" s="3"/>
      <c r="AB22" s="31" t="s">
        <v>79</v>
      </c>
      <c r="AC22" s="31" t="s">
        <v>80</v>
      </c>
      <c r="AD22" s="31" t="s">
        <v>23</v>
      </c>
      <c r="AE22" s="31" t="s">
        <v>81</v>
      </c>
      <c r="AF22" s="3"/>
      <c r="AG22" s="31" t="s">
        <v>79</v>
      </c>
      <c r="AH22" s="31" t="s">
        <v>82</v>
      </c>
      <c r="AI22" s="31" t="s">
        <v>23</v>
      </c>
      <c r="AJ22" s="31" t="s">
        <v>81</v>
      </c>
      <c r="AK22" s="3"/>
      <c r="AL22" s="90">
        <v>-50</v>
      </c>
      <c r="AM22" s="91">
        <f>AJ24</f>
        <v>-40.998921951842114</v>
      </c>
      <c r="AN22" s="91">
        <f>AE24</f>
        <v>-2.0010222553919843</v>
      </c>
      <c r="AO22" s="92">
        <f t="shared" ref="AO22:AO32" si="12">AE39</f>
        <v>-6.0041887494332551</v>
      </c>
      <c r="AP22" s="92">
        <f t="shared" ref="AP22:AP32" si="13">AJ39</f>
        <v>-16.678340576018023</v>
      </c>
      <c r="AQ22" s="92">
        <f>AE54</f>
        <v>-8.782368441802026</v>
      </c>
      <c r="AR22" s="58">
        <f>AE69</f>
        <v>2.0010222553919355</v>
      </c>
      <c r="AS22" s="3"/>
      <c r="AT22" s="3"/>
      <c r="AU22" s="3"/>
      <c r="AV22" s="3"/>
      <c r="AW22" s="3"/>
      <c r="AX22" s="3"/>
      <c r="AY22" s="3"/>
    </row>
    <row r="23" spans="1:51" ht="15.75" customHeight="1" x14ac:dyDescent="0.25">
      <c r="A23" s="18"/>
      <c r="B23" s="3"/>
      <c r="C23" s="3"/>
      <c r="D23" s="3"/>
      <c r="E23" s="18"/>
      <c r="F23" s="8"/>
      <c r="G23" s="3"/>
      <c r="H23" s="17"/>
      <c r="I23" s="63" t="s">
        <v>143</v>
      </c>
      <c r="J23" s="64"/>
      <c r="K23" s="64"/>
      <c r="L23" s="65"/>
      <c r="M23" s="3"/>
      <c r="N23" s="13">
        <f t="shared" si="10"/>
        <v>0</v>
      </c>
      <c r="O23" s="13"/>
      <c r="P23" s="23">
        <f t="shared" si="1"/>
        <v>0</v>
      </c>
      <c r="Q23" s="24">
        <f t="shared" si="2"/>
        <v>0</v>
      </c>
      <c r="R23" s="24">
        <f t="shared" si="3"/>
        <v>0</v>
      </c>
      <c r="S23" s="24">
        <f t="shared" si="4"/>
        <v>0</v>
      </c>
      <c r="T23" s="24">
        <f t="shared" si="5"/>
        <v>0</v>
      </c>
      <c r="U23" s="24">
        <f t="shared" si="6"/>
        <v>0</v>
      </c>
      <c r="V23" s="24">
        <f t="shared" si="7"/>
        <v>0</v>
      </c>
      <c r="W23" s="23">
        <f t="shared" si="11"/>
        <v>0</v>
      </c>
      <c r="X23" s="20">
        <f t="shared" si="0"/>
        <v>0</v>
      </c>
      <c r="Y23" s="4"/>
      <c r="Z23" s="6">
        <f t="shared" si="9"/>
        <v>0</v>
      </c>
      <c r="AA23" s="3"/>
      <c r="AB23" s="31" t="s">
        <v>84</v>
      </c>
      <c r="AC23" s="33">
        <v>6.9047619047619052E-2</v>
      </c>
      <c r="AD23" s="34">
        <f>X49</f>
        <v>118696.25173981604</v>
      </c>
      <c r="AE23" s="31"/>
      <c r="AF23" s="3"/>
      <c r="AG23" s="31" t="s">
        <v>84</v>
      </c>
      <c r="AH23" s="35">
        <v>80490.542516129033</v>
      </c>
      <c r="AI23" s="34">
        <f>X49</f>
        <v>118696.25173981604</v>
      </c>
      <c r="AJ23" s="31"/>
      <c r="AK23" s="3"/>
      <c r="AL23" s="90">
        <v>-40</v>
      </c>
      <c r="AM23" s="91">
        <f>AJ25</f>
        <v>-32.7991375614737</v>
      </c>
      <c r="AN23" s="91">
        <f t="shared" ref="AN23:AN32" si="14">AE25</f>
        <v>-1.6008178043135728</v>
      </c>
      <c r="AO23" s="92">
        <f t="shared" si="12"/>
        <v>-4.8033509995465842</v>
      </c>
      <c r="AP23" s="92">
        <f t="shared" si="13"/>
        <v>-14.024558976535747</v>
      </c>
      <c r="AQ23" s="92">
        <f t="shared" ref="AQ23:AQ32" si="15">AE55</f>
        <v>-7.0258947534416212</v>
      </c>
      <c r="AR23" s="58">
        <f t="shared" ref="AR23:AR32" si="16">AE70</f>
        <v>1.6008178043135608</v>
      </c>
      <c r="AS23" s="7"/>
      <c r="AT23" s="7"/>
      <c r="AU23" s="7"/>
      <c r="AV23" s="7"/>
      <c r="AW23" s="7"/>
      <c r="AX23" s="7"/>
      <c r="AY23" s="7"/>
    </row>
    <row r="24" spans="1:51" ht="15.75" customHeight="1" x14ac:dyDescent="0.25">
      <c r="A24" s="27"/>
      <c r="B24" s="3"/>
      <c r="C24" s="3"/>
      <c r="D24" s="3"/>
      <c r="E24" s="3"/>
      <c r="F24" s="3"/>
      <c r="G24" s="3"/>
      <c r="H24" s="17"/>
      <c r="I24" s="64" t="s">
        <v>144</v>
      </c>
      <c r="J24" s="66" t="s">
        <v>142</v>
      </c>
      <c r="K24" s="64"/>
      <c r="L24" s="65"/>
      <c r="M24" s="3"/>
      <c r="N24" s="13">
        <f t="shared" si="10"/>
        <v>0</v>
      </c>
      <c r="O24" s="13"/>
      <c r="P24" s="23">
        <f t="shared" si="1"/>
        <v>0</v>
      </c>
      <c r="Q24" s="24">
        <f t="shared" si="2"/>
        <v>0</v>
      </c>
      <c r="R24" s="24">
        <f t="shared" si="3"/>
        <v>0</v>
      </c>
      <c r="S24" s="24">
        <f t="shared" si="4"/>
        <v>0</v>
      </c>
      <c r="T24" s="24">
        <f t="shared" si="5"/>
        <v>0</v>
      </c>
      <c r="U24" s="24">
        <f t="shared" si="6"/>
        <v>0</v>
      </c>
      <c r="V24" s="24">
        <f t="shared" si="7"/>
        <v>0</v>
      </c>
      <c r="W24" s="23">
        <f t="shared" si="11"/>
        <v>0</v>
      </c>
      <c r="X24" s="20">
        <f t="shared" si="0"/>
        <v>0</v>
      </c>
      <c r="Y24" s="4"/>
      <c r="Z24" s="6">
        <f t="shared" si="9"/>
        <v>0</v>
      </c>
      <c r="AA24" s="3"/>
      <c r="AB24" s="31">
        <f t="shared" ref="AB24:AB28" si="17">AB25-10</f>
        <v>-50</v>
      </c>
      <c r="AC24" s="33">
        <f t="shared" ref="AC24:AC34" si="18">$AC$23*(1+(AB24/100))</f>
        <v>3.4523809523809526E-2</v>
      </c>
      <c r="AD24" s="34">
        <f t="dataTable" ref="AD24:AD34" dt2D="0" dtr="0" r1="F36"/>
        <v>116321.11332618623</v>
      </c>
      <c r="AE24" s="38">
        <f t="shared" ref="AE24:AE34" si="19">100*((AD24-$AD$29)/$AD$29)</f>
        <v>-2.0010222553919843</v>
      </c>
      <c r="AF24" s="3"/>
      <c r="AG24" s="31">
        <f t="shared" ref="AG24:AG28" si="20">AG25-10</f>
        <v>-50</v>
      </c>
      <c r="AH24" s="35">
        <f t="shared" ref="AH24:AH34" si="21">$AH$23*(1+(AG24/100))</f>
        <v>40245.271258064517</v>
      </c>
      <c r="AI24" s="34">
        <f t="dataTable" ref="AI24:AI34" dt2D="0" dtr="0" r1="B52" ca="1"/>
        <v>70032.068129246822</v>
      </c>
      <c r="AJ24" s="38">
        <f t="shared" ref="AJ24:AJ34" si="22">100*((AI24-$AI$29)/$AI$29)</f>
        <v>-40.998921951842114</v>
      </c>
      <c r="AK24" s="3"/>
      <c r="AL24" s="90">
        <v>-30</v>
      </c>
      <c r="AM24" s="91">
        <f t="shared" ref="AM24:AM32" si="23">AJ26</f>
        <v>-24.599353171105278</v>
      </c>
      <c r="AN24" s="91">
        <f t="shared" si="14"/>
        <v>-1.2006133532351737</v>
      </c>
      <c r="AO24" s="92">
        <f t="shared" si="12"/>
        <v>-3.6025132496599381</v>
      </c>
      <c r="AP24" s="92">
        <f t="shared" si="13"/>
        <v>-7.2016338094109278</v>
      </c>
      <c r="AQ24" s="92">
        <f t="shared" si="15"/>
        <v>-5.2694210650812279</v>
      </c>
      <c r="AR24" s="58">
        <f t="shared" si="16"/>
        <v>1.2006133532351613</v>
      </c>
      <c r="AS24" s="7"/>
      <c r="AT24" s="7"/>
      <c r="AU24" s="7"/>
      <c r="AV24" s="7"/>
      <c r="AW24" s="7"/>
      <c r="AX24" s="7"/>
      <c r="AY24" s="7"/>
    </row>
    <row r="25" spans="1:51" ht="15.75" customHeight="1" x14ac:dyDescent="0.25">
      <c r="A25" s="15"/>
      <c r="B25" s="3"/>
      <c r="C25" s="3"/>
      <c r="D25" s="3"/>
      <c r="E25" s="7"/>
      <c r="F25" s="3"/>
      <c r="G25" s="3"/>
      <c r="H25" s="17"/>
      <c r="I25" s="67" t="s">
        <v>145</v>
      </c>
      <c r="J25" s="67">
        <v>1.3</v>
      </c>
      <c r="K25" s="67" t="s">
        <v>146</v>
      </c>
      <c r="L25" s="65"/>
      <c r="M25" s="3"/>
      <c r="N25" s="13">
        <f t="shared" si="10"/>
        <v>0</v>
      </c>
      <c r="O25" s="13"/>
      <c r="P25" s="23">
        <f t="shared" si="1"/>
        <v>0</v>
      </c>
      <c r="Q25" s="24">
        <f t="shared" si="2"/>
        <v>0</v>
      </c>
      <c r="R25" s="24">
        <f t="shared" si="3"/>
        <v>0</v>
      </c>
      <c r="S25" s="24">
        <f t="shared" si="4"/>
        <v>0</v>
      </c>
      <c r="T25" s="24">
        <f t="shared" si="5"/>
        <v>0</v>
      </c>
      <c r="U25" s="24">
        <f t="shared" si="6"/>
        <v>0</v>
      </c>
      <c r="V25" s="24">
        <f t="shared" si="7"/>
        <v>0</v>
      </c>
      <c r="W25" s="23">
        <f t="shared" si="11"/>
        <v>0</v>
      </c>
      <c r="X25" s="20">
        <f t="shared" si="0"/>
        <v>0</v>
      </c>
      <c r="Y25" s="4"/>
      <c r="Z25" s="6">
        <f t="shared" si="9"/>
        <v>0</v>
      </c>
      <c r="AA25" s="3"/>
      <c r="AB25" s="31">
        <f t="shared" si="17"/>
        <v>-40</v>
      </c>
      <c r="AC25" s="33">
        <f t="shared" si="18"/>
        <v>4.1428571428571433E-2</v>
      </c>
      <c r="AD25" s="34">
        <v>116796.14100891221</v>
      </c>
      <c r="AE25" s="38">
        <f t="shared" si="19"/>
        <v>-1.6008178043135728</v>
      </c>
      <c r="AF25" s="3"/>
      <c r="AG25" s="31">
        <f t="shared" si="20"/>
        <v>-40</v>
      </c>
      <c r="AH25" s="35">
        <f t="shared" si="21"/>
        <v>48294.325509677416</v>
      </c>
      <c r="AI25" s="34">
        <v>79764.904851360654</v>
      </c>
      <c r="AJ25" s="38">
        <f t="shared" si="22"/>
        <v>-32.7991375614737</v>
      </c>
      <c r="AK25" s="3"/>
      <c r="AL25" s="90">
        <v>-20</v>
      </c>
      <c r="AM25" s="91">
        <f t="shared" si="23"/>
        <v>-16.399568780736864</v>
      </c>
      <c r="AN25" s="91">
        <f t="shared" si="14"/>
        <v>-0.80040890215677429</v>
      </c>
      <c r="AO25" s="92">
        <f t="shared" si="12"/>
        <v>-2.401675499773317</v>
      </c>
      <c r="AP25" s="92">
        <f t="shared" si="13"/>
        <v>-5.044955669972123</v>
      </c>
      <c r="AQ25" s="92">
        <f t="shared" si="15"/>
        <v>-3.5129473767208106</v>
      </c>
      <c r="AR25" s="58">
        <f t="shared" si="16"/>
        <v>0.80040890215677429</v>
      </c>
      <c r="AS25" s="7"/>
      <c r="AT25" s="7"/>
      <c r="AU25" s="7"/>
      <c r="AV25" s="7"/>
      <c r="AW25" s="7"/>
      <c r="AX25" s="7"/>
      <c r="AY25" s="7"/>
    </row>
    <row r="26" spans="1:51" ht="15.75" customHeight="1" x14ac:dyDescent="0.25">
      <c r="A26" s="40"/>
      <c r="B26" s="41"/>
      <c r="C26" s="41"/>
      <c r="D26" s="41"/>
      <c r="E26" s="41"/>
      <c r="F26" s="41"/>
      <c r="G26" s="41"/>
      <c r="H26" s="42"/>
      <c r="I26" s="41" t="s">
        <v>147</v>
      </c>
      <c r="J26" s="68">
        <f>J13/2</f>
        <v>100</v>
      </c>
      <c r="K26" s="41" t="s">
        <v>148</v>
      </c>
      <c r="L26" s="42"/>
      <c r="M26" s="3"/>
      <c r="N26" s="13">
        <f t="shared" si="10"/>
        <v>0</v>
      </c>
      <c r="O26" s="13"/>
      <c r="P26" s="23">
        <f t="shared" si="1"/>
        <v>0</v>
      </c>
      <c r="Q26" s="24">
        <f t="shared" si="2"/>
        <v>0</v>
      </c>
      <c r="R26" s="24">
        <f t="shared" si="3"/>
        <v>0</v>
      </c>
      <c r="S26" s="24">
        <f t="shared" si="4"/>
        <v>0</v>
      </c>
      <c r="T26" s="24">
        <f t="shared" si="5"/>
        <v>0</v>
      </c>
      <c r="U26" s="24">
        <f t="shared" si="6"/>
        <v>0</v>
      </c>
      <c r="V26" s="24">
        <f t="shared" si="7"/>
        <v>0</v>
      </c>
      <c r="W26" s="23">
        <f t="shared" si="11"/>
        <v>0</v>
      </c>
      <c r="X26" s="20">
        <f t="shared" si="0"/>
        <v>0</v>
      </c>
      <c r="Y26" s="4"/>
      <c r="Z26" s="6">
        <f t="shared" si="9"/>
        <v>0</v>
      </c>
      <c r="AA26" s="3"/>
      <c r="AB26" s="31">
        <f t="shared" si="17"/>
        <v>-30</v>
      </c>
      <c r="AC26" s="33">
        <f t="shared" si="18"/>
        <v>4.8333333333333332E-2</v>
      </c>
      <c r="AD26" s="34">
        <v>117271.16869163817</v>
      </c>
      <c r="AE26" s="38">
        <f t="shared" si="19"/>
        <v>-1.2006133532351737</v>
      </c>
      <c r="AF26" s="3"/>
      <c r="AG26" s="31">
        <f t="shared" si="20"/>
        <v>-30</v>
      </c>
      <c r="AH26" s="35">
        <f t="shared" si="21"/>
        <v>56343.379761290322</v>
      </c>
      <c r="AI26" s="34">
        <v>89497.741573474501</v>
      </c>
      <c r="AJ26" s="38">
        <f t="shared" si="22"/>
        <v>-24.599353171105278</v>
      </c>
      <c r="AK26" s="3"/>
      <c r="AL26" s="90">
        <v>-10</v>
      </c>
      <c r="AM26" s="91">
        <f t="shared" si="23"/>
        <v>-8.1997843903684497</v>
      </c>
      <c r="AN26" s="91">
        <f t="shared" si="14"/>
        <v>-0.40020445107839936</v>
      </c>
      <c r="AO26" s="92">
        <f t="shared" si="12"/>
        <v>-1.2008377498866585</v>
      </c>
      <c r="AP26" s="92">
        <f t="shared" si="13"/>
        <v>-2.1566781394388048</v>
      </c>
      <c r="AQ26" s="92">
        <f t="shared" si="15"/>
        <v>-1.7564736883604053</v>
      </c>
      <c r="AR26" s="58">
        <f t="shared" si="16"/>
        <v>0.40020445107839936</v>
      </c>
      <c r="AS26" s="7"/>
      <c r="AT26" s="7"/>
      <c r="AU26" s="7"/>
      <c r="AV26" s="7"/>
      <c r="AW26" s="7"/>
      <c r="AX26" s="7"/>
      <c r="AY26" s="7"/>
    </row>
    <row r="27" spans="1:51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6"/>
      <c r="K27" s="3"/>
      <c r="L27" s="3"/>
      <c r="M27" s="3"/>
      <c r="N27" s="13">
        <f t="shared" si="10"/>
        <v>0</v>
      </c>
      <c r="O27" s="13"/>
      <c r="P27" s="23">
        <f t="shared" si="1"/>
        <v>0</v>
      </c>
      <c r="Q27" s="24">
        <f t="shared" si="2"/>
        <v>0</v>
      </c>
      <c r="R27" s="24">
        <f t="shared" si="3"/>
        <v>0</v>
      </c>
      <c r="S27" s="24">
        <f t="shared" si="4"/>
        <v>0</v>
      </c>
      <c r="T27" s="24">
        <f t="shared" si="5"/>
        <v>0</v>
      </c>
      <c r="U27" s="24">
        <f t="shared" si="6"/>
        <v>0</v>
      </c>
      <c r="V27" s="24">
        <f t="shared" si="7"/>
        <v>0</v>
      </c>
      <c r="W27" s="23">
        <f t="shared" si="11"/>
        <v>0</v>
      </c>
      <c r="X27" s="20">
        <f t="shared" si="0"/>
        <v>0</v>
      </c>
      <c r="Y27" s="4"/>
      <c r="Z27" s="6">
        <f t="shared" si="9"/>
        <v>0</v>
      </c>
      <c r="AA27" s="3"/>
      <c r="AB27" s="31">
        <f t="shared" si="17"/>
        <v>-20</v>
      </c>
      <c r="AC27" s="33">
        <f t="shared" si="18"/>
        <v>5.5238095238095246E-2</v>
      </c>
      <c r="AD27" s="34">
        <v>117746.19637436414</v>
      </c>
      <c r="AE27" s="38">
        <f t="shared" si="19"/>
        <v>-0.80040890215677429</v>
      </c>
      <c r="AF27" s="3"/>
      <c r="AG27" s="31">
        <f t="shared" si="20"/>
        <v>-20</v>
      </c>
      <c r="AH27" s="35">
        <f t="shared" si="21"/>
        <v>64392.434012903228</v>
      </c>
      <c r="AI27" s="34">
        <v>99230.578295588333</v>
      </c>
      <c r="AJ27" s="38">
        <f t="shared" si="22"/>
        <v>-16.399568780736864</v>
      </c>
      <c r="AK27" s="3"/>
      <c r="AL27" s="90">
        <v>0</v>
      </c>
      <c r="AM27" s="91">
        <f t="shared" si="23"/>
        <v>0</v>
      </c>
      <c r="AN27" s="91">
        <f t="shared" si="14"/>
        <v>0</v>
      </c>
      <c r="AO27" s="92">
        <f t="shared" si="12"/>
        <v>0</v>
      </c>
      <c r="AP27" s="92">
        <f t="shared" si="13"/>
        <v>0</v>
      </c>
      <c r="AQ27" s="92">
        <f t="shared" si="15"/>
        <v>0</v>
      </c>
      <c r="AR27" s="58">
        <f t="shared" si="16"/>
        <v>0</v>
      </c>
      <c r="AS27" s="7"/>
      <c r="AT27" s="7"/>
      <c r="AU27" s="7"/>
      <c r="AV27" s="7"/>
      <c r="AW27" s="7"/>
      <c r="AX27" s="7"/>
      <c r="AY27" s="7"/>
    </row>
    <row r="28" spans="1:51" ht="15.75" customHeight="1" x14ac:dyDescent="0.25">
      <c r="A28" s="2" t="s">
        <v>87</v>
      </c>
      <c r="B28" s="3"/>
      <c r="C28" s="3"/>
      <c r="D28" s="3"/>
      <c r="E28" s="3"/>
      <c r="F28" s="3"/>
      <c r="G28" s="3"/>
      <c r="H28" s="3"/>
      <c r="I28" s="3"/>
      <c r="J28" s="6"/>
      <c r="K28" s="3"/>
      <c r="L28" s="3"/>
      <c r="M28" s="3"/>
      <c r="N28" s="13">
        <f t="shared" si="10"/>
        <v>0</v>
      </c>
      <c r="O28" s="13"/>
      <c r="P28" s="23">
        <f t="shared" si="1"/>
        <v>0</v>
      </c>
      <c r="Q28" s="24">
        <f t="shared" si="2"/>
        <v>0</v>
      </c>
      <c r="R28" s="24">
        <f t="shared" si="3"/>
        <v>0</v>
      </c>
      <c r="S28" s="24">
        <f t="shared" si="4"/>
        <v>0</v>
      </c>
      <c r="T28" s="24">
        <f t="shared" si="5"/>
        <v>0</v>
      </c>
      <c r="U28" s="24">
        <f t="shared" si="6"/>
        <v>0</v>
      </c>
      <c r="V28" s="24">
        <f t="shared" si="7"/>
        <v>0</v>
      </c>
      <c r="W28" s="23">
        <f t="shared" si="11"/>
        <v>0</v>
      </c>
      <c r="X28" s="20">
        <f t="shared" si="0"/>
        <v>0</v>
      </c>
      <c r="Y28" s="4"/>
      <c r="Z28" s="6">
        <f t="shared" si="9"/>
        <v>0</v>
      </c>
      <c r="AA28" s="3"/>
      <c r="AB28" s="31">
        <f t="shared" si="17"/>
        <v>-10</v>
      </c>
      <c r="AC28" s="33">
        <f t="shared" si="18"/>
        <v>6.2142857142857146E-2</v>
      </c>
      <c r="AD28" s="34">
        <v>118221.22405709008</v>
      </c>
      <c r="AE28" s="38">
        <f t="shared" si="19"/>
        <v>-0.40020445107839936</v>
      </c>
      <c r="AF28" s="3"/>
      <c r="AG28" s="31">
        <f t="shared" si="20"/>
        <v>-10</v>
      </c>
      <c r="AH28" s="35">
        <f t="shared" si="21"/>
        <v>72441.488264516127</v>
      </c>
      <c r="AI28" s="34">
        <v>108963.41501770217</v>
      </c>
      <c r="AJ28" s="38">
        <f t="shared" si="22"/>
        <v>-8.1997843903684497</v>
      </c>
      <c r="AK28" s="3"/>
      <c r="AL28" s="90">
        <v>10</v>
      </c>
      <c r="AM28" s="91">
        <f t="shared" si="23"/>
        <v>8.1997843903684142</v>
      </c>
      <c r="AN28" s="91">
        <f t="shared" si="14"/>
        <v>0.40020445107839936</v>
      </c>
      <c r="AO28" s="92">
        <f t="shared" si="12"/>
        <v>1.2008377498866705</v>
      </c>
      <c r="AP28" s="92">
        <f t="shared" si="13"/>
        <v>7.5673765735021465</v>
      </c>
      <c r="AQ28" s="92">
        <f t="shared" si="15"/>
        <v>1.7564736883603806</v>
      </c>
      <c r="AR28" s="58">
        <f t="shared" si="16"/>
        <v>-0.40020445107839936</v>
      </c>
      <c r="AS28" s="7"/>
      <c r="AT28" s="7"/>
      <c r="AU28" s="7"/>
      <c r="AV28" s="7"/>
      <c r="AW28" s="7"/>
      <c r="AX28" s="7"/>
      <c r="AY28" s="7"/>
    </row>
    <row r="29" spans="1:51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6"/>
      <c r="K29" s="3"/>
      <c r="L29" s="3"/>
      <c r="M29" s="3"/>
      <c r="N29" s="13">
        <f t="shared" si="10"/>
        <v>0</v>
      </c>
      <c r="O29" s="13"/>
      <c r="P29" s="23">
        <f t="shared" si="1"/>
        <v>0</v>
      </c>
      <c r="Q29" s="24">
        <f t="shared" si="2"/>
        <v>0</v>
      </c>
      <c r="R29" s="24">
        <f t="shared" si="3"/>
        <v>0</v>
      </c>
      <c r="S29" s="24">
        <f t="shared" si="4"/>
        <v>0</v>
      </c>
      <c r="T29" s="24">
        <f t="shared" si="5"/>
        <v>0</v>
      </c>
      <c r="U29" s="24">
        <f t="shared" si="6"/>
        <v>0</v>
      </c>
      <c r="V29" s="24">
        <f t="shared" si="7"/>
        <v>0</v>
      </c>
      <c r="W29" s="23">
        <f t="shared" si="11"/>
        <v>0</v>
      </c>
      <c r="X29" s="20">
        <f t="shared" si="0"/>
        <v>0</v>
      </c>
      <c r="Y29" s="4"/>
      <c r="Z29" s="6">
        <f t="shared" si="9"/>
        <v>0</v>
      </c>
      <c r="AA29" s="3"/>
      <c r="AB29" s="43">
        <v>0</v>
      </c>
      <c r="AC29" s="44">
        <f t="shared" si="18"/>
        <v>6.9047619047619052E-2</v>
      </c>
      <c r="AD29" s="45">
        <v>118696.25173981604</v>
      </c>
      <c r="AE29" s="46">
        <f t="shared" si="19"/>
        <v>0</v>
      </c>
      <c r="AF29" s="3"/>
      <c r="AG29" s="43">
        <v>0</v>
      </c>
      <c r="AH29" s="47">
        <f t="shared" si="21"/>
        <v>80490.542516129033</v>
      </c>
      <c r="AI29" s="45">
        <v>118696.25173981604</v>
      </c>
      <c r="AJ29" s="46">
        <f t="shared" si="22"/>
        <v>0</v>
      </c>
      <c r="AK29" s="3"/>
      <c r="AL29" s="90">
        <v>20</v>
      </c>
      <c r="AM29" s="91">
        <f t="shared" si="23"/>
        <v>16.399568780736804</v>
      </c>
      <c r="AN29" s="91">
        <f t="shared" si="14"/>
        <v>0.80040890215677429</v>
      </c>
      <c r="AO29" s="92">
        <f t="shared" si="12"/>
        <v>2.4016754997732801</v>
      </c>
      <c r="AP29" s="92">
        <f t="shared" si="13"/>
        <v>9.7240547129409265</v>
      </c>
      <c r="AQ29" s="92">
        <f t="shared" si="15"/>
        <v>3.5129473767207977</v>
      </c>
      <c r="AR29" s="58">
        <f t="shared" si="16"/>
        <v>-0.80040890215677429</v>
      </c>
      <c r="AS29" s="7"/>
      <c r="AT29" s="7"/>
      <c r="AU29" s="7"/>
      <c r="AV29" s="7"/>
      <c r="AW29" s="7"/>
      <c r="AX29" s="7"/>
      <c r="AY29" s="7"/>
    </row>
    <row r="30" spans="1:51" ht="15.75" customHeight="1" x14ac:dyDescent="0.25">
      <c r="A30" s="9" t="s">
        <v>88</v>
      </c>
      <c r="B30" s="10"/>
      <c r="C30" s="10"/>
      <c r="D30" s="10"/>
      <c r="E30" s="12" t="s">
        <v>89</v>
      </c>
      <c r="F30" s="10"/>
      <c r="G30" s="10"/>
      <c r="H30" s="10"/>
      <c r="I30" s="12" t="s">
        <v>90</v>
      </c>
      <c r="J30" s="48"/>
      <c r="K30" s="10"/>
      <c r="L30" s="11"/>
      <c r="M30" s="3"/>
      <c r="N30" s="13">
        <f t="shared" si="10"/>
        <v>0</v>
      </c>
      <c r="O30" s="13"/>
      <c r="P30" s="23">
        <f t="shared" si="1"/>
        <v>0</v>
      </c>
      <c r="Q30" s="24">
        <f t="shared" si="2"/>
        <v>0</v>
      </c>
      <c r="R30" s="24">
        <f t="shared" si="3"/>
        <v>0</v>
      </c>
      <c r="S30" s="24">
        <f t="shared" si="4"/>
        <v>0</v>
      </c>
      <c r="T30" s="24">
        <f t="shared" si="5"/>
        <v>0</v>
      </c>
      <c r="U30" s="24">
        <f t="shared" si="6"/>
        <v>0</v>
      </c>
      <c r="V30" s="24">
        <f t="shared" si="7"/>
        <v>0</v>
      </c>
      <c r="W30" s="23">
        <f t="shared" si="11"/>
        <v>0</v>
      </c>
      <c r="X30" s="20">
        <f t="shared" si="0"/>
        <v>0</v>
      </c>
      <c r="Y30" s="4"/>
      <c r="Z30" s="6">
        <f t="shared" si="9"/>
        <v>0</v>
      </c>
      <c r="AA30" s="3"/>
      <c r="AB30" s="31">
        <f t="shared" ref="AB30:AB34" si="24">AB29+10</f>
        <v>10</v>
      </c>
      <c r="AC30" s="33">
        <f t="shared" si="18"/>
        <v>7.5952380952380966E-2</v>
      </c>
      <c r="AD30" s="34">
        <v>119171.27942254201</v>
      </c>
      <c r="AE30" s="38">
        <f t="shared" si="19"/>
        <v>0.40020445107839936</v>
      </c>
      <c r="AF30" s="3"/>
      <c r="AG30" s="31">
        <f t="shared" ref="AG30:AG34" si="25">AG29+10</f>
        <v>10</v>
      </c>
      <c r="AH30" s="35">
        <f t="shared" si="21"/>
        <v>88539.596767741939</v>
      </c>
      <c r="AI30" s="34">
        <v>128429.08846192987</v>
      </c>
      <c r="AJ30" s="38">
        <f t="shared" si="22"/>
        <v>8.1997843903684142</v>
      </c>
      <c r="AK30" s="3"/>
      <c r="AL30" s="90">
        <v>30</v>
      </c>
      <c r="AM30" s="91">
        <f t="shared" si="23"/>
        <v>24.599353171105264</v>
      </c>
      <c r="AN30" s="91">
        <f t="shared" si="14"/>
        <v>1.2006133532351613</v>
      </c>
      <c r="AO30" s="92">
        <f t="shared" si="12"/>
        <v>3.6025132496599381</v>
      </c>
      <c r="AP30" s="92">
        <f t="shared" si="13"/>
        <v>11.880732852379756</v>
      </c>
      <c r="AQ30" s="92">
        <f t="shared" si="15"/>
        <v>5.2694210650812279</v>
      </c>
      <c r="AR30" s="58">
        <f t="shared" si="16"/>
        <v>-1.2006133532351737</v>
      </c>
      <c r="AS30" s="7"/>
      <c r="AT30" s="7"/>
      <c r="AU30" s="7"/>
      <c r="AV30" s="7"/>
      <c r="AW30" s="7"/>
      <c r="AX30" s="7"/>
      <c r="AY30" s="7"/>
    </row>
    <row r="31" spans="1:51" ht="15.75" customHeight="1" x14ac:dyDescent="0.25">
      <c r="A31" s="27"/>
      <c r="B31" s="6"/>
      <c r="C31" s="3"/>
      <c r="D31" s="3"/>
      <c r="E31" s="18" t="s">
        <v>91</v>
      </c>
      <c r="F31" s="26">
        <f>(J22/100)*B52</f>
        <v>24147.162754838708</v>
      </c>
      <c r="G31" s="3" t="s">
        <v>3</v>
      </c>
      <c r="H31" s="3"/>
      <c r="I31" s="18" t="s">
        <v>92</v>
      </c>
      <c r="J31" s="7">
        <f>ROUNDDOWN(J12/(F12/J13),0)</f>
        <v>4</v>
      </c>
      <c r="K31" s="3" t="s">
        <v>58</v>
      </c>
      <c r="L31" s="17"/>
      <c r="M31" s="3"/>
      <c r="N31" s="13">
        <f t="shared" si="10"/>
        <v>0</v>
      </c>
      <c r="O31" s="13"/>
      <c r="P31" s="23">
        <f t="shared" si="1"/>
        <v>0</v>
      </c>
      <c r="Q31" s="24">
        <f t="shared" si="2"/>
        <v>0</v>
      </c>
      <c r="R31" s="24">
        <f t="shared" si="3"/>
        <v>0</v>
      </c>
      <c r="S31" s="24">
        <f t="shared" si="4"/>
        <v>0</v>
      </c>
      <c r="T31" s="24">
        <f t="shared" si="5"/>
        <v>0</v>
      </c>
      <c r="U31" s="24">
        <f t="shared" si="6"/>
        <v>0</v>
      </c>
      <c r="V31" s="24">
        <f t="shared" si="7"/>
        <v>0</v>
      </c>
      <c r="W31" s="23">
        <f t="shared" si="11"/>
        <v>0</v>
      </c>
      <c r="X31" s="20">
        <f t="shared" si="0"/>
        <v>0</v>
      </c>
      <c r="Y31" s="4"/>
      <c r="Z31" s="6">
        <f t="shared" si="9"/>
        <v>0</v>
      </c>
      <c r="AA31" s="3"/>
      <c r="AB31" s="31">
        <f t="shared" si="24"/>
        <v>20</v>
      </c>
      <c r="AC31" s="33">
        <f t="shared" si="18"/>
        <v>8.2857142857142865E-2</v>
      </c>
      <c r="AD31" s="34">
        <v>119646.30710526794</v>
      </c>
      <c r="AE31" s="38">
        <f t="shared" si="19"/>
        <v>0.80040890215677429</v>
      </c>
      <c r="AF31" s="3"/>
      <c r="AG31" s="31">
        <f t="shared" si="25"/>
        <v>20</v>
      </c>
      <c r="AH31" s="35">
        <f t="shared" si="21"/>
        <v>96588.651019354831</v>
      </c>
      <c r="AI31" s="34">
        <v>138161.92518404368</v>
      </c>
      <c r="AJ31" s="38">
        <f t="shared" si="22"/>
        <v>16.399568780736804</v>
      </c>
      <c r="AK31" s="3"/>
      <c r="AL31" s="90">
        <v>40</v>
      </c>
      <c r="AM31" s="91">
        <f t="shared" si="23"/>
        <v>32.799137561473657</v>
      </c>
      <c r="AN31" s="91">
        <f t="shared" si="14"/>
        <v>1.6008178043135608</v>
      </c>
      <c r="AO31" s="92">
        <f t="shared" si="12"/>
        <v>4.8033509995465842</v>
      </c>
      <c r="AP31" s="92">
        <f t="shared" si="13"/>
        <v>24.871690475264497</v>
      </c>
      <c r="AQ31" s="92">
        <f t="shared" si="15"/>
        <v>7.0258947534416212</v>
      </c>
      <c r="AR31" s="58">
        <f t="shared" si="16"/>
        <v>-1.6008178043135728</v>
      </c>
      <c r="AS31" s="7"/>
      <c r="AT31" s="7"/>
      <c r="AU31" s="7"/>
      <c r="AV31" s="7"/>
      <c r="AW31" s="7"/>
      <c r="AX31" s="7"/>
      <c r="AY31" s="7"/>
    </row>
    <row r="32" spans="1:51" ht="15.75" customHeight="1" x14ac:dyDescent="0.25">
      <c r="A32" s="3" t="s">
        <v>44</v>
      </c>
      <c r="B32" s="6">
        <f>IF(B12=0,0,-(B12/100)*$B$50)</f>
        <v>0</v>
      </c>
      <c r="C32" s="3" t="s">
        <v>3</v>
      </c>
      <c r="D32" s="3"/>
      <c r="E32" s="18" t="s">
        <v>93</v>
      </c>
      <c r="F32" s="6">
        <f>B52-F31</f>
        <v>56343.379761290329</v>
      </c>
      <c r="G32" s="3" t="s">
        <v>3</v>
      </c>
      <c r="H32" s="3"/>
      <c r="I32" s="18" t="s">
        <v>60</v>
      </c>
      <c r="J32" s="28">
        <f>IF(J24="Yes",SUM(F51:F52),0)</f>
        <v>0</v>
      </c>
      <c r="K32" s="3" t="s">
        <v>49</v>
      </c>
      <c r="L32" s="17"/>
      <c r="M32" s="3"/>
      <c r="N32" s="13">
        <f t="shared" si="10"/>
        <v>0</v>
      </c>
      <c r="O32" s="13"/>
      <c r="P32" s="23">
        <f t="shared" si="1"/>
        <v>0</v>
      </c>
      <c r="Q32" s="24">
        <f t="shared" si="2"/>
        <v>0</v>
      </c>
      <c r="R32" s="24">
        <f t="shared" si="3"/>
        <v>0</v>
      </c>
      <c r="S32" s="24">
        <f t="shared" si="4"/>
        <v>0</v>
      </c>
      <c r="T32" s="24">
        <f t="shared" si="5"/>
        <v>0</v>
      </c>
      <c r="U32" s="24">
        <f t="shared" si="6"/>
        <v>0</v>
      </c>
      <c r="V32" s="24">
        <f t="shared" si="7"/>
        <v>0</v>
      </c>
      <c r="W32" s="23">
        <f t="shared" si="11"/>
        <v>0</v>
      </c>
      <c r="X32" s="20">
        <f t="shared" si="0"/>
        <v>0</v>
      </c>
      <c r="Y32" s="4"/>
      <c r="Z32" s="6">
        <f t="shared" si="9"/>
        <v>0</v>
      </c>
      <c r="AA32" s="3"/>
      <c r="AB32" s="31">
        <f t="shared" si="24"/>
        <v>30</v>
      </c>
      <c r="AC32" s="33">
        <f t="shared" si="18"/>
        <v>8.9761904761904765E-2</v>
      </c>
      <c r="AD32" s="34">
        <v>120121.3347879939</v>
      </c>
      <c r="AE32" s="38">
        <f t="shared" si="19"/>
        <v>1.2006133532351613</v>
      </c>
      <c r="AF32" s="3"/>
      <c r="AG32" s="31">
        <f t="shared" si="25"/>
        <v>30</v>
      </c>
      <c r="AH32" s="35">
        <f t="shared" si="21"/>
        <v>104637.70527096775</v>
      </c>
      <c r="AI32" s="34">
        <v>147894.76190615757</v>
      </c>
      <c r="AJ32" s="38">
        <f t="shared" si="22"/>
        <v>24.599353171105264</v>
      </c>
      <c r="AK32" s="3"/>
      <c r="AL32" s="90">
        <v>50</v>
      </c>
      <c r="AM32" s="91">
        <f t="shared" si="23"/>
        <v>40.998921951842114</v>
      </c>
      <c r="AN32" s="91">
        <f t="shared" si="14"/>
        <v>2.0010222553919355</v>
      </c>
      <c r="AO32" s="92">
        <f t="shared" si="12"/>
        <v>6.0041887494332427</v>
      </c>
      <c r="AP32" s="92">
        <f t="shared" si="13"/>
        <v>27.028368614703286</v>
      </c>
      <c r="AQ32" s="92">
        <f t="shared" si="15"/>
        <v>8.782368441802026</v>
      </c>
      <c r="AR32" s="58">
        <f t="shared" si="16"/>
        <v>-2.0010222553919843</v>
      </c>
      <c r="AS32" s="7"/>
      <c r="AT32" s="7"/>
      <c r="AU32" s="7"/>
      <c r="AV32" s="7"/>
      <c r="AW32" s="7"/>
      <c r="AX32" s="7"/>
      <c r="AY32" s="7"/>
    </row>
    <row r="33" spans="1:51" ht="15.75" customHeight="1" x14ac:dyDescent="0.25">
      <c r="A33" s="3" t="s">
        <v>50</v>
      </c>
      <c r="B33" s="6">
        <f>IF(B13=0,0,(B13/100)*B49)</f>
        <v>3065.1387096774197</v>
      </c>
      <c r="C33" s="3" t="s">
        <v>3</v>
      </c>
      <c r="D33" s="3"/>
      <c r="E33" s="18" t="s">
        <v>94</v>
      </c>
      <c r="F33" s="26">
        <f>F32*(F22/100)*J21</f>
        <v>28171.689880645168</v>
      </c>
      <c r="G33" s="3" t="s">
        <v>3</v>
      </c>
      <c r="H33" s="3"/>
      <c r="I33" s="3"/>
      <c r="J33" s="3"/>
      <c r="K33" s="3"/>
      <c r="L33" s="17"/>
      <c r="M33" s="3"/>
      <c r="N33" s="13">
        <f t="shared" si="10"/>
        <v>0</v>
      </c>
      <c r="O33" s="13"/>
      <c r="P33" s="23">
        <f t="shared" si="1"/>
        <v>0</v>
      </c>
      <c r="Q33" s="24">
        <f t="shared" si="2"/>
        <v>0</v>
      </c>
      <c r="R33" s="24">
        <f t="shared" si="3"/>
        <v>0</v>
      </c>
      <c r="S33" s="24">
        <f t="shared" si="4"/>
        <v>0</v>
      </c>
      <c r="T33" s="24">
        <f t="shared" si="5"/>
        <v>0</v>
      </c>
      <c r="U33" s="24">
        <f t="shared" si="6"/>
        <v>0</v>
      </c>
      <c r="V33" s="24">
        <f t="shared" si="7"/>
        <v>0</v>
      </c>
      <c r="W33" s="23">
        <f t="shared" si="11"/>
        <v>0</v>
      </c>
      <c r="X33" s="20">
        <f t="shared" si="0"/>
        <v>0</v>
      </c>
      <c r="Y33" s="4"/>
      <c r="Z33" s="6">
        <f t="shared" si="9"/>
        <v>0</v>
      </c>
      <c r="AA33" s="3"/>
      <c r="AB33" s="31">
        <f t="shared" si="24"/>
        <v>40</v>
      </c>
      <c r="AC33" s="33">
        <f t="shared" si="18"/>
        <v>9.6666666666666665E-2</v>
      </c>
      <c r="AD33" s="34">
        <v>120596.36247071986</v>
      </c>
      <c r="AE33" s="38">
        <f t="shared" si="19"/>
        <v>1.6008178043135608</v>
      </c>
      <c r="AF33" s="3"/>
      <c r="AG33" s="31">
        <f t="shared" si="25"/>
        <v>40</v>
      </c>
      <c r="AH33" s="35">
        <f t="shared" si="21"/>
        <v>112686.75952258064</v>
      </c>
      <c r="AI33" s="34">
        <v>157627.59862827137</v>
      </c>
      <c r="AJ33" s="38">
        <f t="shared" si="22"/>
        <v>32.799137561473657</v>
      </c>
      <c r="AK33" s="3"/>
      <c r="AL33" s="32"/>
      <c r="AM33" s="36"/>
      <c r="AN33" s="37"/>
      <c r="AO33" s="39"/>
      <c r="AP33" s="3"/>
      <c r="AQ33" s="7"/>
      <c r="AR33" s="7"/>
      <c r="AS33" s="7"/>
      <c r="AT33" s="7"/>
      <c r="AU33" s="7"/>
      <c r="AV33" s="7"/>
      <c r="AW33" s="7"/>
      <c r="AX33" s="7"/>
      <c r="AY33" s="7"/>
    </row>
    <row r="34" spans="1:51" ht="15.75" customHeight="1" x14ac:dyDescent="0.25">
      <c r="A34" s="3" t="s">
        <v>54</v>
      </c>
      <c r="B34" s="6">
        <f>IF(B14=0,0,(B14/100)*(0.8333*$B$49))</f>
        <v>0</v>
      </c>
      <c r="C34" s="3" t="s">
        <v>3</v>
      </c>
      <c r="D34" s="3"/>
      <c r="E34" s="3"/>
      <c r="F34" s="7"/>
      <c r="G34" s="3"/>
      <c r="H34" s="3"/>
      <c r="I34" s="18" t="s">
        <v>95</v>
      </c>
      <c r="J34" s="6">
        <f>F12*B5</f>
        <v>450000</v>
      </c>
      <c r="K34" s="3" t="s">
        <v>96</v>
      </c>
      <c r="L34" s="17"/>
      <c r="M34" s="3"/>
      <c r="N34" s="13">
        <f t="shared" si="10"/>
        <v>0</v>
      </c>
      <c r="O34" s="13"/>
      <c r="P34" s="23">
        <f t="shared" si="1"/>
        <v>0</v>
      </c>
      <c r="Q34" s="24">
        <f t="shared" si="2"/>
        <v>0</v>
      </c>
      <c r="R34" s="24">
        <f t="shared" si="3"/>
        <v>0</v>
      </c>
      <c r="S34" s="24">
        <f t="shared" si="4"/>
        <v>0</v>
      </c>
      <c r="T34" s="24">
        <f t="shared" si="5"/>
        <v>0</v>
      </c>
      <c r="U34" s="24">
        <f t="shared" si="6"/>
        <v>0</v>
      </c>
      <c r="V34" s="24">
        <f t="shared" si="7"/>
        <v>0</v>
      </c>
      <c r="W34" s="23">
        <f t="shared" si="11"/>
        <v>0</v>
      </c>
      <c r="X34" s="20">
        <f t="shared" si="0"/>
        <v>0</v>
      </c>
      <c r="Y34" s="4"/>
      <c r="Z34" s="6">
        <f t="shared" si="9"/>
        <v>0</v>
      </c>
      <c r="AA34" s="3"/>
      <c r="AB34" s="31">
        <f t="shared" si="24"/>
        <v>50</v>
      </c>
      <c r="AC34" s="33">
        <f t="shared" si="18"/>
        <v>0.10357142857142858</v>
      </c>
      <c r="AD34" s="34">
        <v>121071.3901534458</v>
      </c>
      <c r="AE34" s="38">
        <f t="shared" si="19"/>
        <v>2.0010222553919355</v>
      </c>
      <c r="AF34" s="3"/>
      <c r="AG34" s="31">
        <f t="shared" si="25"/>
        <v>50</v>
      </c>
      <c r="AH34" s="35">
        <f t="shared" si="21"/>
        <v>120735.81377419355</v>
      </c>
      <c r="AI34" s="34">
        <v>167360.43535038526</v>
      </c>
      <c r="AJ34" s="38">
        <f t="shared" si="22"/>
        <v>40.998921951842114</v>
      </c>
      <c r="AK34" s="3"/>
      <c r="AL34" s="32"/>
      <c r="AM34" s="36"/>
      <c r="AN34" s="37"/>
      <c r="AO34" s="39"/>
      <c r="AP34" s="3"/>
      <c r="AQ34" s="7"/>
      <c r="AR34" s="7"/>
      <c r="AS34" s="7"/>
      <c r="AT34" s="7"/>
      <c r="AU34" s="7"/>
      <c r="AV34" s="7"/>
      <c r="AW34" s="7"/>
      <c r="AX34" s="7"/>
      <c r="AY34" s="7"/>
    </row>
    <row r="35" spans="1:51" ht="15.75" customHeight="1" x14ac:dyDescent="0.25">
      <c r="A35" s="3" t="s">
        <v>59</v>
      </c>
      <c r="B35" s="6">
        <f>IF(B15=0,0,(B15/100)*B49)</f>
        <v>15325.693548387097</v>
      </c>
      <c r="C35" s="3" t="s">
        <v>3</v>
      </c>
      <c r="D35" s="3"/>
      <c r="E35" s="2" t="s">
        <v>97</v>
      </c>
      <c r="F35" s="3"/>
      <c r="G35" s="3"/>
      <c r="H35" s="3"/>
      <c r="I35" s="3"/>
      <c r="J35" s="3"/>
      <c r="K35" s="3"/>
      <c r="L35" s="17"/>
      <c r="M35" s="3"/>
      <c r="N35" s="13">
        <f t="shared" si="10"/>
        <v>0</v>
      </c>
      <c r="O35" s="13"/>
      <c r="P35" s="23">
        <f t="shared" si="1"/>
        <v>0</v>
      </c>
      <c r="Q35" s="24">
        <f t="shared" si="2"/>
        <v>0</v>
      </c>
      <c r="R35" s="24">
        <f t="shared" si="3"/>
        <v>0</v>
      </c>
      <c r="S35" s="24">
        <f t="shared" si="4"/>
        <v>0</v>
      </c>
      <c r="T35" s="24">
        <f t="shared" si="5"/>
        <v>0</v>
      </c>
      <c r="U35" s="24">
        <f t="shared" si="6"/>
        <v>0</v>
      </c>
      <c r="V35" s="24">
        <f t="shared" si="7"/>
        <v>0</v>
      </c>
      <c r="W35" s="23">
        <f t="shared" si="11"/>
        <v>0</v>
      </c>
      <c r="X35" s="20">
        <f t="shared" si="0"/>
        <v>0</v>
      </c>
      <c r="Y35" s="4"/>
      <c r="Z35" s="6">
        <f t="shared" si="9"/>
        <v>0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spans="1:51" ht="15.75" customHeight="1" x14ac:dyDescent="0.25">
      <c r="A36" s="27" t="s">
        <v>63</v>
      </c>
      <c r="B36" s="6">
        <f>IF(B16=0,0,(B16/100)*B49)</f>
        <v>183.90832258064518</v>
      </c>
      <c r="C36" s="3" t="s">
        <v>3</v>
      </c>
      <c r="D36" s="3"/>
      <c r="E36" s="18" t="s">
        <v>30</v>
      </c>
      <c r="F36" s="28">
        <f>F13/$B$8</f>
        <v>6.9047619047619052E-2</v>
      </c>
      <c r="G36" s="3" t="s">
        <v>31</v>
      </c>
      <c r="H36" s="3"/>
      <c r="I36" s="3"/>
      <c r="J36" s="3"/>
      <c r="K36" s="3"/>
      <c r="L36" s="17"/>
      <c r="M36" s="3"/>
      <c r="N36" s="13">
        <f t="shared" si="10"/>
        <v>0</v>
      </c>
      <c r="O36" s="13"/>
      <c r="P36" s="23">
        <f t="shared" si="1"/>
        <v>0</v>
      </c>
      <c r="Q36" s="24">
        <f t="shared" si="2"/>
        <v>0</v>
      </c>
      <c r="R36" s="24">
        <f t="shared" si="3"/>
        <v>0</v>
      </c>
      <c r="S36" s="24">
        <f t="shared" si="4"/>
        <v>0</v>
      </c>
      <c r="T36" s="24">
        <f t="shared" si="5"/>
        <v>0</v>
      </c>
      <c r="U36" s="24">
        <f t="shared" si="6"/>
        <v>0</v>
      </c>
      <c r="V36" s="24">
        <f t="shared" si="7"/>
        <v>0</v>
      </c>
      <c r="W36" s="23">
        <f t="shared" si="11"/>
        <v>0</v>
      </c>
      <c r="X36" s="20">
        <f t="shared" si="0"/>
        <v>0</v>
      </c>
      <c r="Y36" s="4"/>
      <c r="Z36" s="6">
        <f t="shared" si="9"/>
        <v>0</v>
      </c>
      <c r="AA36" s="3"/>
      <c r="AB36" s="30" t="s">
        <v>34</v>
      </c>
      <c r="AC36" s="31"/>
      <c r="AD36" s="31"/>
      <c r="AE36" s="31"/>
      <c r="AF36" s="3"/>
      <c r="AG36" s="30" t="s">
        <v>98</v>
      </c>
      <c r="AH36" s="31"/>
      <c r="AI36" s="31"/>
      <c r="AJ36" s="31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spans="1:51" ht="15.75" customHeight="1" x14ac:dyDescent="0.25">
      <c r="A37" s="27" t="s">
        <v>168</v>
      </c>
      <c r="B37" s="6">
        <f t="shared" ref="B37:B38" si="26">IF(B17=0,0,(B17/100)*B49)</f>
        <v>613.02774193548385</v>
      </c>
      <c r="C37" s="3" t="s">
        <v>3</v>
      </c>
      <c r="D37" s="3"/>
      <c r="E37" s="18" t="s">
        <v>99</v>
      </c>
      <c r="F37" s="6">
        <f>(F20/((1-J15%)*J11))/B8</f>
        <v>0</v>
      </c>
      <c r="G37" s="3" t="s">
        <v>31</v>
      </c>
      <c r="H37" s="3"/>
      <c r="I37" s="2" t="s">
        <v>100</v>
      </c>
      <c r="J37" s="49">
        <f>SUM(J38:J41)</f>
        <v>2701.5204496466972</v>
      </c>
      <c r="K37" s="2" t="s">
        <v>49</v>
      </c>
      <c r="L37" s="17"/>
      <c r="M37" s="3"/>
      <c r="N37" s="13">
        <f t="shared" si="10"/>
        <v>0</v>
      </c>
      <c r="O37" s="13"/>
      <c r="P37" s="23">
        <f t="shared" si="1"/>
        <v>0</v>
      </c>
      <c r="Q37" s="24">
        <f t="shared" si="2"/>
        <v>0</v>
      </c>
      <c r="R37" s="24">
        <f t="shared" si="3"/>
        <v>0</v>
      </c>
      <c r="S37" s="24">
        <f t="shared" si="4"/>
        <v>0</v>
      </c>
      <c r="T37" s="24">
        <f t="shared" si="5"/>
        <v>0</v>
      </c>
      <c r="U37" s="24">
        <f t="shared" si="6"/>
        <v>0</v>
      </c>
      <c r="V37" s="24">
        <f t="shared" si="7"/>
        <v>0</v>
      </c>
      <c r="W37" s="23">
        <f t="shared" si="11"/>
        <v>0</v>
      </c>
      <c r="X37" s="20">
        <f t="shared" si="0"/>
        <v>0</v>
      </c>
      <c r="Y37" s="4"/>
      <c r="Z37" s="6">
        <f t="shared" si="9"/>
        <v>0</v>
      </c>
      <c r="AA37" s="3"/>
      <c r="AB37" s="31" t="s">
        <v>79</v>
      </c>
      <c r="AC37" s="31" t="s">
        <v>101</v>
      </c>
      <c r="AD37" s="31" t="s">
        <v>23</v>
      </c>
      <c r="AE37" s="31" t="s">
        <v>81</v>
      </c>
      <c r="AF37" s="3"/>
      <c r="AG37" s="31" t="s">
        <v>79</v>
      </c>
      <c r="AH37" s="31" t="s">
        <v>102</v>
      </c>
      <c r="AI37" s="31" t="s">
        <v>23</v>
      </c>
      <c r="AJ37" s="31" t="s">
        <v>81</v>
      </c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spans="1:51" ht="15.75" customHeight="1" x14ac:dyDescent="0.25">
      <c r="A38" s="18" t="s">
        <v>69</v>
      </c>
      <c r="B38" s="6">
        <f t="shared" si="26"/>
        <v>241.47162754838712</v>
      </c>
      <c r="C38" s="3" t="s">
        <v>3</v>
      </c>
      <c r="D38" s="3"/>
      <c r="E38" s="18" t="s">
        <v>103</v>
      </c>
      <c r="F38" s="50">
        <f>F36*J18</f>
        <v>1.311904761904762E-2</v>
      </c>
      <c r="G38" s="3" t="s">
        <v>4</v>
      </c>
      <c r="H38" s="3"/>
      <c r="I38" s="18" t="s">
        <v>167</v>
      </c>
      <c r="J38" s="28">
        <f>(((F16/100)*B49)/$B$8)</f>
        <v>1.5179734562211984</v>
      </c>
      <c r="K38" s="3" t="s">
        <v>49</v>
      </c>
      <c r="L38" s="17"/>
      <c r="M38" s="3"/>
      <c r="N38" s="13">
        <f t="shared" si="10"/>
        <v>0</v>
      </c>
      <c r="O38" s="13"/>
      <c r="P38" s="23">
        <f t="shared" si="1"/>
        <v>0</v>
      </c>
      <c r="Q38" s="24">
        <f t="shared" si="2"/>
        <v>0</v>
      </c>
      <c r="R38" s="24">
        <f t="shared" si="3"/>
        <v>0</v>
      </c>
      <c r="S38" s="24">
        <f t="shared" si="4"/>
        <v>0</v>
      </c>
      <c r="T38" s="24">
        <f t="shared" si="5"/>
        <v>0</v>
      </c>
      <c r="U38" s="24">
        <f t="shared" si="6"/>
        <v>0</v>
      </c>
      <c r="V38" s="24">
        <f t="shared" si="7"/>
        <v>0</v>
      </c>
      <c r="W38" s="23">
        <f t="shared" si="11"/>
        <v>0</v>
      </c>
      <c r="X38" s="20">
        <f t="shared" si="0"/>
        <v>0</v>
      </c>
      <c r="Y38" s="4"/>
      <c r="Z38" s="6">
        <f t="shared" si="9"/>
        <v>0</v>
      </c>
      <c r="AA38" s="3"/>
      <c r="AB38" s="31" t="s">
        <v>84</v>
      </c>
      <c r="AC38" s="35">
        <v>10206</v>
      </c>
      <c r="AD38" s="34">
        <f>X49</f>
        <v>118696.25173981604</v>
      </c>
      <c r="AE38" s="31"/>
      <c r="AF38" s="3"/>
      <c r="AG38" s="31" t="s">
        <v>84</v>
      </c>
      <c r="AH38" s="35">
        <v>45000</v>
      </c>
      <c r="AI38" s="34">
        <f>X49</f>
        <v>118696.25173981604</v>
      </c>
      <c r="AJ38" s="31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spans="1:51" ht="15.75" customHeight="1" x14ac:dyDescent="0.25">
      <c r="A39" s="3"/>
      <c r="B39" s="3"/>
      <c r="C39" s="3"/>
      <c r="D39" s="3"/>
      <c r="E39" s="3"/>
      <c r="F39" s="3"/>
      <c r="G39" s="3"/>
      <c r="H39" s="3"/>
      <c r="I39" s="18" t="s">
        <v>73</v>
      </c>
      <c r="J39" s="28">
        <f>F19/$B$8</f>
        <v>0</v>
      </c>
      <c r="K39" s="3" t="s">
        <v>49</v>
      </c>
      <c r="L39" s="17"/>
      <c r="M39" s="3"/>
      <c r="N39" s="13">
        <f t="shared" si="10"/>
        <v>0</v>
      </c>
      <c r="O39" s="13"/>
      <c r="P39" s="23">
        <f t="shared" si="1"/>
        <v>0</v>
      </c>
      <c r="Q39" s="24">
        <f t="shared" si="2"/>
        <v>0</v>
      </c>
      <c r="R39" s="24">
        <f t="shared" si="3"/>
        <v>0</v>
      </c>
      <c r="S39" s="24">
        <f t="shared" si="4"/>
        <v>0</v>
      </c>
      <c r="T39" s="24">
        <f t="shared" si="5"/>
        <v>0</v>
      </c>
      <c r="U39" s="24">
        <f t="shared" si="6"/>
        <v>0</v>
      </c>
      <c r="V39" s="24">
        <f t="shared" si="7"/>
        <v>0</v>
      </c>
      <c r="W39" s="23">
        <f t="shared" si="11"/>
        <v>0</v>
      </c>
      <c r="X39" s="20">
        <f t="shared" si="0"/>
        <v>0</v>
      </c>
      <c r="Y39" s="4"/>
      <c r="Z39" s="6">
        <f t="shared" si="9"/>
        <v>0</v>
      </c>
      <c r="AA39" s="3"/>
      <c r="AB39" s="31">
        <f t="shared" ref="AB39:AB43" si="27">AB40-10</f>
        <v>-50</v>
      </c>
      <c r="AC39" s="35">
        <f t="shared" ref="AC39:AC49" si="28">$AC$38*(1+(AB39/100))</f>
        <v>5103</v>
      </c>
      <c r="AD39" s="34">
        <f t="dataTable" ref="AD39:AD49" dt2D="0" dtr="0" r1="B48" ca="1"/>
        <v>111569.50474685503</v>
      </c>
      <c r="AE39" s="38">
        <f>100*((AD39-$AD$44)/$AD$44)</f>
        <v>-6.0041887494332551</v>
      </c>
      <c r="AF39" s="3"/>
      <c r="AG39" s="31">
        <f t="shared" ref="AG39:AG43" si="29">AG40-10</f>
        <v>-50</v>
      </c>
      <c r="AH39" s="35">
        <f t="shared" ref="AH39:AH49" si="30">$AH$38*(1+(AG39/100))</f>
        <v>22500</v>
      </c>
      <c r="AI39" s="34">
        <f t="dataTable" ref="AI39:AI49" dt2D="0" dtr="0" r1="F12" ca="1"/>
        <v>98899.686623681802</v>
      </c>
      <c r="AJ39" s="38">
        <f t="shared" ref="AJ39:AJ49" si="31">100*((AI39-$AI$44)/$AI$44)</f>
        <v>-16.678340576018023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spans="1:51" ht="15.75" customHeight="1" x14ac:dyDescent="0.25">
      <c r="A40" s="3"/>
      <c r="B40" s="3"/>
      <c r="C40" s="3"/>
      <c r="D40" s="3"/>
      <c r="E40" s="18" t="s">
        <v>104</v>
      </c>
      <c r="F40" s="28">
        <f>F37*F12*J18</f>
        <v>0</v>
      </c>
      <c r="G40" s="3" t="s">
        <v>49</v>
      </c>
      <c r="H40" s="3"/>
      <c r="I40" s="18" t="s">
        <v>105</v>
      </c>
      <c r="J40" s="28">
        <f>F16/$B$8</f>
        <v>2.4761904761904764E-3</v>
      </c>
      <c r="K40" s="3" t="s">
        <v>49</v>
      </c>
      <c r="L40" s="17"/>
      <c r="M40" s="3"/>
      <c r="N40" s="13">
        <f t="shared" si="10"/>
        <v>0</v>
      </c>
      <c r="O40" s="13"/>
      <c r="P40" s="23">
        <f t="shared" si="1"/>
        <v>0</v>
      </c>
      <c r="Q40" s="24">
        <f t="shared" si="2"/>
        <v>0</v>
      </c>
      <c r="R40" s="24">
        <f t="shared" si="3"/>
        <v>0</v>
      </c>
      <c r="S40" s="24">
        <f t="shared" si="4"/>
        <v>0</v>
      </c>
      <c r="T40" s="24">
        <f t="shared" si="5"/>
        <v>0</v>
      </c>
      <c r="U40" s="24">
        <f t="shared" si="6"/>
        <v>0</v>
      </c>
      <c r="V40" s="24">
        <f t="shared" si="7"/>
        <v>0</v>
      </c>
      <c r="W40" s="23">
        <f t="shared" si="11"/>
        <v>0</v>
      </c>
      <c r="X40" s="20">
        <f t="shared" si="0"/>
        <v>0</v>
      </c>
      <c r="Y40" s="4"/>
      <c r="Z40" s="6">
        <f t="shared" si="9"/>
        <v>0</v>
      </c>
      <c r="AA40" s="3"/>
      <c r="AB40" s="31">
        <f t="shared" si="27"/>
        <v>-40</v>
      </c>
      <c r="AC40" s="35">
        <f t="shared" si="28"/>
        <v>6123.5999999999995</v>
      </c>
      <c r="AD40" s="34">
        <v>112994.85414544726</v>
      </c>
      <c r="AE40" s="38">
        <f t="shared" ref="AE40:AE49" si="32">100*((AD40-$AD$29)/$AD$29)</f>
        <v>-4.8033509995465842</v>
      </c>
      <c r="AF40" s="3"/>
      <c r="AG40" s="31">
        <f t="shared" si="29"/>
        <v>-40</v>
      </c>
      <c r="AH40" s="35">
        <f t="shared" si="30"/>
        <v>27000</v>
      </c>
      <c r="AI40" s="34">
        <v>102049.6259116282</v>
      </c>
      <c r="AJ40" s="38">
        <f t="shared" si="31"/>
        <v>-14.024558976535747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spans="1:51" ht="15.75" customHeight="1" x14ac:dyDescent="0.25">
      <c r="A41" s="3"/>
      <c r="B41" s="3"/>
      <c r="C41" s="3"/>
      <c r="D41" s="3"/>
      <c r="E41" s="18" t="s">
        <v>106</v>
      </c>
      <c r="F41" s="7">
        <f>F38*F12</f>
        <v>590.35714285714289</v>
      </c>
      <c r="G41" s="1" t="s">
        <v>49</v>
      </c>
      <c r="H41" s="3"/>
      <c r="I41" s="18" t="s">
        <v>48</v>
      </c>
      <c r="J41" s="51">
        <f>F21*F12/$B$8</f>
        <v>2700</v>
      </c>
      <c r="K41" s="3" t="s">
        <v>49</v>
      </c>
      <c r="L41" s="17"/>
      <c r="M41" s="3"/>
      <c r="N41" s="13">
        <f t="shared" si="10"/>
        <v>0</v>
      </c>
      <c r="O41" s="13"/>
      <c r="P41" s="23">
        <f t="shared" si="1"/>
        <v>0</v>
      </c>
      <c r="Q41" s="24">
        <f t="shared" si="2"/>
        <v>0</v>
      </c>
      <c r="R41" s="24">
        <f t="shared" si="3"/>
        <v>0</v>
      </c>
      <c r="S41" s="24">
        <f t="shared" si="4"/>
        <v>0</v>
      </c>
      <c r="T41" s="24">
        <f t="shared" si="5"/>
        <v>0</v>
      </c>
      <c r="U41" s="24">
        <f t="shared" si="6"/>
        <v>0</v>
      </c>
      <c r="V41" s="24">
        <f t="shared" si="7"/>
        <v>0</v>
      </c>
      <c r="W41" s="23">
        <f t="shared" si="11"/>
        <v>0</v>
      </c>
      <c r="X41" s="20">
        <f t="shared" si="0"/>
        <v>0</v>
      </c>
      <c r="Y41" s="4"/>
      <c r="Z41" s="6">
        <f t="shared" si="9"/>
        <v>0</v>
      </c>
      <c r="AA41" s="3"/>
      <c r="AB41" s="31">
        <f t="shared" si="27"/>
        <v>-30</v>
      </c>
      <c r="AC41" s="35">
        <f t="shared" si="28"/>
        <v>7144.2</v>
      </c>
      <c r="AD41" s="34">
        <v>114420.20354403945</v>
      </c>
      <c r="AE41" s="38">
        <f t="shared" si="32"/>
        <v>-3.6025132496599381</v>
      </c>
      <c r="AF41" s="3"/>
      <c r="AG41" s="31">
        <f t="shared" si="29"/>
        <v>-30</v>
      </c>
      <c r="AH41" s="35">
        <f t="shared" si="30"/>
        <v>31499.999999999996</v>
      </c>
      <c r="AI41" s="34">
        <v>110148.18234401794</v>
      </c>
      <c r="AJ41" s="38">
        <f t="shared" si="31"/>
        <v>-7.2016338094109278</v>
      </c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spans="1:51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17"/>
      <c r="M42" s="3"/>
      <c r="N42" s="13">
        <f t="shared" si="10"/>
        <v>0</v>
      </c>
      <c r="O42" s="13"/>
      <c r="P42" s="23">
        <f t="shared" si="1"/>
        <v>0</v>
      </c>
      <c r="Q42" s="24">
        <f t="shared" si="2"/>
        <v>0</v>
      </c>
      <c r="R42" s="24">
        <f t="shared" si="3"/>
        <v>0</v>
      </c>
      <c r="S42" s="24">
        <f t="shared" si="4"/>
        <v>0</v>
      </c>
      <c r="T42" s="24">
        <f t="shared" si="5"/>
        <v>0</v>
      </c>
      <c r="U42" s="24">
        <f t="shared" si="6"/>
        <v>0</v>
      </c>
      <c r="V42" s="24">
        <f t="shared" si="7"/>
        <v>0</v>
      </c>
      <c r="W42" s="23">
        <f t="shared" si="11"/>
        <v>0</v>
      </c>
      <c r="X42" s="20">
        <f t="shared" si="0"/>
        <v>0</v>
      </c>
      <c r="Y42" s="4"/>
      <c r="Z42" s="6">
        <f t="shared" si="9"/>
        <v>0</v>
      </c>
      <c r="AA42" s="3"/>
      <c r="AB42" s="31">
        <f t="shared" si="27"/>
        <v>-20</v>
      </c>
      <c r="AC42" s="35">
        <f t="shared" si="28"/>
        <v>8164.8</v>
      </c>
      <c r="AD42" s="34">
        <v>115845.55294263162</v>
      </c>
      <c r="AE42" s="38">
        <f t="shared" si="32"/>
        <v>-2.401675499773317</v>
      </c>
      <c r="AF42" s="3"/>
      <c r="AG42" s="31">
        <f t="shared" si="29"/>
        <v>-20</v>
      </c>
      <c r="AH42" s="35">
        <f t="shared" si="30"/>
        <v>36000</v>
      </c>
      <c r="AI42" s="34">
        <v>112708.07845762381</v>
      </c>
      <c r="AJ42" s="38">
        <f t="shared" si="31"/>
        <v>-5.044955669972123</v>
      </c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spans="1:51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17"/>
      <c r="M43" s="3"/>
      <c r="N43" s="13">
        <f t="shared" si="10"/>
        <v>0</v>
      </c>
      <c r="O43" s="13"/>
      <c r="P43" s="23">
        <f t="shared" si="1"/>
        <v>0</v>
      </c>
      <c r="Q43" s="24">
        <f t="shared" si="2"/>
        <v>0</v>
      </c>
      <c r="R43" s="24">
        <f t="shared" si="3"/>
        <v>0</v>
      </c>
      <c r="S43" s="24">
        <f t="shared" si="4"/>
        <v>0</v>
      </c>
      <c r="T43" s="24">
        <f t="shared" si="5"/>
        <v>0</v>
      </c>
      <c r="U43" s="24">
        <f t="shared" si="6"/>
        <v>0</v>
      </c>
      <c r="V43" s="24">
        <f t="shared" si="7"/>
        <v>0</v>
      </c>
      <c r="W43" s="23">
        <f t="shared" si="11"/>
        <v>0</v>
      </c>
      <c r="X43" s="20">
        <f t="shared" si="0"/>
        <v>0</v>
      </c>
      <c r="Y43" s="4"/>
      <c r="Z43" s="6">
        <f t="shared" si="9"/>
        <v>0</v>
      </c>
      <c r="AA43" s="3"/>
      <c r="AB43" s="31">
        <f t="shared" si="27"/>
        <v>-10</v>
      </c>
      <c r="AC43" s="35">
        <f t="shared" si="28"/>
        <v>9185.4</v>
      </c>
      <c r="AD43" s="34">
        <v>117270.90234122383</v>
      </c>
      <c r="AE43" s="38">
        <f t="shared" si="32"/>
        <v>-1.2008377498866585</v>
      </c>
      <c r="AF43" s="3"/>
      <c r="AG43" s="31">
        <f t="shared" si="29"/>
        <v>-10</v>
      </c>
      <c r="AH43" s="35">
        <f t="shared" si="30"/>
        <v>40500</v>
      </c>
      <c r="AI43" s="34">
        <v>116136.35562621018</v>
      </c>
      <c r="AJ43" s="38">
        <f t="shared" si="31"/>
        <v>-2.1566781394388048</v>
      </c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spans="1:51" ht="15.75" customHeight="1" x14ac:dyDescent="0.25">
      <c r="A44" s="25" t="s">
        <v>107</v>
      </c>
      <c r="B44" s="4"/>
      <c r="C44" s="2"/>
      <c r="D44" s="3"/>
      <c r="E44" s="3"/>
      <c r="F44" s="3"/>
      <c r="G44" s="3"/>
      <c r="H44" s="3"/>
      <c r="I44" s="3"/>
      <c r="J44" s="3"/>
      <c r="K44" s="3"/>
      <c r="L44" s="17"/>
      <c r="M44" s="3"/>
      <c r="N44" s="13">
        <f t="shared" si="10"/>
        <v>0</v>
      </c>
      <c r="O44" s="13"/>
      <c r="P44" s="23">
        <f t="shared" si="1"/>
        <v>0</v>
      </c>
      <c r="Q44" s="24">
        <f t="shared" si="2"/>
        <v>0</v>
      </c>
      <c r="R44" s="24">
        <f t="shared" si="3"/>
        <v>0</v>
      </c>
      <c r="S44" s="24">
        <f t="shared" si="4"/>
        <v>0</v>
      </c>
      <c r="T44" s="24">
        <f t="shared" si="5"/>
        <v>0</v>
      </c>
      <c r="U44" s="24">
        <f t="shared" si="6"/>
        <v>0</v>
      </c>
      <c r="V44" s="24">
        <f t="shared" si="7"/>
        <v>0</v>
      </c>
      <c r="W44" s="23">
        <f t="shared" si="11"/>
        <v>0</v>
      </c>
      <c r="X44" s="20">
        <f t="shared" si="0"/>
        <v>0</v>
      </c>
      <c r="Y44" s="4"/>
      <c r="Z44" s="6">
        <f t="shared" si="9"/>
        <v>0</v>
      </c>
      <c r="AA44" s="3"/>
      <c r="AB44" s="43">
        <v>0</v>
      </c>
      <c r="AC44" s="47">
        <f t="shared" si="28"/>
        <v>10206</v>
      </c>
      <c r="AD44" s="45">
        <v>118696.25173981604</v>
      </c>
      <c r="AE44" s="46">
        <f t="shared" si="32"/>
        <v>0</v>
      </c>
      <c r="AF44" s="3"/>
      <c r="AG44" s="43">
        <v>0</v>
      </c>
      <c r="AH44" s="47">
        <f t="shared" si="30"/>
        <v>45000</v>
      </c>
      <c r="AI44" s="45">
        <v>118696.25173981604</v>
      </c>
      <c r="AJ44" s="46">
        <f t="shared" si="31"/>
        <v>0</v>
      </c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spans="1:51" ht="15.75" customHeight="1" x14ac:dyDescent="0.25">
      <c r="A45" s="18" t="s">
        <v>160</v>
      </c>
      <c r="B45" s="6">
        <f>J8/B8</f>
        <v>42580.645161290326</v>
      </c>
      <c r="C45" s="3" t="s">
        <v>3</v>
      </c>
      <c r="D45" s="3"/>
      <c r="E45" s="2" t="s">
        <v>149</v>
      </c>
      <c r="F45" s="3"/>
      <c r="G45" s="3"/>
      <c r="H45" s="3"/>
      <c r="I45" s="2" t="s">
        <v>108</v>
      </c>
      <c r="J45" s="3"/>
      <c r="K45" s="3"/>
      <c r="L45" s="17"/>
      <c r="M45" s="3"/>
      <c r="N45" s="13">
        <f t="shared" si="10"/>
        <v>0</v>
      </c>
      <c r="O45" s="13"/>
      <c r="P45" s="23">
        <f t="shared" si="1"/>
        <v>0</v>
      </c>
      <c r="Q45" s="24">
        <f t="shared" si="2"/>
        <v>0</v>
      </c>
      <c r="R45" s="24">
        <f t="shared" si="3"/>
        <v>0</v>
      </c>
      <c r="S45" s="24">
        <f t="shared" si="4"/>
        <v>0</v>
      </c>
      <c r="T45" s="24">
        <f t="shared" si="5"/>
        <v>0</v>
      </c>
      <c r="U45" s="24">
        <f t="shared" si="6"/>
        <v>0</v>
      </c>
      <c r="V45" s="24">
        <f t="shared" si="7"/>
        <v>0</v>
      </c>
      <c r="W45" s="23">
        <f t="shared" si="11"/>
        <v>0</v>
      </c>
      <c r="X45" s="20">
        <f t="shared" si="0"/>
        <v>0</v>
      </c>
      <c r="Y45" s="4"/>
      <c r="Z45" s="6">
        <f t="shared" si="9"/>
        <v>0</v>
      </c>
      <c r="AA45" s="3"/>
      <c r="AB45" s="31">
        <f t="shared" ref="AB45:AB49" si="33">AB44+10</f>
        <v>10</v>
      </c>
      <c r="AC45" s="35">
        <f t="shared" si="28"/>
        <v>11226.6</v>
      </c>
      <c r="AD45" s="34">
        <v>120121.60113840827</v>
      </c>
      <c r="AE45" s="38">
        <f t="shared" si="32"/>
        <v>1.2008377498866705</v>
      </c>
      <c r="AF45" s="3"/>
      <c r="AG45" s="31">
        <f t="shared" ref="AG45:AG49" si="34">AG44+10</f>
        <v>10</v>
      </c>
      <c r="AH45" s="35">
        <f t="shared" si="30"/>
        <v>49500.000000000007</v>
      </c>
      <c r="AI45" s="34">
        <v>127678.44408760002</v>
      </c>
      <c r="AJ45" s="38">
        <f t="shared" si="31"/>
        <v>7.5673765735021465</v>
      </c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spans="1:51" ht="15.75" customHeight="1" x14ac:dyDescent="0.25">
      <c r="A46" s="18" t="s">
        <v>109</v>
      </c>
      <c r="B46" s="6">
        <f>IF(J24="No",J10*J11,0)</f>
        <v>8505</v>
      </c>
      <c r="C46" s="3" t="s">
        <v>3</v>
      </c>
      <c r="D46" s="3"/>
      <c r="E46" s="18" t="s">
        <v>155</v>
      </c>
      <c r="F46" s="69">
        <f>(((1+(B11/100))*J10*J11)*(1+(B12%+B13%+B14%+B15%+B16%+B17%)))</f>
        <v>13400.477999999999</v>
      </c>
      <c r="G46" s="3" t="s">
        <v>3</v>
      </c>
      <c r="H46" s="3"/>
      <c r="I46" s="18" t="s">
        <v>66</v>
      </c>
      <c r="J46" s="22">
        <f>(((F17/100)*B49)/$B$8)</f>
        <v>1.1968636866359446</v>
      </c>
      <c r="K46" s="3" t="s">
        <v>49</v>
      </c>
      <c r="L46" s="17"/>
      <c r="M46" s="3"/>
      <c r="N46" s="13">
        <f t="shared" si="10"/>
        <v>0</v>
      </c>
      <c r="O46" s="13"/>
      <c r="P46" s="23">
        <f t="shared" si="1"/>
        <v>0</v>
      </c>
      <c r="Q46" s="24">
        <f t="shared" si="2"/>
        <v>0</v>
      </c>
      <c r="R46" s="24">
        <f t="shared" si="3"/>
        <v>0</v>
      </c>
      <c r="S46" s="24">
        <f t="shared" si="4"/>
        <v>0</v>
      </c>
      <c r="T46" s="24">
        <f t="shared" si="5"/>
        <v>0</v>
      </c>
      <c r="U46" s="24">
        <f t="shared" si="6"/>
        <v>0</v>
      </c>
      <c r="V46" s="24">
        <f t="shared" si="7"/>
        <v>0</v>
      </c>
      <c r="W46" s="23">
        <f t="shared" si="11"/>
        <v>0</v>
      </c>
      <c r="X46" s="20">
        <f t="shared" si="0"/>
        <v>0</v>
      </c>
      <c r="Y46" s="4"/>
      <c r="Z46" s="6">
        <f t="shared" si="9"/>
        <v>0</v>
      </c>
      <c r="AA46" s="3"/>
      <c r="AB46" s="31">
        <f t="shared" si="33"/>
        <v>20</v>
      </c>
      <c r="AC46" s="35">
        <f t="shared" si="28"/>
        <v>12247.199999999999</v>
      </c>
      <c r="AD46" s="34">
        <v>121546.95053700042</v>
      </c>
      <c r="AE46" s="38">
        <f t="shared" si="32"/>
        <v>2.4016754997732801</v>
      </c>
      <c r="AF46" s="3"/>
      <c r="AG46" s="31">
        <f t="shared" si="34"/>
        <v>20</v>
      </c>
      <c r="AH46" s="35">
        <f t="shared" si="30"/>
        <v>54000</v>
      </c>
      <c r="AI46" s="34">
        <v>130238.34020120585</v>
      </c>
      <c r="AJ46" s="38">
        <f t="shared" si="31"/>
        <v>9.7240547129409265</v>
      </c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spans="1:51" ht="15.75" customHeight="1" x14ac:dyDescent="0.25">
      <c r="A47" s="27" t="s">
        <v>110</v>
      </c>
      <c r="B47" s="26">
        <f>(1+(B11/100))*B45</f>
        <v>51096.774193548386</v>
      </c>
      <c r="C47" s="3" t="s">
        <v>3</v>
      </c>
      <c r="D47" s="3"/>
      <c r="E47" s="3" t="s">
        <v>156</v>
      </c>
      <c r="F47" s="69">
        <f>((J22%)*F46)+(((1-J22%)*F46)*(1+(F22%*J21)))</f>
        <v>18090.645299999996</v>
      </c>
      <c r="G47" s="3" t="s">
        <v>3</v>
      </c>
      <c r="H47" s="3"/>
      <c r="I47" s="3"/>
      <c r="J47" s="3"/>
      <c r="K47" s="3"/>
      <c r="L47" s="17"/>
      <c r="M47" s="3"/>
      <c r="N47" s="13">
        <f t="shared" si="10"/>
        <v>0</v>
      </c>
      <c r="O47" s="13"/>
      <c r="P47" s="23">
        <f t="shared" si="1"/>
        <v>0</v>
      </c>
      <c r="Q47" s="24">
        <f t="shared" si="2"/>
        <v>0</v>
      </c>
      <c r="R47" s="24">
        <f t="shared" si="3"/>
        <v>0</v>
      </c>
      <c r="S47" s="24">
        <f t="shared" si="4"/>
        <v>0</v>
      </c>
      <c r="T47" s="24">
        <f t="shared" si="5"/>
        <v>0</v>
      </c>
      <c r="U47" s="24">
        <f t="shared" si="6"/>
        <v>0</v>
      </c>
      <c r="V47" s="24">
        <f t="shared" si="7"/>
        <v>0</v>
      </c>
      <c r="W47" s="23">
        <f t="shared" si="11"/>
        <v>0</v>
      </c>
      <c r="X47" s="20">
        <f t="shared" si="0"/>
        <v>0</v>
      </c>
      <c r="Y47" s="4"/>
      <c r="Z47" s="6">
        <f t="shared" si="9"/>
        <v>0</v>
      </c>
      <c r="AA47" s="3"/>
      <c r="AB47" s="31">
        <f t="shared" si="33"/>
        <v>30</v>
      </c>
      <c r="AC47" s="35">
        <f t="shared" si="28"/>
        <v>13267.800000000001</v>
      </c>
      <c r="AD47" s="34">
        <v>122972.29993559263</v>
      </c>
      <c r="AE47" s="38">
        <f t="shared" si="32"/>
        <v>3.6025132496599381</v>
      </c>
      <c r="AF47" s="3"/>
      <c r="AG47" s="31">
        <f t="shared" si="34"/>
        <v>30</v>
      </c>
      <c r="AH47" s="35">
        <f t="shared" si="30"/>
        <v>58500</v>
      </c>
      <c r="AI47" s="34">
        <v>132798.23631481174</v>
      </c>
      <c r="AJ47" s="38">
        <f t="shared" si="31"/>
        <v>11.880732852379756</v>
      </c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1:51" ht="15.75" customHeight="1" x14ac:dyDescent="0.25">
      <c r="A48" s="52" t="s">
        <v>111</v>
      </c>
      <c r="B48" s="53">
        <f>(1+(B11/100))*B46</f>
        <v>10206</v>
      </c>
      <c r="C48" s="1" t="s">
        <v>3</v>
      </c>
      <c r="D48" s="3"/>
      <c r="E48" s="3" t="s">
        <v>92</v>
      </c>
      <c r="F48" s="69">
        <f>J12*J13</f>
        <v>180000</v>
      </c>
      <c r="G48" s="3" t="s">
        <v>96</v>
      </c>
      <c r="H48" s="3"/>
      <c r="I48" s="3"/>
      <c r="J48" s="3"/>
      <c r="K48" s="3"/>
      <c r="L48" s="17"/>
      <c r="M48" s="3"/>
      <c r="N48" s="13">
        <f t="shared" si="10"/>
        <v>0</v>
      </c>
      <c r="O48" s="13"/>
      <c r="P48" s="23">
        <f t="shared" si="1"/>
        <v>0</v>
      </c>
      <c r="Q48" s="24">
        <f t="shared" si="2"/>
        <v>0</v>
      </c>
      <c r="R48" s="24">
        <f t="shared" si="3"/>
        <v>0</v>
      </c>
      <c r="S48" s="24">
        <f t="shared" si="4"/>
        <v>0</v>
      </c>
      <c r="T48" s="24">
        <f t="shared" si="5"/>
        <v>0</v>
      </c>
      <c r="U48" s="24">
        <f t="shared" si="6"/>
        <v>0</v>
      </c>
      <c r="V48" s="24">
        <f t="shared" si="7"/>
        <v>0</v>
      </c>
      <c r="W48" s="23">
        <f t="shared" si="11"/>
        <v>0</v>
      </c>
      <c r="X48" s="20">
        <f t="shared" si="0"/>
        <v>0</v>
      </c>
      <c r="Y48" s="4"/>
      <c r="Z48" s="6">
        <f t="shared" si="9"/>
        <v>0</v>
      </c>
      <c r="AA48" s="3"/>
      <c r="AB48" s="31">
        <f t="shared" si="33"/>
        <v>40</v>
      </c>
      <c r="AC48" s="35">
        <f t="shared" si="28"/>
        <v>14288.4</v>
      </c>
      <c r="AD48" s="34">
        <v>124397.64933418483</v>
      </c>
      <c r="AE48" s="38">
        <f t="shared" si="32"/>
        <v>4.8033509995465842</v>
      </c>
      <c r="AF48" s="3"/>
      <c r="AG48" s="31">
        <f t="shared" si="34"/>
        <v>40</v>
      </c>
      <c r="AH48" s="35">
        <f t="shared" si="30"/>
        <v>62999.999999999993</v>
      </c>
      <c r="AI48" s="34">
        <v>148218.01607828384</v>
      </c>
      <c r="AJ48" s="38">
        <f t="shared" si="31"/>
        <v>24.871690475264497</v>
      </c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1:51" ht="15.75" customHeight="1" x14ac:dyDescent="0.25">
      <c r="A49" s="3" t="s">
        <v>112</v>
      </c>
      <c r="B49" s="26">
        <f>B47+B48</f>
        <v>61302.774193548386</v>
      </c>
      <c r="C49" s="3" t="s">
        <v>3</v>
      </c>
      <c r="D49" s="3"/>
      <c r="E49" s="3" t="s">
        <v>151</v>
      </c>
      <c r="F49" s="70">
        <f>(F47/F48)*J25</f>
        <v>0.13065466049999996</v>
      </c>
      <c r="G49" s="3" t="s">
        <v>4</v>
      </c>
      <c r="H49" s="3"/>
      <c r="I49" s="3"/>
      <c r="J49" s="3"/>
      <c r="K49" s="3"/>
      <c r="L49" s="17"/>
      <c r="M49" s="3"/>
      <c r="N49" s="14" t="s">
        <v>113</v>
      </c>
      <c r="O49" s="20">
        <f t="shared" ref="O49:X49" si="35">SUM(O8:O48)</f>
        <v>24147.162754838708</v>
      </c>
      <c r="P49" s="20">
        <f t="shared" si="35"/>
        <v>73181.204466299736</v>
      </c>
      <c r="Q49" s="20">
        <f t="shared" si="35"/>
        <v>4750.2768272595531</v>
      </c>
      <c r="R49" s="20">
        <f t="shared" si="35"/>
        <v>0</v>
      </c>
      <c r="S49" s="20">
        <f t="shared" si="35"/>
        <v>20860.42481794396</v>
      </c>
      <c r="T49" s="20">
        <f t="shared" si="35"/>
        <v>9.2418641345696795</v>
      </c>
      <c r="U49" s="20">
        <f t="shared" si="35"/>
        <v>12753.603322158941</v>
      </c>
      <c r="V49" s="20">
        <f t="shared" si="35"/>
        <v>0</v>
      </c>
      <c r="W49" s="20">
        <f t="shared" si="35"/>
        <v>-17005.662312819433</v>
      </c>
      <c r="X49" s="20">
        <f t="shared" si="35"/>
        <v>118696.25173981604</v>
      </c>
      <c r="Y49" s="4"/>
      <c r="Z49" s="4"/>
      <c r="AA49" s="3"/>
      <c r="AB49" s="31">
        <f t="shared" si="33"/>
        <v>50</v>
      </c>
      <c r="AC49" s="35">
        <f t="shared" si="28"/>
        <v>15309</v>
      </c>
      <c r="AD49" s="34">
        <v>125822.99873277704</v>
      </c>
      <c r="AE49" s="38">
        <f t="shared" si="32"/>
        <v>6.0041887494332427</v>
      </c>
      <c r="AF49" s="3"/>
      <c r="AG49" s="31">
        <f t="shared" si="34"/>
        <v>50</v>
      </c>
      <c r="AH49" s="35">
        <f t="shared" si="30"/>
        <v>67500</v>
      </c>
      <c r="AI49" s="34">
        <v>150777.91219188969</v>
      </c>
      <c r="AJ49" s="38">
        <f t="shared" si="31"/>
        <v>27.028368614703286</v>
      </c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1:51" ht="15.75" customHeight="1" x14ac:dyDescent="0.25">
      <c r="A50" s="27" t="s">
        <v>114</v>
      </c>
      <c r="B50" s="6">
        <f>SUM(B33:B37)+SUM(B49)</f>
        <v>80490.542516129033</v>
      </c>
      <c r="C50" s="3" t="s">
        <v>3</v>
      </c>
      <c r="D50" s="3"/>
      <c r="E50" s="3" t="s">
        <v>152</v>
      </c>
      <c r="F50" s="6">
        <f>J26*365</f>
        <v>36500</v>
      </c>
      <c r="G50" s="3" t="s">
        <v>43</v>
      </c>
      <c r="H50" s="3"/>
      <c r="I50" s="3"/>
      <c r="J50" s="3"/>
      <c r="K50" s="3"/>
      <c r="L50" s="17"/>
      <c r="M50" s="3"/>
      <c r="N50" s="3"/>
      <c r="O50" s="3"/>
      <c r="P50" s="6"/>
      <c r="Q50" s="3"/>
      <c r="R50" s="3"/>
      <c r="S50" s="26">
        <f>SUM(S49:T49)</f>
        <v>20869.666682078529</v>
      </c>
      <c r="T50" s="3"/>
      <c r="U50" s="3"/>
      <c r="V50" s="3"/>
      <c r="W50" s="3"/>
      <c r="X50" s="26"/>
      <c r="Y50" s="26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spans="1:51" ht="15.75" customHeight="1" x14ac:dyDescent="0.25">
      <c r="A51" s="27" t="s">
        <v>115</v>
      </c>
      <c r="B51" s="6">
        <f>SUM(B31:B32)</f>
        <v>0</v>
      </c>
      <c r="C51" s="3" t="s">
        <v>3</v>
      </c>
      <c r="D51" s="3"/>
      <c r="E51" s="3" t="s">
        <v>153</v>
      </c>
      <c r="F51" s="8">
        <f>F49*F50</f>
        <v>4768.8951082499989</v>
      </c>
      <c r="G51" s="71" t="s">
        <v>49</v>
      </c>
      <c r="H51" s="3"/>
      <c r="I51" s="3"/>
      <c r="J51" s="3"/>
      <c r="K51" s="3"/>
      <c r="L51" s="17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0" t="s">
        <v>48</v>
      </c>
      <c r="AC51" s="31"/>
      <c r="AD51" s="31"/>
      <c r="AE51" s="31"/>
      <c r="AF51" s="3"/>
      <c r="AG51" s="30" t="s">
        <v>147</v>
      </c>
      <c r="AH51" s="31"/>
      <c r="AI51" s="31"/>
      <c r="AJ51" s="31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spans="1:51" ht="15.75" customHeight="1" x14ac:dyDescent="0.25">
      <c r="A52" s="27" t="s">
        <v>159</v>
      </c>
      <c r="B52" s="6">
        <f>B50-B51</f>
        <v>80490.542516129033</v>
      </c>
      <c r="C52" s="3" t="s">
        <v>3</v>
      </c>
      <c r="D52" s="3"/>
      <c r="E52" s="3" t="s">
        <v>154</v>
      </c>
      <c r="F52" s="72">
        <f>IF(F12&gt;F50,(F12-F50)*F49,0)</f>
        <v>1110.5646142499997</v>
      </c>
      <c r="G52" s="71" t="s">
        <v>49</v>
      </c>
      <c r="H52" s="3"/>
      <c r="I52" s="3"/>
      <c r="J52" s="3"/>
      <c r="K52" s="3"/>
      <c r="L52" s="17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1" t="s">
        <v>79</v>
      </c>
      <c r="AC52" s="31" t="s">
        <v>116</v>
      </c>
      <c r="AD52" s="31" t="s">
        <v>23</v>
      </c>
      <c r="AE52" s="31" t="s">
        <v>81</v>
      </c>
      <c r="AF52" s="3"/>
      <c r="AG52" s="31" t="s">
        <v>79</v>
      </c>
      <c r="AH52" s="31" t="s">
        <v>157</v>
      </c>
      <c r="AI52" s="31" t="s">
        <v>23</v>
      </c>
      <c r="AJ52" s="31" t="s">
        <v>81</v>
      </c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spans="1:51" ht="15.75" customHeight="1" x14ac:dyDescent="0.25">
      <c r="A53" s="40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2"/>
      <c r="M53" s="3"/>
      <c r="N53" s="3"/>
      <c r="O53" s="2" t="s">
        <v>138</v>
      </c>
      <c r="P53" s="2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1" t="s">
        <v>84</v>
      </c>
      <c r="AC53" s="35">
        <v>2700</v>
      </c>
      <c r="AD53" s="34">
        <f>X49</f>
        <v>118696.25173981604</v>
      </c>
      <c r="AE53" s="31"/>
      <c r="AF53" s="3"/>
      <c r="AG53" s="31" t="s">
        <v>84</v>
      </c>
      <c r="AH53" s="35">
        <v>100</v>
      </c>
      <c r="AI53" s="34">
        <f>X49</f>
        <v>118696.25173981604</v>
      </c>
      <c r="AJ53" s="31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spans="1:51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54"/>
      <c r="O54" s="55" t="s">
        <v>118</v>
      </c>
      <c r="P54" s="56" t="s">
        <v>119</v>
      </c>
      <c r="Q54" s="54"/>
      <c r="R54" s="54"/>
      <c r="S54" s="54"/>
      <c r="T54" s="54"/>
      <c r="U54" s="54"/>
      <c r="V54" s="57"/>
      <c r="W54" s="3"/>
      <c r="X54" s="7"/>
      <c r="Y54" s="7"/>
      <c r="Z54" s="57"/>
      <c r="AA54" s="7"/>
      <c r="AB54" s="31">
        <f t="shared" ref="AB54:AB58" si="36">AB55-10</f>
        <v>-50</v>
      </c>
      <c r="AC54" s="35">
        <f t="shared" ref="AC54:AC64" si="37">$AC$53*(1+(AB54/100))</f>
        <v>1350</v>
      </c>
      <c r="AD54" s="34">
        <f t="dataTable" ref="AD54:AD64" dt2D="0" dtr="0" r1="J41" ca="1"/>
        <v>108271.90958541655</v>
      </c>
      <c r="AE54" s="38">
        <f t="shared" ref="AE54:AE64" si="38">100*((AD54-$AI$29)/$AI$29)</f>
        <v>-8.782368441802026</v>
      </c>
      <c r="AF54" s="3"/>
      <c r="AG54" s="31">
        <f t="shared" ref="AG54:AG56" si="39">AG55-20</f>
        <v>-100</v>
      </c>
      <c r="AH54" s="35">
        <f>$AH$53*(1+(AG54/100))</f>
        <v>0</v>
      </c>
      <c r="AI54" s="34">
        <f t="dataTable" ref="AI54:AI64" dt2D="0" dtr="0" r1="J26" ca="1"/>
        <v>118696.25173981604</v>
      </c>
      <c r="AJ54" s="38">
        <f>100*((AI54-$AI$59)/$AI$59)</f>
        <v>0</v>
      </c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spans="1:51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 t="s">
        <v>120</v>
      </c>
      <c r="P55" s="26">
        <f>SUM(O49:P49)</f>
        <v>97328.36722113844</v>
      </c>
      <c r="Q55" s="3" t="s">
        <v>3</v>
      </c>
      <c r="R55" s="50">
        <f t="shared" ref="R55:R59" si="40">P55/$J$34</f>
        <v>0.21628526049141875</v>
      </c>
      <c r="S55" s="3" t="s">
        <v>4</v>
      </c>
      <c r="T55" s="3"/>
      <c r="U55" s="3"/>
      <c r="V55" s="57"/>
      <c r="W55" s="3"/>
      <c r="X55" s="7"/>
      <c r="Y55" s="7"/>
      <c r="Z55" s="57"/>
      <c r="AA55" s="7"/>
      <c r="AB55" s="31">
        <f t="shared" si="36"/>
        <v>-40</v>
      </c>
      <c r="AC55" s="35">
        <f t="shared" si="37"/>
        <v>1620</v>
      </c>
      <c r="AD55" s="34">
        <v>110356.77801629645</v>
      </c>
      <c r="AE55" s="38">
        <f t="shared" si="38"/>
        <v>-7.0258947534416212</v>
      </c>
      <c r="AF55" s="3"/>
      <c r="AG55" s="31">
        <f t="shared" si="39"/>
        <v>-80</v>
      </c>
      <c r="AH55" s="35">
        <f t="shared" ref="AH55:AH64" si="41">$AH$53*(1+(AG55/100))</f>
        <v>19.999999999999996</v>
      </c>
      <c r="AI55" s="34">
        <v>118696.25173981604</v>
      </c>
      <c r="AJ55" s="38">
        <f t="shared" ref="AJ55:AJ64" si="42">100*((AI55-$AI$59)/$AI$59)</f>
        <v>0</v>
      </c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spans="1:51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 t="s">
        <v>97</v>
      </c>
      <c r="P56" s="26">
        <f>SUM(Q49:R49)</f>
        <v>4750.2768272595531</v>
      </c>
      <c r="Q56" s="3" t="s">
        <v>3</v>
      </c>
      <c r="R56" s="50">
        <f t="shared" si="40"/>
        <v>1.0556170727243451E-2</v>
      </c>
      <c r="S56" s="3" t="s">
        <v>4</v>
      </c>
      <c r="T56" s="3"/>
      <c r="U56" s="3"/>
      <c r="V56" s="57"/>
      <c r="W56" s="3"/>
      <c r="X56" s="7"/>
      <c r="Y56" s="7"/>
      <c r="Z56" s="57"/>
      <c r="AA56" s="7"/>
      <c r="AB56" s="31">
        <f t="shared" si="36"/>
        <v>-30</v>
      </c>
      <c r="AC56" s="35">
        <f t="shared" si="37"/>
        <v>1889.9999999999998</v>
      </c>
      <c r="AD56" s="34">
        <v>112441.64644717633</v>
      </c>
      <c r="AE56" s="38">
        <f t="shared" si="38"/>
        <v>-5.2694210650812279</v>
      </c>
      <c r="AF56" s="3"/>
      <c r="AG56" s="31">
        <f t="shared" si="39"/>
        <v>-60</v>
      </c>
      <c r="AH56" s="35">
        <f t="shared" si="41"/>
        <v>40</v>
      </c>
      <c r="AI56" s="34">
        <v>118696.25173981604</v>
      </c>
      <c r="AJ56" s="38">
        <f t="shared" si="42"/>
        <v>0</v>
      </c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spans="1:51" ht="15.75" customHeight="1" x14ac:dyDescent="0.25">
      <c r="A57" s="59">
        <v>55114.8</v>
      </c>
      <c r="B57" s="59">
        <v>43742</v>
      </c>
      <c r="C57" s="59">
        <v>13122.6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 t="s">
        <v>121</v>
      </c>
      <c r="P57" s="26">
        <f>SUM(S49:T49)</f>
        <v>20869.666682078529</v>
      </c>
      <c r="Q57" s="3" t="s">
        <v>3</v>
      </c>
      <c r="R57" s="50">
        <f t="shared" si="40"/>
        <v>4.6377037071285619E-2</v>
      </c>
      <c r="S57" s="3" t="s">
        <v>4</v>
      </c>
      <c r="T57" s="3"/>
      <c r="U57" s="3"/>
      <c r="V57" s="57"/>
      <c r="W57" s="3"/>
      <c r="X57" s="7"/>
      <c r="Y57" s="7"/>
      <c r="Z57" s="57"/>
      <c r="AA57" s="7"/>
      <c r="AB57" s="31">
        <f t="shared" si="36"/>
        <v>-20</v>
      </c>
      <c r="AC57" s="35">
        <f t="shared" si="37"/>
        <v>2160</v>
      </c>
      <c r="AD57" s="34">
        <v>114526.51487805624</v>
      </c>
      <c r="AE57" s="38">
        <f t="shared" si="38"/>
        <v>-3.5129473767208106</v>
      </c>
      <c r="AF57" s="3"/>
      <c r="AG57" s="31">
        <f>AG58-20</f>
        <v>-40</v>
      </c>
      <c r="AH57" s="35">
        <f t="shared" si="41"/>
        <v>60</v>
      </c>
      <c r="AI57" s="34">
        <v>118696.25173981604</v>
      </c>
      <c r="AJ57" s="38">
        <f t="shared" si="42"/>
        <v>0</v>
      </c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spans="1:51" ht="15.75" customHeight="1" x14ac:dyDescent="0.25">
      <c r="A58" s="59">
        <v>218709.67741935499</v>
      </c>
      <c r="B58" s="59">
        <f t="shared" ref="B58:C58" si="43">A58</f>
        <v>218709.67741935499</v>
      </c>
      <c r="C58" s="59">
        <f t="shared" si="43"/>
        <v>218709.67741935499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 t="s">
        <v>122</v>
      </c>
      <c r="P58" s="26">
        <f>SUM(U49:V49)</f>
        <v>12753.603322158941</v>
      </c>
      <c r="Q58" s="3" t="s">
        <v>3</v>
      </c>
      <c r="R58" s="50">
        <f t="shared" si="40"/>
        <v>2.8341340715908755E-2</v>
      </c>
      <c r="S58" s="3" t="s">
        <v>4</v>
      </c>
      <c r="T58" s="3"/>
      <c r="U58" s="3"/>
      <c r="V58" s="57"/>
      <c r="W58" s="3"/>
      <c r="X58" s="7"/>
      <c r="Y58" s="7"/>
      <c r="Z58" s="57"/>
      <c r="AA58" s="7"/>
      <c r="AB58" s="31">
        <f t="shared" si="36"/>
        <v>-10</v>
      </c>
      <c r="AC58" s="35">
        <f t="shared" si="37"/>
        <v>2430</v>
      </c>
      <c r="AD58" s="34">
        <v>116611.38330893614</v>
      </c>
      <c r="AE58" s="38">
        <f t="shared" si="38"/>
        <v>-1.7564736883604053</v>
      </c>
      <c r="AF58" s="3"/>
      <c r="AG58" s="31">
        <f>AG59-20</f>
        <v>-20</v>
      </c>
      <c r="AH58" s="35">
        <f t="shared" si="41"/>
        <v>80</v>
      </c>
      <c r="AI58" s="34">
        <v>118696.25173981604</v>
      </c>
      <c r="AJ58" s="38">
        <f t="shared" si="42"/>
        <v>0</v>
      </c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spans="1:51" ht="15.75" customHeight="1" x14ac:dyDescent="0.25">
      <c r="A59" s="3">
        <f t="shared" ref="A59:C59" si="44">(A57/A58)*100</f>
        <v>25.199982300884937</v>
      </c>
      <c r="B59" s="3">
        <f t="shared" si="44"/>
        <v>20.000029498525059</v>
      </c>
      <c r="C59" s="3">
        <f t="shared" si="44"/>
        <v>6.0000088495575179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 t="s">
        <v>123</v>
      </c>
      <c r="P59" s="26">
        <f>W49</f>
        <v>-17005.662312819433</v>
      </c>
      <c r="Q59" s="3" t="s">
        <v>3</v>
      </c>
      <c r="R59" s="50">
        <f t="shared" si="40"/>
        <v>-3.7790360695154297E-2</v>
      </c>
      <c r="S59" s="3" t="s">
        <v>4</v>
      </c>
      <c r="T59" s="3"/>
      <c r="U59" s="3"/>
      <c r="V59" s="57"/>
      <c r="W59" s="3"/>
      <c r="X59" s="7"/>
      <c r="Y59" s="7"/>
      <c r="Z59" s="57"/>
      <c r="AA59" s="7"/>
      <c r="AB59" s="43">
        <v>0</v>
      </c>
      <c r="AC59" s="47">
        <f t="shared" si="37"/>
        <v>2700</v>
      </c>
      <c r="AD59" s="45">
        <v>118696.25173981604</v>
      </c>
      <c r="AE59" s="46">
        <f t="shared" si="38"/>
        <v>0</v>
      </c>
      <c r="AF59" s="3"/>
      <c r="AG59" s="43">
        <v>0</v>
      </c>
      <c r="AH59" s="74">
        <f t="shared" si="41"/>
        <v>100</v>
      </c>
      <c r="AI59" s="45">
        <v>118696.25173981604</v>
      </c>
      <c r="AJ59" s="75">
        <f t="shared" si="42"/>
        <v>0</v>
      </c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spans="1:51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2" t="s">
        <v>2</v>
      </c>
      <c r="P60" s="4">
        <f>SUM(P55:P59)</f>
        <v>118696.25173981603</v>
      </c>
      <c r="Q60" s="2" t="s">
        <v>3</v>
      </c>
      <c r="R60" s="51">
        <f>SUM(R55:R59)</f>
        <v>0.26376944831070231</v>
      </c>
      <c r="S60" s="2" t="s">
        <v>4</v>
      </c>
      <c r="T60" s="2"/>
      <c r="U60" s="3"/>
      <c r="V60" s="57"/>
      <c r="W60" s="3"/>
      <c r="X60" s="7"/>
      <c r="Y60" s="7"/>
      <c r="Z60" s="57"/>
      <c r="AA60" s="7"/>
      <c r="AB60" s="31">
        <f t="shared" ref="AB60:AB64" si="45">AB59+10</f>
        <v>10</v>
      </c>
      <c r="AC60" s="35">
        <f t="shared" si="37"/>
        <v>2970.0000000000005</v>
      </c>
      <c r="AD60" s="34">
        <v>120781.12017069591</v>
      </c>
      <c r="AE60" s="38">
        <f t="shared" si="38"/>
        <v>1.7564736883603806</v>
      </c>
      <c r="AF60" s="3"/>
      <c r="AG60" s="31">
        <f>AG59+20</f>
        <v>20</v>
      </c>
      <c r="AH60" s="35">
        <f t="shared" si="41"/>
        <v>120</v>
      </c>
      <c r="AI60" s="34">
        <v>118696.25173981604</v>
      </c>
      <c r="AJ60" s="38">
        <f t="shared" si="42"/>
        <v>0</v>
      </c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spans="1:51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57"/>
      <c r="W61" s="3"/>
      <c r="X61" s="7"/>
      <c r="Y61" s="7"/>
      <c r="Z61" s="57"/>
      <c r="AA61" s="7"/>
      <c r="AB61" s="31">
        <f t="shared" si="45"/>
        <v>20</v>
      </c>
      <c r="AC61" s="35">
        <f t="shared" si="37"/>
        <v>3240</v>
      </c>
      <c r="AD61" s="34">
        <v>122865.98860157582</v>
      </c>
      <c r="AE61" s="38">
        <f t="shared" si="38"/>
        <v>3.5129473767207977</v>
      </c>
      <c r="AF61" s="3"/>
      <c r="AG61" s="31">
        <f t="shared" ref="AG61:AG64" si="46">AG60+20</f>
        <v>40</v>
      </c>
      <c r="AH61" s="35">
        <f t="shared" si="41"/>
        <v>140</v>
      </c>
      <c r="AI61" s="34">
        <v>118696.25173981604</v>
      </c>
      <c r="AJ61" s="38">
        <f t="shared" si="42"/>
        <v>0</v>
      </c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spans="1:51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57"/>
      <c r="W62" s="3"/>
      <c r="X62" s="7"/>
      <c r="Y62" s="7"/>
      <c r="Z62" s="57"/>
      <c r="AA62" s="7"/>
      <c r="AB62" s="31">
        <f t="shared" si="45"/>
        <v>30</v>
      </c>
      <c r="AC62" s="35">
        <f t="shared" si="37"/>
        <v>3510</v>
      </c>
      <c r="AD62" s="34">
        <v>124950.85703245575</v>
      </c>
      <c r="AE62" s="38">
        <f t="shared" si="38"/>
        <v>5.2694210650812279</v>
      </c>
      <c r="AF62" s="3"/>
      <c r="AG62" s="31">
        <f t="shared" si="46"/>
        <v>60</v>
      </c>
      <c r="AH62" s="35">
        <f t="shared" si="41"/>
        <v>160</v>
      </c>
      <c r="AI62" s="34">
        <v>118696.25173981604</v>
      </c>
      <c r="AJ62" s="38">
        <f t="shared" si="42"/>
        <v>0</v>
      </c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spans="1:51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57"/>
      <c r="W63" s="3"/>
      <c r="X63" s="7"/>
      <c r="Y63" s="7"/>
      <c r="Z63" s="57"/>
      <c r="AA63" s="7"/>
      <c r="AB63" s="31">
        <f t="shared" si="45"/>
        <v>40</v>
      </c>
      <c r="AC63" s="35">
        <f t="shared" si="37"/>
        <v>3779.9999999999995</v>
      </c>
      <c r="AD63" s="34">
        <v>127035.72546333564</v>
      </c>
      <c r="AE63" s="38">
        <f t="shared" si="38"/>
        <v>7.0258947534416212</v>
      </c>
      <c r="AF63" s="3"/>
      <c r="AG63" s="31">
        <f t="shared" si="46"/>
        <v>80</v>
      </c>
      <c r="AH63" s="35">
        <f t="shared" si="41"/>
        <v>180</v>
      </c>
      <c r="AI63" s="34">
        <v>118696.25173981604</v>
      </c>
      <c r="AJ63" s="38">
        <f t="shared" si="42"/>
        <v>0</v>
      </c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spans="1:51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57"/>
      <c r="W64" s="3"/>
      <c r="X64" s="7"/>
      <c r="Y64" s="7"/>
      <c r="Z64" s="57"/>
      <c r="AA64" s="7"/>
      <c r="AB64" s="31">
        <f t="shared" si="45"/>
        <v>50</v>
      </c>
      <c r="AC64" s="35">
        <f t="shared" si="37"/>
        <v>4050</v>
      </c>
      <c r="AD64" s="34">
        <v>129120.59389421553</v>
      </c>
      <c r="AE64" s="38">
        <f t="shared" si="38"/>
        <v>8.782368441802026</v>
      </c>
      <c r="AF64" s="3"/>
      <c r="AG64" s="31">
        <f t="shared" si="46"/>
        <v>100</v>
      </c>
      <c r="AH64" s="35">
        <f t="shared" si="41"/>
        <v>200</v>
      </c>
      <c r="AI64" s="34">
        <v>118696.25173981604</v>
      </c>
      <c r="AJ64" s="38">
        <f t="shared" si="42"/>
        <v>0</v>
      </c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spans="1:51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57"/>
      <c r="W65" s="3"/>
      <c r="X65" s="7"/>
      <c r="Y65" s="7"/>
      <c r="Z65" s="57"/>
      <c r="AA65" s="7"/>
      <c r="AB65" s="3"/>
      <c r="AC65" s="3"/>
      <c r="AD65" s="3"/>
      <c r="AE65" s="3"/>
      <c r="AF65" s="3"/>
      <c r="AG65" s="3"/>
      <c r="AH65" s="22"/>
      <c r="AI65" s="6"/>
      <c r="AJ65" s="58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spans="1:51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57"/>
      <c r="W66" s="3"/>
      <c r="X66" s="7"/>
      <c r="Y66" s="7"/>
      <c r="Z66" s="57"/>
      <c r="AA66" s="7"/>
      <c r="AB66" s="30" t="s">
        <v>184</v>
      </c>
      <c r="AC66" s="31"/>
      <c r="AD66" s="31"/>
      <c r="AE66" s="31"/>
      <c r="AF66" s="3"/>
      <c r="AG66" s="3"/>
      <c r="AH66" s="22"/>
      <c r="AI66" s="6"/>
      <c r="AJ66" s="58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spans="1:51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57"/>
      <c r="W67" s="3"/>
      <c r="X67" s="7"/>
      <c r="Y67" s="7"/>
      <c r="Z67" s="57"/>
      <c r="AA67" s="7"/>
      <c r="AB67" s="31" t="s">
        <v>79</v>
      </c>
      <c r="AC67" s="31" t="s">
        <v>184</v>
      </c>
      <c r="AD67" s="31" t="s">
        <v>23</v>
      </c>
      <c r="AE67" s="31" t="s">
        <v>81</v>
      </c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spans="1:51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57"/>
      <c r="W68" s="3"/>
      <c r="X68" s="7"/>
      <c r="Y68" s="7"/>
      <c r="Z68" s="57"/>
      <c r="AA68" s="7"/>
      <c r="AB68" s="31" t="s">
        <v>84</v>
      </c>
      <c r="AC68" s="33">
        <v>0.19</v>
      </c>
      <c r="AD68" s="34">
        <f>X49</f>
        <v>118696.25173981604</v>
      </c>
      <c r="AE68" s="31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spans="1:51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60"/>
      <c r="Y69" s="60"/>
      <c r="Z69" s="3"/>
      <c r="AA69" s="60"/>
      <c r="AB69" s="31">
        <f t="shared" ref="AB69:AB73" si="47">AB70-10</f>
        <v>-50</v>
      </c>
      <c r="AC69" s="33">
        <f>$AC$68*(1-(AB69/100))</f>
        <v>0.28500000000000003</v>
      </c>
      <c r="AD69" s="34">
        <f t="dataTable" ref="AD69:AD79" dt2D="0" dtr="0" r1="J18" ca="1"/>
        <v>121071.3901534458</v>
      </c>
      <c r="AE69" s="38">
        <f>100*((AD69-$AD$74)/$AD$74)</f>
        <v>2.0010222553919355</v>
      </c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spans="1:51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1">
        <f t="shared" si="47"/>
        <v>-40</v>
      </c>
      <c r="AC70" s="33">
        <f t="shared" ref="AC70:AC73" si="48">$AC$68*(1-(AB70/100))</f>
        <v>0.26599999999999996</v>
      </c>
      <c r="AD70" s="34">
        <v>120596.36247071986</v>
      </c>
      <c r="AE70" s="38">
        <f t="shared" ref="AE70:AE79" si="49">100*((AD70-$AD$74)/$AD$74)</f>
        <v>1.6008178043135608</v>
      </c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spans="1:51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1">
        <f t="shared" si="47"/>
        <v>-30</v>
      </c>
      <c r="AC71" s="33">
        <f t="shared" si="48"/>
        <v>0.24700000000000003</v>
      </c>
      <c r="AD71" s="34">
        <v>120121.3347879939</v>
      </c>
      <c r="AE71" s="38">
        <f t="shared" si="49"/>
        <v>1.2006133532351613</v>
      </c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spans="1:51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1">
        <f t="shared" si="47"/>
        <v>-20</v>
      </c>
      <c r="AC72" s="33">
        <f t="shared" si="48"/>
        <v>0.22799999999999998</v>
      </c>
      <c r="AD72" s="34">
        <v>119646.30710526794</v>
      </c>
      <c r="AE72" s="38">
        <f t="shared" si="49"/>
        <v>0.80040890215677429</v>
      </c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spans="1:51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1">
        <f t="shared" si="47"/>
        <v>-10</v>
      </c>
      <c r="AC73" s="33">
        <f t="shared" si="48"/>
        <v>0.20900000000000002</v>
      </c>
      <c r="AD73" s="34">
        <v>119171.27942254201</v>
      </c>
      <c r="AE73" s="38">
        <f t="shared" si="49"/>
        <v>0.40020445107839936</v>
      </c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spans="1:51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43">
        <v>0</v>
      </c>
      <c r="AC74" s="93">
        <f t="shared" ref="AC74" si="50">$AC$68*(1+(AB74/100))</f>
        <v>0.19</v>
      </c>
      <c r="AD74" s="45">
        <v>118696.25173981604</v>
      </c>
      <c r="AE74" s="75">
        <f t="shared" si="49"/>
        <v>0</v>
      </c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spans="1:51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1">
        <f t="shared" ref="AB75:AB79" si="51">AB74+10</f>
        <v>10</v>
      </c>
      <c r="AC75" s="33">
        <f t="shared" ref="AC75:AC79" si="52">$AC$68*(1-(AB75/100))</f>
        <v>0.17100000000000001</v>
      </c>
      <c r="AD75" s="34">
        <v>118221.22405709008</v>
      </c>
      <c r="AE75" s="38">
        <f t="shared" si="49"/>
        <v>-0.40020445107839936</v>
      </c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spans="1:51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1">
        <f t="shared" si="51"/>
        <v>20</v>
      </c>
      <c r="AC76" s="33">
        <f t="shared" si="52"/>
        <v>0.15200000000000002</v>
      </c>
      <c r="AD76" s="34">
        <v>117746.19637436414</v>
      </c>
      <c r="AE76" s="38">
        <f t="shared" si="49"/>
        <v>-0.80040890215677429</v>
      </c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spans="1:51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1">
        <f t="shared" si="51"/>
        <v>30</v>
      </c>
      <c r="AC77" s="33">
        <f t="shared" si="52"/>
        <v>0.13299999999999998</v>
      </c>
      <c r="AD77" s="34">
        <v>117271.16869163817</v>
      </c>
      <c r="AE77" s="38">
        <f t="shared" si="49"/>
        <v>-1.2006133532351737</v>
      </c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spans="1:51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1">
        <f t="shared" si="51"/>
        <v>40</v>
      </c>
      <c r="AC78" s="33">
        <f t="shared" si="52"/>
        <v>0.11399999999999999</v>
      </c>
      <c r="AD78" s="34">
        <v>116796.14100891221</v>
      </c>
      <c r="AE78" s="38">
        <f t="shared" si="49"/>
        <v>-1.6008178043135728</v>
      </c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spans="1:51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1">
        <f t="shared" si="51"/>
        <v>50</v>
      </c>
      <c r="AC79" s="33">
        <f t="shared" si="52"/>
        <v>9.5000000000000001E-2</v>
      </c>
      <c r="AD79" s="34">
        <v>116321.11332618623</v>
      </c>
      <c r="AE79" s="38">
        <f t="shared" si="49"/>
        <v>-2.0010222553919843</v>
      </c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spans="1:51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spans="1:51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spans="1:51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spans="1:51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spans="1:51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spans="1:51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  <row r="86" spans="1:51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</row>
    <row r="87" spans="1:51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</row>
    <row r="88" spans="1:51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</row>
    <row r="89" spans="1:51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</row>
    <row r="90" spans="1:51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</row>
    <row r="91" spans="1:51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</row>
    <row r="92" spans="1:51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</row>
    <row r="93" spans="1:51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</row>
    <row r="94" spans="1:51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</row>
    <row r="95" spans="1:51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</row>
    <row r="96" spans="1:51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</row>
    <row r="97" spans="1:51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</row>
    <row r="98" spans="1:51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</row>
    <row r="99" spans="1:51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</row>
    <row r="100" spans="1:51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</row>
    <row r="101" spans="1:51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</row>
    <row r="102" spans="1:51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</row>
    <row r="103" spans="1:51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spans="1:51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spans="1:51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spans="1:51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spans="1:51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spans="1:51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spans="1:51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spans="1:51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spans="1:51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</row>
    <row r="112" spans="1:51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</row>
    <row r="113" spans="1:51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</row>
    <row r="114" spans="1:51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</row>
    <row r="115" spans="1:51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</row>
    <row r="116" spans="1:51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</row>
    <row r="117" spans="1:51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</row>
    <row r="118" spans="1:51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</row>
    <row r="119" spans="1:51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</row>
    <row r="120" spans="1:51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</row>
    <row r="121" spans="1:51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</row>
    <row r="122" spans="1:51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</row>
    <row r="123" spans="1:51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</row>
    <row r="124" spans="1:51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</row>
    <row r="125" spans="1:51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</row>
    <row r="126" spans="1:51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</row>
    <row r="127" spans="1:51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</row>
    <row r="128" spans="1:51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</row>
    <row r="129" spans="1:51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</row>
    <row r="130" spans="1:51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</row>
    <row r="131" spans="1:51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</row>
    <row r="132" spans="1:51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</row>
    <row r="133" spans="1:51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</row>
    <row r="134" spans="1:51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</row>
    <row r="135" spans="1:51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</row>
    <row r="136" spans="1:51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</row>
    <row r="137" spans="1:51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</row>
    <row r="138" spans="1:51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</row>
    <row r="139" spans="1:51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</row>
    <row r="140" spans="1:51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</row>
    <row r="141" spans="1:51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</row>
    <row r="142" spans="1:51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</row>
    <row r="143" spans="1:51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</row>
    <row r="144" spans="1:51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</row>
    <row r="145" spans="1:51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</row>
    <row r="146" spans="1:51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</row>
    <row r="147" spans="1:51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</row>
    <row r="148" spans="1:51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</row>
    <row r="149" spans="1:51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</row>
    <row r="150" spans="1:51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</row>
    <row r="151" spans="1:51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</row>
    <row r="152" spans="1:51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</row>
    <row r="153" spans="1:51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</row>
    <row r="154" spans="1:51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</row>
    <row r="155" spans="1:51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</row>
    <row r="156" spans="1:51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</row>
    <row r="157" spans="1:51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</row>
    <row r="158" spans="1:51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</row>
    <row r="159" spans="1:51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</row>
    <row r="160" spans="1:51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</row>
    <row r="161" spans="1:51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</row>
    <row r="162" spans="1:51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</row>
    <row r="163" spans="1:51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</row>
    <row r="164" spans="1:51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</row>
    <row r="165" spans="1:51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</row>
    <row r="166" spans="1:51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</row>
    <row r="167" spans="1:51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</row>
    <row r="168" spans="1:51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</row>
    <row r="169" spans="1:51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</row>
    <row r="170" spans="1:51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</row>
    <row r="171" spans="1:51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</row>
    <row r="172" spans="1:51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</row>
    <row r="173" spans="1:51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</row>
    <row r="174" spans="1:51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</row>
    <row r="175" spans="1:51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</row>
    <row r="176" spans="1:51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</row>
    <row r="177" spans="1:51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</row>
    <row r="178" spans="1:51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</row>
    <row r="179" spans="1:51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</row>
    <row r="180" spans="1:51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</row>
    <row r="181" spans="1:51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</row>
    <row r="182" spans="1:51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</row>
    <row r="183" spans="1:51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</row>
    <row r="184" spans="1:51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</row>
    <row r="185" spans="1:51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</row>
    <row r="186" spans="1:51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</row>
    <row r="187" spans="1:51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</row>
    <row r="188" spans="1:51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</row>
    <row r="189" spans="1:51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</row>
    <row r="190" spans="1:51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</row>
    <row r="191" spans="1:51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</row>
    <row r="192" spans="1:51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</row>
    <row r="193" spans="1:51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</row>
    <row r="194" spans="1:51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</row>
    <row r="195" spans="1:51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</row>
    <row r="196" spans="1:51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</row>
    <row r="197" spans="1:51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</row>
    <row r="198" spans="1:51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</row>
    <row r="199" spans="1:51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</row>
    <row r="200" spans="1:51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</row>
    <row r="201" spans="1:51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</row>
    <row r="202" spans="1:51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</row>
    <row r="203" spans="1:51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</row>
    <row r="204" spans="1:51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</row>
    <row r="205" spans="1:51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</row>
    <row r="206" spans="1:51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</row>
    <row r="207" spans="1:51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</row>
    <row r="208" spans="1:51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</row>
    <row r="209" spans="1:51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</row>
    <row r="210" spans="1:51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</row>
    <row r="211" spans="1:51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</row>
    <row r="212" spans="1:51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</row>
    <row r="213" spans="1:51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</row>
    <row r="214" spans="1:51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</row>
    <row r="215" spans="1:51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</row>
    <row r="216" spans="1:51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</row>
    <row r="217" spans="1:51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</row>
    <row r="218" spans="1:51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</row>
    <row r="219" spans="1:51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</row>
    <row r="220" spans="1:51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</row>
    <row r="221" spans="1:51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</row>
    <row r="222" spans="1:51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</row>
    <row r="223" spans="1:51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</row>
    <row r="224" spans="1:51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</row>
    <row r="225" spans="1:51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</row>
    <row r="226" spans="1:51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</row>
    <row r="227" spans="1:51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</row>
    <row r="228" spans="1:51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</row>
    <row r="229" spans="1:51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</row>
    <row r="230" spans="1:51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</row>
    <row r="231" spans="1:51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</row>
    <row r="232" spans="1:51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</row>
    <row r="233" spans="1:51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</row>
    <row r="234" spans="1:51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</row>
    <row r="235" spans="1:51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</row>
    <row r="236" spans="1:51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</row>
    <row r="237" spans="1:51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</row>
    <row r="238" spans="1:51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</row>
    <row r="239" spans="1:51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</row>
    <row r="240" spans="1:51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</row>
    <row r="241" spans="1:51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</row>
    <row r="242" spans="1:51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</row>
    <row r="243" spans="1:51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</row>
    <row r="244" spans="1:51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</row>
    <row r="245" spans="1:51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</row>
    <row r="246" spans="1:51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</row>
    <row r="247" spans="1:51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</row>
    <row r="248" spans="1:51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</row>
    <row r="249" spans="1:51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</row>
    <row r="250" spans="1:51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</row>
    <row r="251" spans="1:51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</row>
    <row r="252" spans="1:51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</row>
    <row r="253" spans="1:51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</row>
    <row r="254" spans="1:51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</row>
    <row r="255" spans="1:51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</row>
    <row r="256" spans="1:51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</row>
    <row r="257" spans="1:51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</row>
    <row r="258" spans="1:51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</row>
    <row r="259" spans="1:51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</row>
    <row r="260" spans="1:51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</row>
    <row r="261" spans="1:51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</row>
    <row r="262" spans="1:51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</row>
    <row r="263" spans="1:51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</row>
    <row r="264" spans="1:51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</row>
    <row r="265" spans="1:51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</row>
    <row r="266" spans="1:51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</row>
    <row r="267" spans="1:51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</row>
    <row r="268" spans="1:51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</row>
    <row r="269" spans="1:51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</row>
    <row r="270" spans="1:51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</row>
    <row r="271" spans="1:51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</row>
    <row r="272" spans="1:51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</row>
    <row r="273" spans="1:51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</row>
    <row r="274" spans="1:51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</row>
    <row r="275" spans="1:51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</row>
    <row r="276" spans="1:51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</row>
    <row r="277" spans="1:51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</row>
    <row r="278" spans="1:51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</row>
    <row r="279" spans="1:51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</row>
    <row r="280" spans="1:51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</row>
    <row r="281" spans="1:51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</row>
    <row r="282" spans="1:51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</row>
    <row r="283" spans="1:51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</row>
    <row r="284" spans="1:51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</row>
    <row r="285" spans="1:51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</row>
    <row r="286" spans="1:51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</row>
    <row r="287" spans="1:51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</row>
    <row r="288" spans="1:51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</row>
    <row r="289" spans="1:51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</row>
    <row r="290" spans="1:51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</row>
    <row r="291" spans="1:51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</row>
    <row r="292" spans="1:51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</row>
    <row r="293" spans="1:51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</row>
    <row r="294" spans="1:51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</row>
    <row r="295" spans="1:51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</row>
    <row r="296" spans="1:51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</row>
    <row r="297" spans="1:51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</row>
    <row r="298" spans="1:51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</row>
    <row r="299" spans="1:51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</row>
    <row r="300" spans="1:51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</row>
    <row r="301" spans="1:51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</row>
    <row r="302" spans="1:51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</row>
    <row r="303" spans="1:51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</row>
    <row r="304" spans="1:51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</row>
    <row r="305" spans="1:51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</row>
    <row r="306" spans="1:51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</row>
    <row r="307" spans="1:51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</row>
    <row r="308" spans="1:51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</row>
    <row r="309" spans="1:51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</row>
    <row r="310" spans="1:51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</row>
    <row r="311" spans="1:51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</row>
    <row r="312" spans="1:51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</row>
    <row r="313" spans="1:51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</row>
    <row r="314" spans="1:51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</row>
    <row r="315" spans="1:51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</row>
    <row r="316" spans="1:51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</row>
    <row r="317" spans="1:51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</row>
    <row r="318" spans="1:51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</row>
    <row r="319" spans="1:51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</row>
    <row r="320" spans="1:51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</row>
    <row r="321" spans="1:51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</row>
    <row r="322" spans="1:51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</row>
    <row r="323" spans="1:51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</row>
    <row r="324" spans="1:51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</row>
    <row r="325" spans="1:51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</row>
    <row r="326" spans="1:51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</row>
    <row r="327" spans="1:51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</row>
    <row r="328" spans="1:51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</row>
    <row r="329" spans="1:51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</row>
    <row r="330" spans="1:51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</row>
    <row r="331" spans="1:51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</row>
    <row r="332" spans="1:51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</row>
    <row r="333" spans="1:51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</row>
    <row r="334" spans="1:51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</row>
    <row r="335" spans="1:51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</row>
    <row r="336" spans="1:51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</row>
    <row r="337" spans="1:51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</row>
    <row r="338" spans="1:51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</row>
    <row r="339" spans="1:51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</row>
    <row r="340" spans="1:51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</row>
    <row r="341" spans="1:51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</row>
    <row r="342" spans="1:51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</row>
    <row r="343" spans="1:51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</row>
    <row r="344" spans="1:51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</row>
    <row r="345" spans="1:51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</row>
    <row r="346" spans="1:51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</row>
    <row r="347" spans="1:51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</row>
    <row r="348" spans="1:51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</row>
    <row r="349" spans="1:51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</row>
    <row r="350" spans="1:51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</row>
    <row r="351" spans="1:51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</row>
    <row r="352" spans="1:51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</row>
    <row r="353" spans="1:51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</row>
    <row r="354" spans="1:51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</row>
    <row r="355" spans="1:51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</row>
    <row r="356" spans="1:51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</row>
    <row r="357" spans="1:51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</row>
    <row r="358" spans="1:51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</row>
    <row r="359" spans="1:51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</row>
    <row r="360" spans="1:51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</row>
    <row r="361" spans="1:51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</row>
    <row r="362" spans="1:51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</row>
    <row r="363" spans="1:51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</row>
    <row r="364" spans="1:51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</row>
    <row r="365" spans="1:51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</row>
    <row r="366" spans="1:51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</row>
    <row r="367" spans="1:51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</row>
    <row r="368" spans="1:51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</row>
    <row r="369" spans="1:51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</row>
    <row r="370" spans="1:51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</row>
    <row r="371" spans="1:51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</row>
    <row r="372" spans="1:51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</row>
    <row r="373" spans="1:51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</row>
    <row r="374" spans="1:51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</row>
    <row r="375" spans="1:51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</row>
    <row r="376" spans="1:51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</row>
    <row r="377" spans="1:51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</row>
    <row r="378" spans="1:51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</row>
    <row r="379" spans="1:51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</row>
    <row r="380" spans="1:51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</row>
    <row r="381" spans="1:51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</row>
    <row r="382" spans="1:51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</row>
    <row r="383" spans="1:51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</row>
    <row r="384" spans="1:51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</row>
    <row r="385" spans="1:51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</row>
    <row r="386" spans="1:51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</row>
    <row r="387" spans="1:51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</row>
    <row r="388" spans="1:51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</row>
    <row r="389" spans="1:51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</row>
    <row r="390" spans="1:51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</row>
    <row r="391" spans="1:51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</row>
    <row r="392" spans="1:51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</row>
    <row r="393" spans="1:51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</row>
    <row r="394" spans="1:51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</row>
    <row r="395" spans="1:51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</row>
    <row r="396" spans="1:51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</row>
    <row r="397" spans="1:51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</row>
    <row r="398" spans="1:51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</row>
    <row r="399" spans="1:51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</row>
    <row r="400" spans="1:51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</row>
    <row r="401" spans="1:51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</row>
    <row r="402" spans="1:51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</row>
    <row r="403" spans="1:51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</row>
    <row r="404" spans="1:51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</row>
    <row r="405" spans="1:51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</row>
    <row r="406" spans="1:51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</row>
    <row r="407" spans="1:51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</row>
    <row r="408" spans="1:51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</row>
    <row r="409" spans="1:51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</row>
    <row r="410" spans="1:51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</row>
    <row r="411" spans="1:51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</row>
    <row r="412" spans="1:51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</row>
    <row r="413" spans="1:51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</row>
    <row r="414" spans="1:51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</row>
    <row r="415" spans="1:51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</row>
    <row r="416" spans="1:51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</row>
    <row r="417" spans="1:51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</row>
    <row r="418" spans="1:51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</row>
    <row r="419" spans="1:51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</row>
    <row r="420" spans="1:51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</row>
    <row r="421" spans="1:51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</row>
    <row r="422" spans="1:51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</row>
    <row r="423" spans="1:51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</row>
    <row r="424" spans="1:51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</row>
    <row r="425" spans="1:51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</row>
    <row r="426" spans="1:51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</row>
    <row r="427" spans="1:51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</row>
    <row r="428" spans="1:51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</row>
    <row r="429" spans="1:51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</row>
    <row r="430" spans="1:51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</row>
    <row r="431" spans="1:51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</row>
    <row r="432" spans="1:51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</row>
    <row r="433" spans="1:51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</row>
    <row r="434" spans="1:51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</row>
    <row r="435" spans="1:51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</row>
    <row r="436" spans="1:51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</row>
    <row r="437" spans="1:51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</row>
    <row r="438" spans="1:51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</row>
    <row r="439" spans="1:51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</row>
    <row r="440" spans="1:51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</row>
    <row r="441" spans="1:51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</row>
    <row r="442" spans="1:51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</row>
    <row r="443" spans="1:51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</row>
    <row r="444" spans="1:51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</row>
    <row r="445" spans="1:51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</row>
    <row r="446" spans="1:51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</row>
    <row r="447" spans="1:51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</row>
    <row r="448" spans="1:51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</row>
    <row r="449" spans="1:51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</row>
    <row r="450" spans="1:51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</row>
    <row r="451" spans="1:51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</row>
    <row r="452" spans="1:51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</row>
    <row r="453" spans="1:51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</row>
    <row r="454" spans="1:51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</row>
    <row r="455" spans="1:51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</row>
    <row r="456" spans="1:51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</row>
    <row r="457" spans="1:51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</row>
    <row r="458" spans="1:51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</row>
    <row r="459" spans="1:51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</row>
    <row r="460" spans="1:51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</row>
    <row r="461" spans="1:51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</row>
    <row r="462" spans="1:51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</row>
    <row r="463" spans="1:51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</row>
    <row r="464" spans="1:51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</row>
    <row r="465" spans="1:51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</row>
    <row r="466" spans="1:51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</row>
    <row r="467" spans="1:51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</row>
    <row r="468" spans="1:51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</row>
    <row r="469" spans="1:51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</row>
    <row r="470" spans="1:51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</row>
    <row r="471" spans="1:51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</row>
    <row r="472" spans="1:51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</row>
    <row r="473" spans="1:51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</row>
    <row r="474" spans="1:51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</row>
    <row r="475" spans="1:51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</row>
    <row r="476" spans="1:51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</row>
    <row r="477" spans="1:51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</row>
    <row r="478" spans="1:51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</row>
    <row r="479" spans="1:51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</row>
    <row r="480" spans="1:51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</row>
    <row r="481" spans="1:51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</row>
    <row r="482" spans="1:51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</row>
    <row r="483" spans="1:51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</row>
    <row r="484" spans="1:51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</row>
    <row r="485" spans="1:51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</row>
    <row r="486" spans="1:51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</row>
    <row r="487" spans="1:51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</row>
    <row r="488" spans="1:51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</row>
    <row r="489" spans="1:51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</row>
    <row r="490" spans="1:51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</row>
    <row r="491" spans="1:51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</row>
    <row r="492" spans="1:51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</row>
    <row r="493" spans="1:51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</row>
    <row r="494" spans="1:51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</row>
    <row r="495" spans="1:51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</row>
    <row r="496" spans="1:51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</row>
    <row r="497" spans="1:51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</row>
    <row r="498" spans="1:51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</row>
    <row r="499" spans="1:51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</row>
    <row r="500" spans="1:51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</row>
    <row r="501" spans="1:51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</row>
    <row r="502" spans="1:51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</row>
    <row r="503" spans="1:51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</row>
    <row r="504" spans="1:51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</row>
    <row r="505" spans="1:51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</row>
    <row r="506" spans="1:51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</row>
    <row r="507" spans="1:51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</row>
    <row r="508" spans="1:51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</row>
    <row r="509" spans="1:51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</row>
    <row r="510" spans="1:51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</row>
    <row r="511" spans="1:51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</row>
    <row r="512" spans="1:51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</row>
    <row r="513" spans="1:51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</row>
    <row r="514" spans="1:51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</row>
    <row r="515" spans="1:51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</row>
    <row r="516" spans="1:51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</row>
    <row r="517" spans="1:51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</row>
    <row r="518" spans="1:51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</row>
    <row r="519" spans="1:51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</row>
    <row r="520" spans="1:51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</row>
    <row r="521" spans="1:51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</row>
    <row r="522" spans="1:51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</row>
    <row r="523" spans="1:51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</row>
    <row r="524" spans="1:51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</row>
    <row r="525" spans="1:51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</row>
    <row r="526" spans="1:51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</row>
    <row r="527" spans="1:51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</row>
    <row r="528" spans="1:51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</row>
    <row r="529" spans="1:51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</row>
    <row r="530" spans="1:51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</row>
    <row r="531" spans="1:51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</row>
    <row r="532" spans="1:51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</row>
    <row r="533" spans="1:51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</row>
    <row r="534" spans="1:51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</row>
    <row r="535" spans="1:51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</row>
    <row r="536" spans="1:51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</row>
    <row r="537" spans="1:51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</row>
    <row r="538" spans="1:51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</row>
    <row r="539" spans="1:51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</row>
    <row r="540" spans="1:51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</row>
    <row r="541" spans="1:51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</row>
    <row r="542" spans="1:51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</row>
    <row r="543" spans="1:51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</row>
    <row r="544" spans="1:51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</row>
    <row r="545" spans="1:51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</row>
    <row r="546" spans="1:51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</row>
    <row r="547" spans="1:51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</row>
    <row r="548" spans="1:51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</row>
    <row r="549" spans="1:51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</row>
    <row r="550" spans="1:51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</row>
    <row r="551" spans="1:51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</row>
    <row r="552" spans="1:51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</row>
    <row r="553" spans="1:51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</row>
    <row r="554" spans="1:51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</row>
    <row r="555" spans="1:51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</row>
    <row r="556" spans="1:51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</row>
    <row r="557" spans="1:51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</row>
    <row r="558" spans="1:51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</row>
    <row r="559" spans="1:51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</row>
    <row r="560" spans="1:51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</row>
    <row r="561" spans="1:51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</row>
    <row r="562" spans="1:51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</row>
    <row r="563" spans="1:51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</row>
    <row r="564" spans="1:51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</row>
    <row r="565" spans="1:51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</row>
    <row r="566" spans="1:51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</row>
    <row r="567" spans="1:51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</row>
    <row r="568" spans="1:51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</row>
    <row r="569" spans="1:51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</row>
    <row r="570" spans="1:51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</row>
    <row r="571" spans="1:51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</row>
    <row r="572" spans="1:51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</row>
    <row r="573" spans="1:51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</row>
    <row r="574" spans="1:51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</row>
    <row r="575" spans="1:51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</row>
    <row r="576" spans="1:51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</row>
    <row r="577" spans="1:51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</row>
    <row r="578" spans="1:51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</row>
    <row r="579" spans="1:51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</row>
    <row r="580" spans="1:51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</row>
    <row r="581" spans="1:51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</row>
    <row r="582" spans="1:51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</row>
    <row r="583" spans="1:51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</row>
    <row r="584" spans="1:51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</row>
    <row r="585" spans="1:51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</row>
    <row r="586" spans="1:51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</row>
    <row r="587" spans="1:51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</row>
    <row r="588" spans="1:51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</row>
    <row r="589" spans="1:51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</row>
    <row r="590" spans="1:51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</row>
    <row r="591" spans="1:51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</row>
    <row r="592" spans="1:51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</row>
    <row r="593" spans="1:51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</row>
    <row r="594" spans="1:51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</row>
    <row r="595" spans="1:51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</row>
    <row r="596" spans="1:51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</row>
    <row r="597" spans="1:51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</row>
    <row r="598" spans="1:51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</row>
    <row r="599" spans="1:51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</row>
    <row r="600" spans="1:51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</row>
    <row r="601" spans="1:51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</row>
    <row r="602" spans="1:51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</row>
    <row r="603" spans="1:51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</row>
    <row r="604" spans="1:51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</row>
    <row r="605" spans="1:51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</row>
    <row r="606" spans="1:51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</row>
    <row r="607" spans="1:51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</row>
    <row r="608" spans="1:51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</row>
    <row r="609" spans="1:51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</row>
    <row r="610" spans="1:51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</row>
    <row r="611" spans="1:51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</row>
    <row r="612" spans="1:51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</row>
    <row r="613" spans="1:51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</row>
    <row r="614" spans="1:51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</row>
    <row r="615" spans="1:51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</row>
    <row r="616" spans="1:51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</row>
    <row r="617" spans="1:51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</row>
    <row r="618" spans="1:51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</row>
    <row r="619" spans="1:51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</row>
    <row r="620" spans="1:51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</row>
    <row r="621" spans="1:51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</row>
    <row r="622" spans="1:51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</row>
    <row r="623" spans="1:51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</row>
    <row r="624" spans="1:51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</row>
    <row r="625" spans="1:51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</row>
    <row r="626" spans="1:51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</row>
    <row r="627" spans="1:51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</row>
    <row r="628" spans="1:51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</row>
    <row r="629" spans="1:51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</row>
    <row r="630" spans="1:51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</row>
    <row r="631" spans="1:51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</row>
    <row r="632" spans="1:51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</row>
    <row r="633" spans="1:51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</row>
    <row r="634" spans="1:51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</row>
    <row r="635" spans="1:51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</row>
    <row r="636" spans="1:51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</row>
    <row r="637" spans="1:51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</row>
    <row r="638" spans="1:51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</row>
    <row r="639" spans="1:51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</row>
    <row r="640" spans="1:51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</row>
    <row r="641" spans="1:51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</row>
    <row r="642" spans="1:51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</row>
    <row r="643" spans="1:51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</row>
    <row r="644" spans="1:51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</row>
    <row r="645" spans="1:51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</row>
    <row r="646" spans="1:51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</row>
    <row r="647" spans="1:51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</row>
    <row r="648" spans="1:51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</row>
    <row r="649" spans="1:51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</row>
    <row r="650" spans="1:51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</row>
    <row r="651" spans="1:51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</row>
    <row r="652" spans="1:51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</row>
    <row r="653" spans="1:51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</row>
    <row r="654" spans="1:51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</row>
    <row r="655" spans="1:51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</row>
    <row r="656" spans="1:51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</row>
    <row r="657" spans="1:51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</row>
    <row r="658" spans="1:51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</row>
    <row r="659" spans="1:51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</row>
    <row r="660" spans="1:51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</row>
    <row r="661" spans="1:51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</row>
    <row r="662" spans="1:51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</row>
    <row r="663" spans="1:51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</row>
    <row r="664" spans="1:51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</row>
    <row r="665" spans="1:51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</row>
    <row r="666" spans="1:51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</row>
    <row r="667" spans="1:51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</row>
    <row r="668" spans="1:51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</row>
    <row r="669" spans="1:51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</row>
    <row r="670" spans="1:51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</row>
    <row r="671" spans="1:51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</row>
    <row r="672" spans="1:51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</row>
    <row r="673" spans="1:51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</row>
    <row r="674" spans="1:51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</row>
    <row r="675" spans="1:51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</row>
    <row r="676" spans="1:51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</row>
    <row r="677" spans="1:51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</row>
    <row r="678" spans="1:51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</row>
    <row r="679" spans="1:51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</row>
    <row r="680" spans="1:51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</row>
    <row r="681" spans="1:51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</row>
    <row r="682" spans="1:51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</row>
    <row r="683" spans="1:51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</row>
    <row r="684" spans="1:51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</row>
    <row r="685" spans="1:51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</row>
    <row r="686" spans="1:51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</row>
    <row r="687" spans="1:51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</row>
    <row r="688" spans="1:51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</row>
    <row r="689" spans="1:51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</row>
    <row r="690" spans="1:51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</row>
    <row r="691" spans="1:51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</row>
    <row r="692" spans="1:51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</row>
    <row r="693" spans="1:51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</row>
    <row r="694" spans="1:51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</row>
    <row r="695" spans="1:51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</row>
    <row r="696" spans="1:51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</row>
    <row r="697" spans="1:51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</row>
    <row r="698" spans="1:51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</row>
    <row r="699" spans="1:51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</row>
    <row r="700" spans="1:51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</row>
    <row r="701" spans="1:51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</row>
    <row r="702" spans="1:51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</row>
    <row r="703" spans="1:51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</row>
    <row r="704" spans="1:51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</row>
    <row r="705" spans="1:51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</row>
    <row r="706" spans="1:51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</row>
    <row r="707" spans="1:51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</row>
    <row r="708" spans="1:51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</row>
    <row r="709" spans="1:51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</row>
    <row r="710" spans="1:51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</row>
    <row r="711" spans="1:51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</row>
    <row r="712" spans="1:51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</row>
    <row r="713" spans="1:51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</row>
    <row r="714" spans="1:51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</row>
    <row r="715" spans="1:51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</row>
    <row r="716" spans="1:51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</row>
    <row r="717" spans="1:51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</row>
    <row r="718" spans="1:51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</row>
    <row r="719" spans="1:51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</row>
    <row r="720" spans="1:51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</row>
    <row r="721" spans="1:51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</row>
    <row r="722" spans="1:51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</row>
    <row r="723" spans="1:51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</row>
    <row r="724" spans="1:51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</row>
    <row r="725" spans="1:51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</row>
    <row r="726" spans="1:51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</row>
    <row r="727" spans="1:51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</row>
    <row r="728" spans="1:51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</row>
    <row r="729" spans="1:51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</row>
    <row r="730" spans="1:51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</row>
    <row r="731" spans="1:51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</row>
    <row r="732" spans="1:51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</row>
    <row r="733" spans="1:51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</row>
    <row r="734" spans="1:51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</row>
    <row r="735" spans="1:51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</row>
    <row r="736" spans="1:51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</row>
    <row r="737" spans="1:51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</row>
    <row r="738" spans="1:51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</row>
    <row r="739" spans="1:51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</row>
    <row r="740" spans="1:51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</row>
    <row r="741" spans="1:51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</row>
    <row r="742" spans="1:51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</row>
    <row r="743" spans="1:51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</row>
    <row r="744" spans="1:51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</row>
    <row r="745" spans="1:51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</row>
    <row r="746" spans="1:51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</row>
    <row r="747" spans="1:51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</row>
    <row r="748" spans="1:51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</row>
    <row r="749" spans="1:51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</row>
    <row r="750" spans="1:51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</row>
    <row r="751" spans="1:51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</row>
    <row r="752" spans="1:51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</row>
    <row r="753" spans="1:51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</row>
    <row r="754" spans="1:51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</row>
    <row r="755" spans="1:51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</row>
    <row r="756" spans="1:51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</row>
    <row r="757" spans="1:51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</row>
    <row r="758" spans="1:51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</row>
    <row r="759" spans="1:51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</row>
    <row r="760" spans="1:51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</row>
    <row r="761" spans="1:51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</row>
    <row r="762" spans="1:51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</row>
    <row r="763" spans="1:51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</row>
    <row r="764" spans="1:51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</row>
    <row r="765" spans="1:51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</row>
    <row r="766" spans="1:51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</row>
    <row r="767" spans="1:51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</row>
    <row r="768" spans="1:51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</row>
    <row r="769" spans="1:51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</row>
    <row r="770" spans="1:51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</row>
    <row r="771" spans="1:51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</row>
    <row r="772" spans="1:51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</row>
    <row r="773" spans="1:51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</row>
    <row r="774" spans="1:51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</row>
    <row r="775" spans="1:51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</row>
    <row r="776" spans="1:51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</row>
    <row r="777" spans="1:51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</row>
    <row r="778" spans="1:51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</row>
    <row r="779" spans="1:51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</row>
    <row r="780" spans="1:51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</row>
    <row r="781" spans="1:51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</row>
    <row r="782" spans="1:51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</row>
    <row r="783" spans="1:51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</row>
    <row r="784" spans="1:51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</row>
    <row r="785" spans="1:51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</row>
    <row r="786" spans="1:51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</row>
    <row r="787" spans="1:51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</row>
    <row r="788" spans="1:51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</row>
    <row r="789" spans="1:51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</row>
    <row r="790" spans="1:51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</row>
    <row r="791" spans="1:51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</row>
    <row r="792" spans="1:51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</row>
    <row r="793" spans="1:51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</row>
    <row r="794" spans="1:51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</row>
    <row r="795" spans="1:51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</row>
    <row r="796" spans="1:51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</row>
    <row r="797" spans="1:51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</row>
    <row r="798" spans="1:51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</row>
    <row r="799" spans="1:51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</row>
    <row r="800" spans="1:51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</row>
    <row r="801" spans="1:51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</row>
    <row r="802" spans="1:51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</row>
    <row r="803" spans="1:51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</row>
    <row r="804" spans="1:51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</row>
    <row r="805" spans="1:51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</row>
    <row r="806" spans="1:51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</row>
    <row r="807" spans="1:51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</row>
    <row r="808" spans="1:51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</row>
    <row r="809" spans="1:51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</row>
    <row r="810" spans="1:51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</row>
    <row r="811" spans="1:51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</row>
    <row r="812" spans="1:51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</row>
    <row r="813" spans="1:51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</row>
    <row r="814" spans="1:51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</row>
    <row r="815" spans="1:51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</row>
    <row r="816" spans="1:51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</row>
    <row r="817" spans="1:51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</row>
    <row r="818" spans="1:51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</row>
    <row r="819" spans="1:51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</row>
    <row r="820" spans="1:51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</row>
    <row r="821" spans="1:51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</row>
    <row r="822" spans="1:51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</row>
    <row r="823" spans="1:51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</row>
    <row r="824" spans="1:51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</row>
    <row r="825" spans="1:51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</row>
    <row r="826" spans="1:51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</row>
    <row r="827" spans="1:51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</row>
    <row r="828" spans="1:51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</row>
    <row r="829" spans="1:51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</row>
    <row r="830" spans="1:51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</row>
    <row r="831" spans="1:51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</row>
    <row r="832" spans="1:51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</row>
    <row r="833" spans="1:51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</row>
    <row r="834" spans="1:51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</row>
    <row r="835" spans="1:51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</row>
    <row r="836" spans="1:51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</row>
    <row r="837" spans="1:51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</row>
    <row r="838" spans="1:51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</row>
    <row r="839" spans="1:51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</row>
    <row r="840" spans="1:51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</row>
    <row r="841" spans="1:51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</row>
    <row r="842" spans="1:51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</row>
    <row r="843" spans="1:51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</row>
    <row r="844" spans="1:51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</row>
    <row r="845" spans="1:51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</row>
    <row r="846" spans="1:51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</row>
    <row r="847" spans="1:51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</row>
    <row r="848" spans="1:51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</row>
    <row r="849" spans="1:51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</row>
    <row r="850" spans="1:51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</row>
    <row r="851" spans="1:51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</row>
    <row r="852" spans="1:51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</row>
    <row r="853" spans="1:51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</row>
    <row r="854" spans="1:51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</row>
    <row r="855" spans="1:51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</row>
    <row r="856" spans="1:51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</row>
    <row r="857" spans="1:51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</row>
    <row r="858" spans="1:51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</row>
    <row r="859" spans="1:51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</row>
    <row r="860" spans="1:51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</row>
    <row r="861" spans="1:51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</row>
    <row r="862" spans="1:51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</row>
    <row r="863" spans="1:51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</row>
    <row r="864" spans="1:51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</row>
    <row r="865" spans="1:51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</row>
    <row r="866" spans="1:51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</row>
    <row r="867" spans="1:51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</row>
    <row r="868" spans="1:51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</row>
    <row r="869" spans="1:51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</row>
    <row r="870" spans="1:51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</row>
    <row r="871" spans="1:51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</row>
    <row r="872" spans="1:51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</row>
    <row r="873" spans="1:51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</row>
    <row r="874" spans="1:51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</row>
    <row r="875" spans="1:51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</row>
    <row r="876" spans="1:51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</row>
    <row r="877" spans="1:51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</row>
    <row r="878" spans="1:51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</row>
    <row r="879" spans="1:51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</row>
    <row r="880" spans="1:51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</row>
    <row r="881" spans="1:51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</row>
    <row r="882" spans="1:51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</row>
    <row r="883" spans="1:51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</row>
    <row r="884" spans="1:51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</row>
    <row r="885" spans="1:51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</row>
    <row r="886" spans="1:51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</row>
    <row r="887" spans="1:51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</row>
    <row r="888" spans="1:51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</row>
    <row r="889" spans="1:51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</row>
    <row r="890" spans="1:51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</row>
    <row r="891" spans="1:51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</row>
    <row r="892" spans="1:51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</row>
    <row r="893" spans="1:51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</row>
    <row r="894" spans="1:51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</row>
    <row r="895" spans="1:51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</row>
    <row r="896" spans="1:51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</row>
    <row r="897" spans="1:51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</row>
    <row r="898" spans="1:51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</row>
    <row r="899" spans="1:51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</row>
    <row r="900" spans="1:51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</row>
    <row r="901" spans="1:51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</row>
    <row r="902" spans="1:51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</row>
    <row r="903" spans="1:51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</row>
    <row r="904" spans="1:51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</row>
    <row r="905" spans="1:51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</row>
    <row r="906" spans="1:51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</row>
    <row r="907" spans="1:51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</row>
    <row r="908" spans="1:51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</row>
    <row r="909" spans="1:51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</row>
    <row r="910" spans="1:51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</row>
    <row r="911" spans="1:51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</row>
    <row r="912" spans="1:51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</row>
    <row r="913" spans="1:51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</row>
    <row r="914" spans="1:51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</row>
    <row r="915" spans="1:51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</row>
    <row r="916" spans="1:51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</row>
    <row r="917" spans="1:51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</row>
    <row r="918" spans="1:51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</row>
    <row r="919" spans="1:51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</row>
    <row r="920" spans="1:51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</row>
    <row r="921" spans="1:51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</row>
    <row r="922" spans="1:51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</row>
    <row r="923" spans="1:51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</row>
    <row r="924" spans="1:51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</row>
    <row r="925" spans="1:51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</row>
    <row r="926" spans="1:51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</row>
    <row r="927" spans="1:51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</row>
    <row r="928" spans="1:51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</row>
    <row r="929" spans="1:51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</row>
    <row r="930" spans="1:51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</row>
    <row r="931" spans="1:51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</row>
    <row r="932" spans="1:51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</row>
    <row r="933" spans="1:51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</row>
    <row r="934" spans="1:51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</row>
    <row r="935" spans="1:51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</row>
    <row r="936" spans="1:51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</row>
    <row r="937" spans="1:51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</row>
    <row r="938" spans="1:51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</row>
    <row r="939" spans="1:51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</row>
    <row r="940" spans="1:51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</row>
    <row r="941" spans="1:51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</row>
    <row r="942" spans="1:51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</row>
    <row r="943" spans="1:51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</row>
    <row r="944" spans="1:51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</row>
    <row r="945" spans="1:51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</row>
    <row r="946" spans="1:51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</row>
    <row r="947" spans="1:51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</row>
    <row r="948" spans="1:51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</row>
    <row r="949" spans="1:51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</row>
    <row r="950" spans="1:51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</row>
    <row r="951" spans="1:51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</row>
    <row r="952" spans="1:51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</row>
    <row r="953" spans="1:51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</row>
    <row r="954" spans="1:51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</row>
    <row r="955" spans="1:51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</row>
    <row r="956" spans="1:51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</row>
    <row r="957" spans="1:51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</row>
    <row r="958" spans="1:51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</row>
    <row r="959" spans="1:51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</row>
    <row r="960" spans="1:51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</row>
    <row r="961" spans="1:51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</row>
    <row r="962" spans="1:51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</row>
    <row r="963" spans="1:51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</row>
    <row r="964" spans="1:51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</row>
    <row r="965" spans="1:51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</row>
    <row r="966" spans="1:51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</row>
    <row r="967" spans="1:51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</row>
    <row r="968" spans="1:51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</row>
    <row r="969" spans="1:51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</row>
    <row r="970" spans="1:51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</row>
    <row r="971" spans="1:51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</row>
    <row r="972" spans="1:51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</row>
    <row r="973" spans="1:51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</row>
    <row r="974" spans="1:51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</row>
    <row r="975" spans="1:51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</row>
    <row r="976" spans="1:51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</row>
    <row r="977" spans="1:51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</row>
    <row r="978" spans="1:51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</row>
    <row r="979" spans="1:51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</row>
    <row r="980" spans="1:51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</row>
    <row r="981" spans="1:51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</row>
    <row r="982" spans="1:51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</row>
    <row r="983" spans="1:51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</row>
    <row r="984" spans="1:51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</row>
    <row r="985" spans="1:51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</row>
    <row r="986" spans="1:51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</row>
    <row r="987" spans="1:51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</row>
    <row r="988" spans="1:51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</row>
    <row r="989" spans="1:51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</row>
    <row r="990" spans="1:51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</row>
    <row r="991" spans="1:51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</row>
    <row r="992" spans="1:51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</row>
    <row r="993" spans="1:51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</row>
    <row r="994" spans="1:51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</row>
    <row r="995" spans="1:51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</row>
    <row r="996" spans="1:51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</row>
    <row r="997" spans="1:51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</row>
    <row r="998" spans="1:51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</row>
    <row r="999" spans="1:51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</row>
    <row r="1000" spans="1:51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</row>
  </sheetData>
  <dataValidations count="1">
    <dataValidation type="list" allowBlank="1" showInputMessage="1" showErrorMessage="1" sqref="J24" xr:uid="{53B4D27A-EFE4-4D10-8E20-E44CF134CDD9}">
      <formula1>#REF!</formula1>
    </dataValidation>
  </dataValidations>
  <pageMargins left="0.7" right="0.7" top="0.75" bottom="0.75" header="0" footer="0"/>
  <pageSetup paperSize="9" orientation="portrait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AO1000"/>
  <sheetViews>
    <sheetView topLeftCell="B1" zoomScale="69" zoomScaleNormal="55" workbookViewId="0">
      <selection activeCell="I8" sqref="I8"/>
    </sheetView>
  </sheetViews>
  <sheetFormatPr defaultColWidth="14.42578125" defaultRowHeight="15" customHeight="1" x14ac:dyDescent="0.25"/>
  <cols>
    <col min="1" max="1" width="52.7109375" customWidth="1"/>
    <col min="2" max="2" width="17.42578125" customWidth="1"/>
    <col min="3" max="3" width="16.28515625" customWidth="1"/>
    <col min="4" max="4" width="8.85546875" customWidth="1"/>
    <col min="5" max="5" width="48" customWidth="1"/>
    <col min="6" max="6" width="14.28515625" customWidth="1"/>
    <col min="7" max="7" width="8.85546875" customWidth="1"/>
    <col min="8" max="8" width="19.28515625" customWidth="1"/>
    <col min="9" max="9" width="51.28515625" bestFit="1" customWidth="1"/>
    <col min="10" max="10" width="17.4257812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16.42578125" customWidth="1"/>
    <col min="19" max="19" width="16" customWidth="1"/>
    <col min="20" max="20" width="22" customWidth="1"/>
    <col min="21" max="21" width="23.85546875" customWidth="1"/>
    <col min="22" max="22" width="12.7109375" customWidth="1"/>
    <col min="23" max="23" width="19.42578125" customWidth="1"/>
    <col min="24" max="24" width="13.42578125" customWidth="1"/>
    <col min="25" max="25" width="8.85546875" customWidth="1"/>
    <col min="26" max="26" width="20.140625" customWidth="1"/>
    <col min="27" max="27" width="25" customWidth="1"/>
    <col min="28" max="28" width="12.85546875" customWidth="1"/>
    <col min="29" max="29" width="19" customWidth="1"/>
    <col min="30" max="30" width="4.7109375" customWidth="1"/>
    <col min="31" max="31" width="20.140625" customWidth="1"/>
    <col min="32" max="32" width="19.28515625" customWidth="1"/>
    <col min="33" max="33" width="11.28515625" customWidth="1"/>
    <col min="34" max="34" width="17.85546875" customWidth="1"/>
  </cols>
  <sheetData>
    <row r="1" spans="1:34" x14ac:dyDescent="0.25">
      <c r="A1" s="2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25">
      <c r="A2" s="2" t="s">
        <v>2</v>
      </c>
      <c r="B2" s="4">
        <f>U49</f>
        <v>118109.85715548736</v>
      </c>
      <c r="C2" s="2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x14ac:dyDescent="0.25">
      <c r="A3" s="3"/>
      <c r="B3" s="5">
        <f>B2/F41</f>
        <v>0.26246634923441636</v>
      </c>
      <c r="C3" s="2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x14ac:dyDescent="0.25">
      <c r="A4" s="2" t="s">
        <v>5</v>
      </c>
      <c r="B4" s="3"/>
      <c r="C4" s="3"/>
      <c r="D4" s="3"/>
      <c r="E4" s="3"/>
      <c r="F4" s="3"/>
      <c r="G4" s="3"/>
      <c r="H4" s="3"/>
      <c r="I4" s="3"/>
      <c r="J4" s="8"/>
      <c r="K4" s="3"/>
      <c r="L4" s="3"/>
      <c r="M4" s="3"/>
      <c r="N4" s="2" t="s">
        <v>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2" t="s">
        <v>7</v>
      </c>
      <c r="AA4" s="3"/>
      <c r="AB4" s="3"/>
      <c r="AC4" s="3"/>
      <c r="AD4" s="3"/>
      <c r="AE4" s="3"/>
      <c r="AF4" s="3"/>
      <c r="AG4" s="3"/>
      <c r="AH4" s="3"/>
    </row>
    <row r="5" spans="1:34" x14ac:dyDescent="0.25">
      <c r="A5" s="3" t="s">
        <v>8</v>
      </c>
      <c r="B5" s="6">
        <v>10</v>
      </c>
      <c r="C5" s="3" t="s">
        <v>9</v>
      </c>
      <c r="D5" s="3"/>
      <c r="E5" s="3"/>
      <c r="F5" s="3"/>
      <c r="G5" s="3"/>
      <c r="H5" s="3"/>
      <c r="I5" s="3"/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25">
      <c r="A6" s="3"/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10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x14ac:dyDescent="0.25">
      <c r="A7" s="9" t="s">
        <v>11</v>
      </c>
      <c r="B7" s="10"/>
      <c r="C7" s="10"/>
      <c r="D7" s="10"/>
      <c r="E7" s="10"/>
      <c r="F7" s="10"/>
      <c r="G7" s="10"/>
      <c r="H7" s="11"/>
      <c r="I7" s="12" t="s">
        <v>12</v>
      </c>
      <c r="J7" s="10"/>
      <c r="K7" s="10"/>
      <c r="L7" s="11"/>
      <c r="M7" s="3"/>
      <c r="N7" s="13" t="s">
        <v>13</v>
      </c>
      <c r="O7" s="13" t="s">
        <v>14</v>
      </c>
      <c r="P7" s="13" t="s">
        <v>15</v>
      </c>
      <c r="Q7" s="13" t="s">
        <v>124</v>
      </c>
      <c r="R7" s="13" t="s">
        <v>125</v>
      </c>
      <c r="S7" s="13" t="s">
        <v>19</v>
      </c>
      <c r="T7" s="13" t="s">
        <v>22</v>
      </c>
      <c r="U7" s="14" t="s">
        <v>23</v>
      </c>
      <c r="V7" s="2"/>
      <c r="W7" s="3" t="s">
        <v>24</v>
      </c>
      <c r="X7" s="3"/>
      <c r="Y7" s="3"/>
      <c r="Z7" s="3" t="s">
        <v>25</v>
      </c>
      <c r="AA7" s="3"/>
      <c r="AB7" s="3"/>
      <c r="AC7" s="3"/>
      <c r="AD7" s="3"/>
      <c r="AE7" s="3"/>
      <c r="AF7" s="3"/>
      <c r="AG7" s="3"/>
      <c r="AH7" s="3"/>
    </row>
    <row r="8" spans="1:34" x14ac:dyDescent="0.25">
      <c r="A8" s="15" t="s">
        <v>26</v>
      </c>
      <c r="B8" s="16">
        <v>2100</v>
      </c>
      <c r="C8" s="3" t="s">
        <v>27</v>
      </c>
      <c r="D8" s="3"/>
      <c r="E8" s="3"/>
      <c r="F8" s="3"/>
      <c r="G8" s="3"/>
      <c r="H8" s="17"/>
      <c r="I8" s="18" t="s">
        <v>185</v>
      </c>
      <c r="J8" s="6">
        <v>20322580.64516129</v>
      </c>
      <c r="K8" s="3" t="s">
        <v>29</v>
      </c>
      <c r="L8" s="17"/>
      <c r="M8" s="3"/>
      <c r="N8" s="13">
        <v>0</v>
      </c>
      <c r="O8" s="19">
        <f>F31</f>
        <v>4347.8709677419356</v>
      </c>
      <c r="P8" s="13"/>
      <c r="Q8" s="13"/>
      <c r="R8" s="13"/>
      <c r="S8" s="13"/>
      <c r="T8" s="13"/>
      <c r="U8" s="20">
        <f t="shared" ref="U8:U48" si="0">SUM(O8:T8)</f>
        <v>4347.8709677419356</v>
      </c>
      <c r="V8" s="4"/>
      <c r="W8" s="6"/>
      <c r="X8" s="3"/>
      <c r="Y8" s="3"/>
      <c r="Z8" s="3" t="s">
        <v>166</v>
      </c>
      <c r="AA8" s="21">
        <f>F36</f>
        <v>1.1904761904761905</v>
      </c>
      <c r="AB8" s="3" t="s">
        <v>127</v>
      </c>
      <c r="AC8" s="3"/>
      <c r="AD8" s="3"/>
      <c r="AE8" s="3"/>
      <c r="AF8" s="3"/>
      <c r="AG8" s="3"/>
      <c r="AH8" s="3"/>
    </row>
    <row r="9" spans="1:34" x14ac:dyDescent="0.25">
      <c r="A9" s="15"/>
      <c r="B9" s="3"/>
      <c r="C9" s="3"/>
      <c r="D9" s="3"/>
      <c r="E9" s="3"/>
      <c r="F9" s="22"/>
      <c r="G9" s="3"/>
      <c r="H9" s="17"/>
      <c r="I9" s="18" t="s">
        <v>32</v>
      </c>
      <c r="J9" s="6">
        <v>5150</v>
      </c>
      <c r="K9" s="3" t="s">
        <v>33</v>
      </c>
      <c r="L9" s="17"/>
      <c r="M9" s="3"/>
      <c r="N9" s="13">
        <v>1</v>
      </c>
      <c r="O9" s="13"/>
      <c r="P9" s="23">
        <f t="shared" ref="P9:P48" si="1">IF(N9&gt;0,IF(N9&lt;=$J$15,(($F$32+$F$33)/$J$15)/((1+($F$11/100))^N9),0),0)</f>
        <v>2898.5806451612907</v>
      </c>
      <c r="Q9" s="24">
        <f t="shared" ref="Q9:Q48" si="2">IF(N9&gt;0,($F$38*((1+($F$14/100))^(N9-1)))/((1+($F$11/100))^N9),0)</f>
        <v>8163.2653061224482</v>
      </c>
      <c r="R9" s="24">
        <f t="shared" ref="R9:R48" si="3">IF(N9&gt;0,$J$31/((1+($F$11/100))^N9),0)</f>
        <v>4285.9676863433542</v>
      </c>
      <c r="S9" s="24">
        <f t="shared" ref="S9:S48" si="4">IF(N9&gt;0,($J$43)/((1+($F$11/100))^N9),0)</f>
        <v>0.19793723941189378</v>
      </c>
      <c r="T9" s="23">
        <f t="shared" ref="T9:T48" si="5">IF(N9=$B$5,((((1-$J$12/100)^N9)*$B$44)/((1+($F$11/100))^N9))*-1,0)</f>
        <v>0</v>
      </c>
      <c r="U9" s="20">
        <f t="shared" si="0"/>
        <v>15348.011574866507</v>
      </c>
      <c r="V9" s="4"/>
      <c r="W9" s="6">
        <f t="shared" ref="W9:W48" si="6">IF(N9&gt;0,((((1-$J$12/100)^N9)*$B$44/((1+($F$11/100))^N9))),0)</f>
        <v>9420.4608294930877</v>
      </c>
      <c r="X9" s="3"/>
      <c r="Y9" s="3"/>
      <c r="Z9" s="18" t="s">
        <v>159</v>
      </c>
      <c r="AA9" s="26">
        <f>B47</f>
        <v>14492.903225806453</v>
      </c>
      <c r="AB9" s="3" t="s">
        <v>3</v>
      </c>
      <c r="AC9" s="3"/>
      <c r="AD9" s="6"/>
      <c r="AE9" s="3"/>
      <c r="AF9" s="3"/>
      <c r="AG9" s="3"/>
      <c r="AH9" s="3"/>
    </row>
    <row r="10" spans="1:34" x14ac:dyDescent="0.25">
      <c r="A10" s="25" t="s">
        <v>35</v>
      </c>
      <c r="B10" s="3"/>
      <c r="C10" s="3"/>
      <c r="D10" s="3"/>
      <c r="E10" s="2" t="s">
        <v>36</v>
      </c>
      <c r="F10" s="3"/>
      <c r="G10" s="3"/>
      <c r="H10" s="17"/>
      <c r="I10" s="18" t="s">
        <v>128</v>
      </c>
      <c r="J10" s="28">
        <v>0.16</v>
      </c>
      <c r="K10" s="3" t="s">
        <v>129</v>
      </c>
      <c r="L10" s="17"/>
      <c r="M10" s="3"/>
      <c r="N10" s="13">
        <f t="shared" ref="N10:N48" si="7">IF((N9+1)&gt;$B$5,,IF(N9=0,,N9+1))</f>
        <v>2</v>
      </c>
      <c r="O10" s="13"/>
      <c r="P10" s="23">
        <f t="shared" si="1"/>
        <v>2760.5529953917053</v>
      </c>
      <c r="Q10" s="24">
        <f t="shared" si="2"/>
        <v>7852.2837706511173</v>
      </c>
      <c r="R10" s="24">
        <f t="shared" si="3"/>
        <v>4081.8739869936708</v>
      </c>
      <c r="S10" s="24">
        <f t="shared" si="4"/>
        <v>0.18851165658275598</v>
      </c>
      <c r="T10" s="23">
        <f t="shared" si="5"/>
        <v>0</v>
      </c>
      <c r="U10" s="20">
        <f t="shared" si="0"/>
        <v>14694.899264693076</v>
      </c>
      <c r="V10" s="4"/>
      <c r="W10" s="6">
        <f t="shared" si="6"/>
        <v>8336.6592407285516</v>
      </c>
      <c r="X10" s="3"/>
      <c r="Y10" s="3"/>
      <c r="Z10" s="3" t="s">
        <v>42</v>
      </c>
      <c r="AA10" s="6">
        <f>F12</f>
        <v>45000</v>
      </c>
      <c r="AB10" s="3" t="s">
        <v>43</v>
      </c>
      <c r="AC10" s="3"/>
      <c r="AD10" s="6"/>
      <c r="AE10" s="3"/>
      <c r="AF10" s="3"/>
      <c r="AG10" s="3"/>
      <c r="AH10" s="3"/>
    </row>
    <row r="11" spans="1:34" x14ac:dyDescent="0.25">
      <c r="A11" s="27" t="s">
        <v>141</v>
      </c>
      <c r="B11" s="3">
        <v>10</v>
      </c>
      <c r="C11" s="3" t="s">
        <v>38</v>
      </c>
      <c r="D11" s="3"/>
      <c r="E11" s="18" t="s">
        <v>39</v>
      </c>
      <c r="F11" s="3">
        <v>5</v>
      </c>
      <c r="G11" s="3" t="s">
        <v>38</v>
      </c>
      <c r="H11" s="17"/>
      <c r="I11" s="18" t="s">
        <v>57</v>
      </c>
      <c r="J11" s="3">
        <v>30</v>
      </c>
      <c r="K11" s="3" t="s">
        <v>58</v>
      </c>
      <c r="L11" s="17"/>
      <c r="M11" s="3"/>
      <c r="N11" s="13">
        <f t="shared" si="7"/>
        <v>3</v>
      </c>
      <c r="O11" s="13"/>
      <c r="P11" s="23">
        <f t="shared" si="1"/>
        <v>2629.0980908492429</v>
      </c>
      <c r="Q11" s="24">
        <f t="shared" si="2"/>
        <v>7553.1491508167874</v>
      </c>
      <c r="R11" s="24">
        <f t="shared" si="3"/>
        <v>3887.4990352320669</v>
      </c>
      <c r="S11" s="24">
        <f t="shared" si="4"/>
        <v>0.17953491103119615</v>
      </c>
      <c r="T11" s="23">
        <f t="shared" si="5"/>
        <v>0</v>
      </c>
      <c r="U11" s="20">
        <f t="shared" si="0"/>
        <v>14069.925811809129</v>
      </c>
      <c r="V11" s="4"/>
      <c r="W11" s="6">
        <f t="shared" si="6"/>
        <v>7377.5464442713983</v>
      </c>
      <c r="X11" s="3"/>
      <c r="Y11" s="3"/>
      <c r="Z11" s="18" t="s">
        <v>48</v>
      </c>
      <c r="AA11" s="6">
        <f>J35</f>
        <v>4500</v>
      </c>
      <c r="AB11" s="3" t="s">
        <v>49</v>
      </c>
      <c r="AC11" s="3"/>
      <c r="AD11" s="6"/>
      <c r="AE11" s="3"/>
      <c r="AF11" s="3"/>
      <c r="AG11" s="3"/>
      <c r="AH11" s="3"/>
    </row>
    <row r="12" spans="1:34" x14ac:dyDescent="0.25">
      <c r="A12" s="3" t="s">
        <v>44</v>
      </c>
      <c r="B12" s="3">
        <v>0</v>
      </c>
      <c r="C12" s="3" t="s">
        <v>38</v>
      </c>
      <c r="D12" s="3"/>
      <c r="E12" s="18" t="s">
        <v>45</v>
      </c>
      <c r="F12" s="6">
        <v>45000</v>
      </c>
      <c r="G12" s="3" t="s">
        <v>43</v>
      </c>
      <c r="H12" s="17"/>
      <c r="I12" s="18" t="s">
        <v>64</v>
      </c>
      <c r="J12" s="3">
        <v>7.08</v>
      </c>
      <c r="K12" s="3" t="s">
        <v>65</v>
      </c>
      <c r="L12" s="17"/>
      <c r="M12" s="3"/>
      <c r="N12" s="13">
        <f t="shared" si="7"/>
        <v>4</v>
      </c>
      <c r="O12" s="13"/>
      <c r="P12" s="23">
        <f t="shared" si="1"/>
        <v>2503.9029436659462</v>
      </c>
      <c r="Q12" s="24">
        <f t="shared" si="2"/>
        <v>7265.4101355475777</v>
      </c>
      <c r="R12" s="24">
        <f t="shared" si="3"/>
        <v>3702.3800335543497</v>
      </c>
      <c r="S12" s="24">
        <f t="shared" si="4"/>
        <v>0.17098562955352017</v>
      </c>
      <c r="T12" s="23">
        <f t="shared" si="5"/>
        <v>0</v>
      </c>
      <c r="U12" s="20">
        <f t="shared" si="0"/>
        <v>13471.864098397426</v>
      </c>
      <c r="V12" s="4"/>
      <c r="W12" s="6">
        <f t="shared" si="6"/>
        <v>6528.7772914447469</v>
      </c>
      <c r="X12" s="3"/>
      <c r="Y12" s="3"/>
      <c r="Z12" s="95" t="s">
        <v>184</v>
      </c>
      <c r="AA12" s="96">
        <f>J10</f>
        <v>0.16</v>
      </c>
      <c r="AB12" s="95" t="s">
        <v>129</v>
      </c>
      <c r="AC12" s="3"/>
      <c r="AD12" s="6"/>
      <c r="AE12" s="3"/>
      <c r="AF12" s="3"/>
      <c r="AG12" s="3"/>
      <c r="AH12" s="3"/>
    </row>
    <row r="13" spans="1:34" x14ac:dyDescent="0.25">
      <c r="A13" s="3" t="s">
        <v>50</v>
      </c>
      <c r="B13" s="3">
        <v>5</v>
      </c>
      <c r="C13" s="3" t="s">
        <v>38</v>
      </c>
      <c r="D13" s="3"/>
      <c r="E13" s="18" t="s">
        <v>126</v>
      </c>
      <c r="F13" s="6">
        <v>2500</v>
      </c>
      <c r="G13" s="3" t="s">
        <v>130</v>
      </c>
      <c r="H13" s="17"/>
      <c r="I13" s="18"/>
      <c r="J13" s="6"/>
      <c r="K13" s="3"/>
      <c r="L13" s="17"/>
      <c r="M13" s="3"/>
      <c r="N13" s="13">
        <f t="shared" si="7"/>
        <v>5</v>
      </c>
      <c r="O13" s="13"/>
      <c r="P13" s="23">
        <f t="shared" si="1"/>
        <v>2384.6694701580436</v>
      </c>
      <c r="Q13" s="24">
        <f t="shared" si="2"/>
        <v>6988.632606574336</v>
      </c>
      <c r="R13" s="24">
        <f t="shared" si="3"/>
        <v>3526.0762224327136</v>
      </c>
      <c r="S13" s="24">
        <f t="shared" si="4"/>
        <v>0.16284345671763825</v>
      </c>
      <c r="T13" s="23">
        <f t="shared" si="5"/>
        <v>0</v>
      </c>
      <c r="U13" s="20">
        <f t="shared" si="0"/>
        <v>12899.541142621811</v>
      </c>
      <c r="V13" s="4"/>
      <c r="W13" s="6">
        <f t="shared" si="6"/>
        <v>5777.6570087718655</v>
      </c>
      <c r="X13" s="3"/>
      <c r="Y13" s="3"/>
      <c r="Z13" s="3"/>
      <c r="AA13" s="3"/>
      <c r="AB13" s="3"/>
      <c r="AC13" s="3"/>
      <c r="AD13" s="6"/>
      <c r="AE13" s="3"/>
      <c r="AF13" s="3"/>
      <c r="AG13" s="3"/>
      <c r="AH13" s="3"/>
    </row>
    <row r="14" spans="1:34" x14ac:dyDescent="0.25">
      <c r="A14" s="3" t="s">
        <v>54</v>
      </c>
      <c r="B14" s="3">
        <v>5</v>
      </c>
      <c r="C14" s="3" t="s">
        <v>38</v>
      </c>
      <c r="D14" s="3"/>
      <c r="E14" s="18" t="s">
        <v>131</v>
      </c>
      <c r="F14" s="3">
        <v>1</v>
      </c>
      <c r="G14" s="3" t="s">
        <v>56</v>
      </c>
      <c r="H14" s="17"/>
      <c r="I14" s="2" t="s">
        <v>78</v>
      </c>
      <c r="J14" s="3"/>
      <c r="K14" s="3"/>
      <c r="L14" s="17"/>
      <c r="M14" s="3"/>
      <c r="N14" s="13">
        <f t="shared" si="7"/>
        <v>6</v>
      </c>
      <c r="O14" s="13"/>
      <c r="P14" s="23">
        <f t="shared" si="1"/>
        <v>0</v>
      </c>
      <c r="Q14" s="24">
        <f t="shared" si="2"/>
        <v>6722.3989834667418</v>
      </c>
      <c r="R14" s="24">
        <f t="shared" si="3"/>
        <v>3358.1678308882992</v>
      </c>
      <c r="S14" s="24">
        <f t="shared" si="4"/>
        <v>0.15508900639775072</v>
      </c>
      <c r="T14" s="23">
        <f t="shared" si="5"/>
        <v>0</v>
      </c>
      <c r="U14" s="20">
        <f t="shared" si="0"/>
        <v>10080.721903361438</v>
      </c>
      <c r="V14" s="4"/>
      <c r="W14" s="6">
        <f t="shared" si="6"/>
        <v>5112.9513262388746</v>
      </c>
      <c r="X14" s="3"/>
      <c r="Y14" s="3"/>
      <c r="Z14" s="3"/>
      <c r="AA14" s="3"/>
      <c r="AB14" s="3"/>
      <c r="AC14" s="3"/>
      <c r="AD14" s="6"/>
      <c r="AE14" s="3"/>
      <c r="AF14" s="3"/>
      <c r="AG14" s="3"/>
      <c r="AH14" s="3"/>
    </row>
    <row r="15" spans="1:34" x14ac:dyDescent="0.25">
      <c r="A15" s="3" t="s">
        <v>59</v>
      </c>
      <c r="B15" s="3">
        <v>25</v>
      </c>
      <c r="C15" s="3" t="s">
        <v>38</v>
      </c>
      <c r="D15" s="3"/>
      <c r="E15" s="18" t="s">
        <v>167</v>
      </c>
      <c r="F15" s="3">
        <v>5.2</v>
      </c>
      <c r="G15" s="3" t="s">
        <v>56</v>
      </c>
      <c r="H15" s="17"/>
      <c r="I15" s="18" t="s">
        <v>83</v>
      </c>
      <c r="J15" s="3">
        <v>5</v>
      </c>
      <c r="K15" s="3" t="s">
        <v>58</v>
      </c>
      <c r="L15" s="17"/>
      <c r="M15" s="3"/>
      <c r="N15" s="13">
        <f t="shared" si="7"/>
        <v>7</v>
      </c>
      <c r="O15" s="13"/>
      <c r="P15" s="23">
        <f t="shared" si="1"/>
        <v>0</v>
      </c>
      <c r="Q15" s="24">
        <f t="shared" si="2"/>
        <v>6466.3075936203895</v>
      </c>
      <c r="R15" s="24">
        <f t="shared" si="3"/>
        <v>3198.2550770364751</v>
      </c>
      <c r="S15" s="24">
        <f t="shared" si="4"/>
        <v>0.14770381561690543</v>
      </c>
      <c r="T15" s="23">
        <f t="shared" si="5"/>
        <v>0</v>
      </c>
      <c r="U15" s="20">
        <f t="shared" si="0"/>
        <v>9664.7103744724827</v>
      </c>
      <c r="V15" s="4"/>
      <c r="W15" s="6">
        <f t="shared" si="6"/>
        <v>4524.718449848725</v>
      </c>
      <c r="X15" s="3"/>
      <c r="Y15" s="3"/>
      <c r="Z15" s="3"/>
      <c r="AA15" s="3"/>
      <c r="AB15" s="3"/>
      <c r="AC15" s="3"/>
      <c r="AD15" s="6"/>
      <c r="AE15" s="3"/>
      <c r="AF15" s="3"/>
      <c r="AG15" s="3"/>
      <c r="AH15" s="3"/>
    </row>
    <row r="16" spans="1:34" x14ac:dyDescent="0.25">
      <c r="A16" s="27" t="s">
        <v>63</v>
      </c>
      <c r="B16" s="3">
        <v>0.3</v>
      </c>
      <c r="C16" s="3" t="s">
        <v>38</v>
      </c>
      <c r="D16" s="3"/>
      <c r="E16" s="18" t="s">
        <v>66</v>
      </c>
      <c r="F16" s="6">
        <v>4.0999999999999996</v>
      </c>
      <c r="G16" s="3" t="s">
        <v>67</v>
      </c>
      <c r="H16" s="17"/>
      <c r="I16" s="18" t="s">
        <v>85</v>
      </c>
      <c r="J16" s="3">
        <v>30</v>
      </c>
      <c r="K16" s="3" t="s">
        <v>86</v>
      </c>
      <c r="L16" s="17"/>
      <c r="M16" s="3"/>
      <c r="N16" s="13">
        <f t="shared" si="7"/>
        <v>8</v>
      </c>
      <c r="O16" s="13"/>
      <c r="P16" s="23">
        <f t="shared" si="1"/>
        <v>0</v>
      </c>
      <c r="Q16" s="24">
        <f t="shared" si="2"/>
        <v>6219.9720662443742</v>
      </c>
      <c r="R16" s="24">
        <f t="shared" si="3"/>
        <v>3045.9572162252148</v>
      </c>
      <c r="S16" s="24">
        <f t="shared" si="4"/>
        <v>0.140670300587529</v>
      </c>
      <c r="T16" s="23">
        <f t="shared" si="5"/>
        <v>0</v>
      </c>
      <c r="U16" s="20">
        <f t="shared" si="0"/>
        <v>9266.0699527701763</v>
      </c>
      <c r="V16" s="4"/>
      <c r="W16" s="6">
        <f t="shared" si="6"/>
        <v>4004.1603653327966</v>
      </c>
      <c r="X16" s="3"/>
      <c r="Y16" s="3"/>
      <c r="Z16" s="3"/>
      <c r="AA16" s="3"/>
      <c r="AB16" s="3"/>
      <c r="AC16" s="3"/>
      <c r="AD16" s="6"/>
      <c r="AE16" s="3"/>
      <c r="AF16" s="3"/>
      <c r="AG16" s="3"/>
      <c r="AH16" s="3"/>
    </row>
    <row r="17" spans="1:41" x14ac:dyDescent="0.25">
      <c r="A17" s="27" t="s">
        <v>168</v>
      </c>
      <c r="B17" s="3">
        <v>1</v>
      </c>
      <c r="C17" s="3" t="s">
        <v>38</v>
      </c>
      <c r="D17" s="3"/>
      <c r="E17" s="18" t="s">
        <v>70</v>
      </c>
      <c r="F17" s="61">
        <v>0</v>
      </c>
      <c r="G17" s="3" t="s">
        <v>38</v>
      </c>
      <c r="H17" s="17"/>
      <c r="I17" s="3"/>
      <c r="J17" s="3"/>
      <c r="K17" s="3"/>
      <c r="L17" s="17"/>
      <c r="M17" s="3"/>
      <c r="N17" s="13">
        <f t="shared" si="7"/>
        <v>9</v>
      </c>
      <c r="O17" s="13"/>
      <c r="P17" s="23">
        <f t="shared" si="1"/>
        <v>0</v>
      </c>
      <c r="Q17" s="24">
        <f t="shared" si="2"/>
        <v>5983.020749435067</v>
      </c>
      <c r="R17" s="24">
        <f t="shared" si="3"/>
        <v>2900.9116345002044</v>
      </c>
      <c r="S17" s="24">
        <f t="shared" si="4"/>
        <v>0.13397171484526571</v>
      </c>
      <c r="T17" s="23">
        <f t="shared" si="5"/>
        <v>0</v>
      </c>
      <c r="U17" s="20">
        <f t="shared" si="0"/>
        <v>8884.0663556501167</v>
      </c>
      <c r="V17" s="4"/>
      <c r="W17" s="6">
        <f t="shared" si="6"/>
        <v>3543.4912490164133</v>
      </c>
      <c r="X17" s="3"/>
      <c r="Y17" s="3"/>
      <c r="Z17" s="3"/>
      <c r="AA17" s="3"/>
      <c r="AB17" s="3"/>
      <c r="AC17" s="3"/>
      <c r="AD17" s="6"/>
      <c r="AE17" s="3"/>
      <c r="AF17" s="3"/>
      <c r="AG17" s="3"/>
      <c r="AH17" s="3"/>
    </row>
    <row r="18" spans="1:41" x14ac:dyDescent="0.25">
      <c r="A18" s="18" t="s">
        <v>69</v>
      </c>
      <c r="B18" s="3">
        <v>0.3</v>
      </c>
      <c r="C18" s="3" t="s">
        <v>38</v>
      </c>
      <c r="D18" s="3"/>
      <c r="E18" s="18" t="s">
        <v>73</v>
      </c>
      <c r="F18" s="3">
        <v>0</v>
      </c>
      <c r="G18" s="3" t="s">
        <v>61</v>
      </c>
      <c r="H18" s="17"/>
      <c r="I18" s="18"/>
      <c r="J18" s="3"/>
      <c r="K18" s="3"/>
      <c r="L18" s="17"/>
      <c r="M18" s="3"/>
      <c r="N18" s="13">
        <f t="shared" si="7"/>
        <v>10</v>
      </c>
      <c r="O18" s="13"/>
      <c r="P18" s="23">
        <f t="shared" si="1"/>
        <v>0</v>
      </c>
      <c r="Q18" s="24">
        <f t="shared" si="2"/>
        <v>5755.0961494565881</v>
      </c>
      <c r="R18" s="24">
        <f t="shared" si="3"/>
        <v>2762.7729852382899</v>
      </c>
      <c r="S18" s="24">
        <f t="shared" si="4"/>
        <v>0.12759210937644352</v>
      </c>
      <c r="T18" s="23">
        <f t="shared" si="5"/>
        <v>-3135.8210177010014</v>
      </c>
      <c r="U18" s="20">
        <f t="shared" si="0"/>
        <v>5382.1757091032532</v>
      </c>
      <c r="V18" s="4"/>
      <c r="W18" s="6">
        <f t="shared" si="6"/>
        <v>3135.8210177010014</v>
      </c>
      <c r="X18" s="3"/>
      <c r="Y18" s="3"/>
      <c r="Z18" s="3"/>
      <c r="AA18" s="3"/>
      <c r="AB18" s="3"/>
      <c r="AC18" s="3"/>
      <c r="AD18" s="6"/>
      <c r="AE18" s="3"/>
      <c r="AF18" s="3"/>
      <c r="AG18" s="3"/>
      <c r="AH18" s="3"/>
    </row>
    <row r="19" spans="1:41" x14ac:dyDescent="0.25">
      <c r="A19" s="3"/>
      <c r="B19" s="3"/>
      <c r="C19" s="3"/>
      <c r="D19" s="3"/>
      <c r="E19" s="18" t="s">
        <v>48</v>
      </c>
      <c r="F19" s="28">
        <v>210</v>
      </c>
      <c r="G19" s="3" t="s">
        <v>76</v>
      </c>
      <c r="H19" s="17"/>
      <c r="I19" s="3"/>
      <c r="J19" s="3"/>
      <c r="K19" s="3"/>
      <c r="L19" s="17"/>
      <c r="M19" s="3"/>
      <c r="N19" s="13">
        <f t="shared" si="7"/>
        <v>0</v>
      </c>
      <c r="O19" s="13"/>
      <c r="P19" s="23">
        <f t="shared" si="1"/>
        <v>0</v>
      </c>
      <c r="Q19" s="24">
        <f t="shared" si="2"/>
        <v>0</v>
      </c>
      <c r="R19" s="24">
        <f t="shared" si="3"/>
        <v>0</v>
      </c>
      <c r="S19" s="24">
        <f t="shared" si="4"/>
        <v>0</v>
      </c>
      <c r="T19" s="23">
        <f t="shared" si="5"/>
        <v>0</v>
      </c>
      <c r="U19" s="20">
        <f t="shared" si="0"/>
        <v>0</v>
      </c>
      <c r="V19" s="4"/>
      <c r="W19" s="6">
        <f t="shared" si="6"/>
        <v>0</v>
      </c>
      <c r="X19" s="3"/>
      <c r="Y19" s="3"/>
      <c r="Z19" s="3"/>
      <c r="AA19" s="3"/>
      <c r="AB19" s="3"/>
      <c r="AC19" s="3"/>
      <c r="AD19" s="6"/>
      <c r="AE19" s="3"/>
      <c r="AF19" s="3"/>
      <c r="AG19" s="3"/>
      <c r="AH19" s="3"/>
    </row>
    <row r="20" spans="1:41" x14ac:dyDescent="0.25">
      <c r="A20" s="3"/>
      <c r="B20" s="3"/>
      <c r="C20" s="3"/>
      <c r="D20" s="3"/>
      <c r="E20" s="18" t="s">
        <v>77</v>
      </c>
      <c r="F20" s="3">
        <v>10</v>
      </c>
      <c r="G20" s="3" t="s">
        <v>65</v>
      </c>
      <c r="H20" s="17"/>
      <c r="I20" s="3"/>
      <c r="J20" s="3"/>
      <c r="K20" s="3"/>
      <c r="L20" s="17"/>
      <c r="M20" s="3"/>
      <c r="N20" s="13">
        <f t="shared" si="7"/>
        <v>0</v>
      </c>
      <c r="O20" s="13"/>
      <c r="P20" s="23">
        <f t="shared" si="1"/>
        <v>0</v>
      </c>
      <c r="Q20" s="24">
        <f t="shared" si="2"/>
        <v>0</v>
      </c>
      <c r="R20" s="24">
        <f t="shared" si="3"/>
        <v>0</v>
      </c>
      <c r="S20" s="24">
        <f t="shared" si="4"/>
        <v>0</v>
      </c>
      <c r="T20" s="23">
        <f t="shared" si="5"/>
        <v>0</v>
      </c>
      <c r="U20" s="20">
        <f t="shared" si="0"/>
        <v>0</v>
      </c>
      <c r="V20" s="4"/>
      <c r="W20" s="6">
        <f t="shared" si="6"/>
        <v>0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41" ht="15.75" customHeight="1" x14ac:dyDescent="0.25">
      <c r="A21" s="3"/>
      <c r="B21" s="3"/>
      <c r="C21" s="3"/>
      <c r="D21" s="3"/>
      <c r="E21" s="3"/>
      <c r="F21" s="8"/>
      <c r="G21" s="3"/>
      <c r="H21" s="17"/>
      <c r="I21" s="3"/>
      <c r="J21" s="3"/>
      <c r="K21" s="3"/>
      <c r="L21" s="17"/>
      <c r="M21" s="3"/>
      <c r="N21" s="13">
        <f t="shared" si="7"/>
        <v>0</v>
      </c>
      <c r="O21" s="13"/>
      <c r="P21" s="23">
        <f t="shared" si="1"/>
        <v>0</v>
      </c>
      <c r="Q21" s="24">
        <f t="shared" si="2"/>
        <v>0</v>
      </c>
      <c r="R21" s="24">
        <f t="shared" si="3"/>
        <v>0</v>
      </c>
      <c r="S21" s="24">
        <f t="shared" si="4"/>
        <v>0</v>
      </c>
      <c r="T21" s="23">
        <f t="shared" si="5"/>
        <v>0</v>
      </c>
      <c r="U21" s="20">
        <f t="shared" si="0"/>
        <v>0</v>
      </c>
      <c r="V21" s="4"/>
      <c r="W21" s="6">
        <f t="shared" si="6"/>
        <v>0</v>
      </c>
      <c r="X21" s="3"/>
      <c r="Y21" s="3"/>
      <c r="Z21" s="30" t="s">
        <v>126</v>
      </c>
      <c r="AA21" s="31"/>
      <c r="AB21" s="31"/>
      <c r="AC21" s="31"/>
      <c r="AD21" s="3"/>
      <c r="AE21" s="30" t="s">
        <v>28</v>
      </c>
      <c r="AF21" s="31"/>
      <c r="AG21" s="31"/>
      <c r="AH21" s="31"/>
      <c r="AJ21" s="89" t="s">
        <v>172</v>
      </c>
      <c r="AK21" s="89" t="s">
        <v>174</v>
      </c>
      <c r="AL21" s="89" t="s">
        <v>183</v>
      </c>
      <c r="AM21" s="89" t="s">
        <v>177</v>
      </c>
      <c r="AN21" s="89" t="s">
        <v>176</v>
      </c>
      <c r="AO21" s="94" t="str">
        <f>Z51</f>
        <v>Energy Efficiency</v>
      </c>
    </row>
    <row r="22" spans="1:41" ht="15.75" customHeight="1" x14ac:dyDescent="0.25">
      <c r="A22" s="3"/>
      <c r="B22" s="3"/>
      <c r="C22" s="3"/>
      <c r="D22" s="3"/>
      <c r="E22" s="3"/>
      <c r="F22" s="3"/>
      <c r="G22" s="3"/>
      <c r="H22" s="17"/>
      <c r="I22" s="3"/>
      <c r="J22" s="3"/>
      <c r="K22" s="3"/>
      <c r="L22" s="17"/>
      <c r="M22" s="3"/>
      <c r="N22" s="13">
        <f t="shared" si="7"/>
        <v>0</v>
      </c>
      <c r="O22" s="13"/>
      <c r="P22" s="23">
        <f t="shared" si="1"/>
        <v>0</v>
      </c>
      <c r="Q22" s="24">
        <f t="shared" si="2"/>
        <v>0</v>
      </c>
      <c r="R22" s="24">
        <f t="shared" si="3"/>
        <v>0</v>
      </c>
      <c r="S22" s="24">
        <f t="shared" si="4"/>
        <v>0</v>
      </c>
      <c r="T22" s="23">
        <f t="shared" si="5"/>
        <v>0</v>
      </c>
      <c r="U22" s="20">
        <f t="shared" si="0"/>
        <v>0</v>
      </c>
      <c r="V22" s="4"/>
      <c r="W22" s="6">
        <f t="shared" si="6"/>
        <v>0</v>
      </c>
      <c r="X22" s="3"/>
      <c r="Y22" s="3"/>
      <c r="Z22" s="31" t="s">
        <v>79</v>
      </c>
      <c r="AA22" s="31" t="s">
        <v>132</v>
      </c>
      <c r="AB22" s="31" t="s">
        <v>23</v>
      </c>
      <c r="AC22" s="31" t="s">
        <v>81</v>
      </c>
      <c r="AD22" s="3"/>
      <c r="AE22" s="31" t="s">
        <v>79</v>
      </c>
      <c r="AF22" s="31" t="s">
        <v>82</v>
      </c>
      <c r="AG22" s="31" t="s">
        <v>23</v>
      </c>
      <c r="AH22" s="31" t="s">
        <v>81</v>
      </c>
      <c r="AJ22" s="90">
        <v>-50</v>
      </c>
      <c r="AK22" s="91">
        <f>AH24</f>
        <v>-7.4188029411878773</v>
      </c>
      <c r="AL22" s="91">
        <f>AC24</f>
        <v>-29.197197496030974</v>
      </c>
      <c r="AM22" s="92">
        <f t="shared" ref="AM22:AM32" si="8">AC39</f>
        <v>-14.70995225046604</v>
      </c>
      <c r="AN22" s="92">
        <f t="shared" ref="AN22:AN32" si="9">AH39</f>
        <v>-43.907149746497005</v>
      </c>
      <c r="AO22" s="58">
        <f>AC54</f>
        <v>29.197197496030952</v>
      </c>
    </row>
    <row r="23" spans="1:41" ht="15.75" customHeight="1" x14ac:dyDescent="0.25">
      <c r="A23" s="3"/>
      <c r="B23" s="3"/>
      <c r="C23" s="3"/>
      <c r="D23" s="3"/>
      <c r="E23" s="3"/>
      <c r="F23" s="3"/>
      <c r="G23" s="3"/>
      <c r="H23" s="17"/>
      <c r="I23" s="3"/>
      <c r="J23" s="3"/>
      <c r="K23" s="3"/>
      <c r="L23" s="17"/>
      <c r="M23" s="3"/>
      <c r="N23" s="13">
        <f t="shared" si="7"/>
        <v>0</v>
      </c>
      <c r="O23" s="13"/>
      <c r="P23" s="23">
        <f t="shared" si="1"/>
        <v>0</v>
      </c>
      <c r="Q23" s="24">
        <f t="shared" si="2"/>
        <v>0</v>
      </c>
      <c r="R23" s="24">
        <f t="shared" si="3"/>
        <v>0</v>
      </c>
      <c r="S23" s="24">
        <f t="shared" si="4"/>
        <v>0</v>
      </c>
      <c r="T23" s="23">
        <f t="shared" si="5"/>
        <v>0</v>
      </c>
      <c r="U23" s="20">
        <f t="shared" si="0"/>
        <v>0</v>
      </c>
      <c r="V23" s="4"/>
      <c r="W23" s="6">
        <f t="shared" si="6"/>
        <v>0</v>
      </c>
      <c r="X23" s="3"/>
      <c r="Y23" s="3"/>
      <c r="Z23" s="31" t="s">
        <v>133</v>
      </c>
      <c r="AA23" s="33">
        <v>1.1904761904761905</v>
      </c>
      <c r="AB23" s="34">
        <f>U49</f>
        <v>118109.85715548736</v>
      </c>
      <c r="AC23" s="31"/>
      <c r="AD23" s="3"/>
      <c r="AE23" s="31" t="s">
        <v>133</v>
      </c>
      <c r="AF23" s="35">
        <v>14492.903225806453</v>
      </c>
      <c r="AG23" s="34">
        <f>U49</f>
        <v>118109.85715548736</v>
      </c>
      <c r="AH23" s="31"/>
      <c r="AJ23" s="90">
        <v>-40</v>
      </c>
      <c r="AK23" s="91">
        <f>AH25</f>
        <v>-5.9350423529502967</v>
      </c>
      <c r="AL23" s="91">
        <f t="shared" ref="AL23:AL32" si="10">AC25</f>
        <v>-23.357757996824784</v>
      </c>
      <c r="AM23" s="92">
        <f t="shared" si="8"/>
        <v>-11.767961800372815</v>
      </c>
      <c r="AN23" s="92">
        <f t="shared" si="9"/>
        <v>-35.125719797197604</v>
      </c>
      <c r="AO23" s="58">
        <f t="shared" ref="AO23:AO32" si="11">AC55</f>
        <v>23.35775799682477</v>
      </c>
    </row>
    <row r="24" spans="1:41" ht="15.75" customHeight="1" x14ac:dyDescent="0.25">
      <c r="A24" s="15"/>
      <c r="B24" s="3"/>
      <c r="C24" s="3"/>
      <c r="D24" s="3"/>
      <c r="E24" s="3"/>
      <c r="F24" s="3"/>
      <c r="G24" s="3"/>
      <c r="H24" s="17"/>
      <c r="I24" s="3"/>
      <c r="J24" s="3"/>
      <c r="K24" s="3"/>
      <c r="L24" s="17"/>
      <c r="M24" s="3"/>
      <c r="N24" s="13">
        <f t="shared" si="7"/>
        <v>0</v>
      </c>
      <c r="O24" s="13"/>
      <c r="P24" s="23">
        <f t="shared" si="1"/>
        <v>0</v>
      </c>
      <c r="Q24" s="24">
        <f t="shared" si="2"/>
        <v>0</v>
      </c>
      <c r="R24" s="24">
        <f t="shared" si="3"/>
        <v>0</v>
      </c>
      <c r="S24" s="24">
        <f t="shared" si="4"/>
        <v>0</v>
      </c>
      <c r="T24" s="23">
        <f t="shared" si="5"/>
        <v>0</v>
      </c>
      <c r="U24" s="20">
        <f t="shared" si="0"/>
        <v>0</v>
      </c>
      <c r="V24" s="4"/>
      <c r="W24" s="6">
        <f t="shared" si="6"/>
        <v>0</v>
      </c>
      <c r="X24" s="3"/>
      <c r="Y24" s="3"/>
      <c r="Z24" s="31">
        <f t="shared" ref="Z24:Z28" si="12">Z25-10</f>
        <v>-50</v>
      </c>
      <c r="AA24" s="33">
        <f t="shared" ref="AA24:AA34" si="13">$AA$23*(1+(Z24/100))</f>
        <v>0.59523809523809523</v>
      </c>
      <c r="AB24" s="34">
        <f t="dataTable" ref="AB24:AB34" dt2D="0" dtr="0" r1="F36"/>
        <v>83625.088899519644</v>
      </c>
      <c r="AC24" s="38">
        <f t="shared" ref="AC24:AC34" si="14">100*((AB24-$AB$29)/$AB$29)</f>
        <v>-29.197197496030974</v>
      </c>
      <c r="AD24" s="3"/>
      <c r="AE24" s="31">
        <f t="shared" ref="AE24:AE28" si="15">AE25-10</f>
        <v>-50</v>
      </c>
      <c r="AF24" s="35">
        <f t="shared" ref="AF24:AF34" si="16">$AF$23*(1+(AE24/100))</f>
        <v>7246.4516129032263</v>
      </c>
      <c r="AG24" s="34">
        <f t="dataTable" ref="AG24:AG34" dt2D="0" dtr="0" r1="B47" ca="1"/>
        <v>109347.51959900327</v>
      </c>
      <c r="AH24" s="38">
        <f t="shared" ref="AH24:AH34" si="17">100*((AG24-$AG$29)/$AG$29)</f>
        <v>-7.4188029411878773</v>
      </c>
      <c r="AJ24" s="90">
        <v>-30</v>
      </c>
      <c r="AK24" s="91">
        <f t="shared" ref="AK24:AK32" si="18">AH26</f>
        <v>-4.451281764712717</v>
      </c>
      <c r="AL24" s="91">
        <f t="shared" si="10"/>
        <v>-17.518318497618584</v>
      </c>
      <c r="AM24" s="92">
        <f t="shared" si="8"/>
        <v>-8.8259713502796266</v>
      </c>
      <c r="AN24" s="92">
        <f t="shared" si="9"/>
        <v>-26.344289847898221</v>
      </c>
      <c r="AO24" s="58">
        <f t="shared" si="11"/>
        <v>17.518318497618584</v>
      </c>
    </row>
    <row r="25" spans="1:41" ht="15.75" customHeight="1" x14ac:dyDescent="0.25">
      <c r="A25" s="15"/>
      <c r="B25" s="3"/>
      <c r="C25" s="3"/>
      <c r="D25" s="3"/>
      <c r="E25" s="3"/>
      <c r="F25" s="3"/>
      <c r="G25" s="3"/>
      <c r="H25" s="17"/>
      <c r="I25" s="3"/>
      <c r="J25" s="3"/>
      <c r="K25" s="3"/>
      <c r="L25" s="17"/>
      <c r="M25" s="3"/>
      <c r="N25" s="13">
        <f t="shared" si="7"/>
        <v>0</v>
      </c>
      <c r="O25" s="13"/>
      <c r="P25" s="23">
        <f t="shared" si="1"/>
        <v>0</v>
      </c>
      <c r="Q25" s="24">
        <f t="shared" si="2"/>
        <v>0</v>
      </c>
      <c r="R25" s="24">
        <f t="shared" si="3"/>
        <v>0</v>
      </c>
      <c r="S25" s="24">
        <f t="shared" si="4"/>
        <v>0</v>
      </c>
      <c r="T25" s="23">
        <f t="shared" si="5"/>
        <v>0</v>
      </c>
      <c r="U25" s="20">
        <f t="shared" si="0"/>
        <v>0</v>
      </c>
      <c r="V25" s="4"/>
      <c r="W25" s="6">
        <f t="shared" si="6"/>
        <v>0</v>
      </c>
      <c r="X25" s="3"/>
      <c r="Y25" s="3"/>
      <c r="Z25" s="31">
        <f t="shared" si="12"/>
        <v>-40</v>
      </c>
      <c r="AA25" s="33">
        <f t="shared" si="13"/>
        <v>0.7142857142857143</v>
      </c>
      <c r="AB25" s="34">
        <v>90522.042550713188</v>
      </c>
      <c r="AC25" s="38">
        <f t="shared" si="14"/>
        <v>-23.357757996824784</v>
      </c>
      <c r="AD25" s="3"/>
      <c r="AE25" s="31">
        <f t="shared" si="15"/>
        <v>-40</v>
      </c>
      <c r="AF25" s="35">
        <f t="shared" si="16"/>
        <v>8695.7419354838712</v>
      </c>
      <c r="AG25" s="34">
        <v>111099.98711030009</v>
      </c>
      <c r="AH25" s="38">
        <f t="shared" si="17"/>
        <v>-5.9350423529502967</v>
      </c>
      <c r="AJ25" s="90">
        <v>-20</v>
      </c>
      <c r="AK25" s="91">
        <f t="shared" si="18"/>
        <v>-2.9675211764751608</v>
      </c>
      <c r="AL25" s="91">
        <f t="shared" si="10"/>
        <v>-11.678878998412403</v>
      </c>
      <c r="AM25" s="92">
        <f t="shared" si="8"/>
        <v>-5.8839809001864136</v>
      </c>
      <c r="AN25" s="92">
        <f t="shared" si="9"/>
        <v>-17.562859898598802</v>
      </c>
      <c r="AO25" s="58">
        <f t="shared" si="11"/>
        <v>11.678878998412403</v>
      </c>
    </row>
    <row r="26" spans="1:41" ht="15.75" customHeight="1" x14ac:dyDescent="0.25">
      <c r="A26" s="40"/>
      <c r="B26" s="41"/>
      <c r="C26" s="41"/>
      <c r="D26" s="41"/>
      <c r="E26" s="41"/>
      <c r="F26" s="41"/>
      <c r="G26" s="41"/>
      <c r="H26" s="42"/>
      <c r="I26" s="41"/>
      <c r="J26" s="41"/>
      <c r="K26" s="41"/>
      <c r="L26" s="42"/>
      <c r="M26" s="3"/>
      <c r="N26" s="13">
        <f t="shared" si="7"/>
        <v>0</v>
      </c>
      <c r="O26" s="13"/>
      <c r="P26" s="23">
        <f t="shared" si="1"/>
        <v>0</v>
      </c>
      <c r="Q26" s="24">
        <f t="shared" si="2"/>
        <v>0</v>
      </c>
      <c r="R26" s="24">
        <f t="shared" si="3"/>
        <v>0</v>
      </c>
      <c r="S26" s="24">
        <f t="shared" si="4"/>
        <v>0</v>
      </c>
      <c r="T26" s="23">
        <f t="shared" si="5"/>
        <v>0</v>
      </c>
      <c r="U26" s="20">
        <f t="shared" si="0"/>
        <v>0</v>
      </c>
      <c r="V26" s="4"/>
      <c r="W26" s="6">
        <f t="shared" si="6"/>
        <v>0</v>
      </c>
      <c r="X26" s="3"/>
      <c r="Y26" s="3"/>
      <c r="Z26" s="31">
        <f t="shared" si="12"/>
        <v>-30</v>
      </c>
      <c r="AA26" s="33">
        <f t="shared" si="13"/>
        <v>0.83333333333333326</v>
      </c>
      <c r="AB26" s="34">
        <v>97418.996201906732</v>
      </c>
      <c r="AC26" s="38">
        <f t="shared" si="14"/>
        <v>-17.518318497618584</v>
      </c>
      <c r="AD26" s="3"/>
      <c r="AE26" s="31">
        <f t="shared" si="15"/>
        <v>-30</v>
      </c>
      <c r="AF26" s="35">
        <f t="shared" si="16"/>
        <v>10145.032258064517</v>
      </c>
      <c r="AG26" s="34">
        <v>112852.45462159692</v>
      </c>
      <c r="AH26" s="38">
        <f t="shared" si="17"/>
        <v>-4.451281764712717</v>
      </c>
      <c r="AJ26" s="90">
        <v>-10</v>
      </c>
      <c r="AK26" s="91">
        <f t="shared" si="18"/>
        <v>-1.4837605882375804</v>
      </c>
      <c r="AL26" s="91">
        <f t="shared" si="10"/>
        <v>-5.839439499206196</v>
      </c>
      <c r="AM26" s="92">
        <f t="shared" si="8"/>
        <v>-2.941990450093213</v>
      </c>
      <c r="AN26" s="92">
        <f t="shared" si="9"/>
        <v>-8.7814299492994081</v>
      </c>
      <c r="AO26" s="58">
        <f t="shared" si="11"/>
        <v>5.8394394992061827</v>
      </c>
    </row>
    <row r="27" spans="1:41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6"/>
      <c r="K27" s="3"/>
      <c r="L27" s="3"/>
      <c r="M27" s="3"/>
      <c r="N27" s="13">
        <f t="shared" si="7"/>
        <v>0</v>
      </c>
      <c r="O27" s="13"/>
      <c r="P27" s="23">
        <f t="shared" si="1"/>
        <v>0</v>
      </c>
      <c r="Q27" s="24">
        <f t="shared" si="2"/>
        <v>0</v>
      </c>
      <c r="R27" s="24">
        <f t="shared" si="3"/>
        <v>0</v>
      </c>
      <c r="S27" s="24">
        <f t="shared" si="4"/>
        <v>0</v>
      </c>
      <c r="T27" s="23">
        <f t="shared" si="5"/>
        <v>0</v>
      </c>
      <c r="U27" s="20">
        <f t="shared" si="0"/>
        <v>0</v>
      </c>
      <c r="V27" s="4"/>
      <c r="W27" s="6">
        <f t="shared" si="6"/>
        <v>0</v>
      </c>
      <c r="X27" s="3"/>
      <c r="Y27" s="3"/>
      <c r="Z27" s="31">
        <f t="shared" si="12"/>
        <v>-20</v>
      </c>
      <c r="AA27" s="33">
        <f t="shared" si="13"/>
        <v>0.95238095238095244</v>
      </c>
      <c r="AB27" s="34">
        <v>104315.94985310026</v>
      </c>
      <c r="AC27" s="38">
        <f t="shared" si="14"/>
        <v>-11.678878998412403</v>
      </c>
      <c r="AD27" s="3"/>
      <c r="AE27" s="31">
        <f t="shared" si="15"/>
        <v>-20</v>
      </c>
      <c r="AF27" s="35">
        <f t="shared" si="16"/>
        <v>11594.322580645163</v>
      </c>
      <c r="AG27" s="34">
        <v>114604.92213289371</v>
      </c>
      <c r="AH27" s="38">
        <f t="shared" si="17"/>
        <v>-2.9675211764751608</v>
      </c>
      <c r="AJ27" s="90">
        <v>0</v>
      </c>
      <c r="AK27" s="91">
        <f t="shared" si="18"/>
        <v>0</v>
      </c>
      <c r="AL27" s="91">
        <f t="shared" si="10"/>
        <v>0</v>
      </c>
      <c r="AM27" s="92">
        <f t="shared" si="8"/>
        <v>0</v>
      </c>
      <c r="AN27" s="92">
        <f t="shared" si="9"/>
        <v>0</v>
      </c>
      <c r="AO27" s="58">
        <f t="shared" si="11"/>
        <v>0</v>
      </c>
    </row>
    <row r="28" spans="1:41" ht="15.75" customHeight="1" x14ac:dyDescent="0.25">
      <c r="A28" s="2" t="s">
        <v>87</v>
      </c>
      <c r="B28" s="3"/>
      <c r="C28" s="3"/>
      <c r="D28" s="3"/>
      <c r="E28" s="3"/>
      <c r="F28" s="3"/>
      <c r="G28" s="3"/>
      <c r="H28" s="3"/>
      <c r="I28" s="3"/>
      <c r="J28" s="6"/>
      <c r="K28" s="3"/>
      <c r="L28" s="3"/>
      <c r="M28" s="3"/>
      <c r="N28" s="13">
        <f t="shared" si="7"/>
        <v>0</v>
      </c>
      <c r="O28" s="13"/>
      <c r="P28" s="23">
        <f t="shared" si="1"/>
        <v>0</v>
      </c>
      <c r="Q28" s="24">
        <f t="shared" si="2"/>
        <v>0</v>
      </c>
      <c r="R28" s="24">
        <f t="shared" si="3"/>
        <v>0</v>
      </c>
      <c r="S28" s="24">
        <f t="shared" si="4"/>
        <v>0</v>
      </c>
      <c r="T28" s="23">
        <f t="shared" si="5"/>
        <v>0</v>
      </c>
      <c r="U28" s="20">
        <f t="shared" si="0"/>
        <v>0</v>
      </c>
      <c r="V28" s="4"/>
      <c r="W28" s="6">
        <f t="shared" si="6"/>
        <v>0</v>
      </c>
      <c r="X28" s="3"/>
      <c r="Y28" s="3"/>
      <c r="Z28" s="31">
        <f t="shared" si="12"/>
        <v>-10</v>
      </c>
      <c r="AA28" s="33">
        <f t="shared" si="13"/>
        <v>1.0714285714285714</v>
      </c>
      <c r="AB28" s="34">
        <v>111212.90350429382</v>
      </c>
      <c r="AC28" s="38">
        <f t="shared" si="14"/>
        <v>-5.839439499206196</v>
      </c>
      <c r="AD28" s="3"/>
      <c r="AE28" s="31">
        <f t="shared" si="15"/>
        <v>-10</v>
      </c>
      <c r="AF28" s="35">
        <f t="shared" si="16"/>
        <v>13043.612903225807</v>
      </c>
      <c r="AG28" s="34">
        <v>116357.38964419054</v>
      </c>
      <c r="AH28" s="38">
        <f t="shared" si="17"/>
        <v>-1.4837605882375804</v>
      </c>
      <c r="AJ28" s="90">
        <v>10</v>
      </c>
      <c r="AK28" s="91">
        <f t="shared" si="18"/>
        <v>1.4837605882375557</v>
      </c>
      <c r="AL28" s="91">
        <f t="shared" si="10"/>
        <v>5.8394394992061827</v>
      </c>
      <c r="AM28" s="92">
        <f t="shared" si="8"/>
        <v>2.9419904500931882</v>
      </c>
      <c r="AN28" s="92">
        <f t="shared" si="9"/>
        <v>8.7814299492994206</v>
      </c>
      <c r="AO28" s="58">
        <f t="shared" si="11"/>
        <v>-5.839439499206196</v>
      </c>
    </row>
    <row r="29" spans="1:41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6"/>
      <c r="K29" s="3"/>
      <c r="L29" s="3"/>
      <c r="M29" s="3"/>
      <c r="N29" s="13">
        <f t="shared" si="7"/>
        <v>0</v>
      </c>
      <c r="O29" s="13"/>
      <c r="P29" s="23">
        <f t="shared" si="1"/>
        <v>0</v>
      </c>
      <c r="Q29" s="24">
        <f t="shared" si="2"/>
        <v>0</v>
      </c>
      <c r="R29" s="24">
        <f t="shared" si="3"/>
        <v>0</v>
      </c>
      <c r="S29" s="24">
        <f t="shared" si="4"/>
        <v>0</v>
      </c>
      <c r="T29" s="23">
        <f t="shared" si="5"/>
        <v>0</v>
      </c>
      <c r="U29" s="20">
        <f t="shared" si="0"/>
        <v>0</v>
      </c>
      <c r="V29" s="4"/>
      <c r="W29" s="6">
        <f t="shared" si="6"/>
        <v>0</v>
      </c>
      <c r="X29" s="3"/>
      <c r="Y29" s="3"/>
      <c r="Z29" s="43">
        <v>0</v>
      </c>
      <c r="AA29" s="44">
        <f t="shared" si="13"/>
        <v>1.1904761904761905</v>
      </c>
      <c r="AB29" s="45">
        <v>118109.85715548736</v>
      </c>
      <c r="AC29" s="46">
        <f t="shared" si="14"/>
        <v>0</v>
      </c>
      <c r="AD29" s="3"/>
      <c r="AE29" s="43">
        <v>0</v>
      </c>
      <c r="AF29" s="47">
        <f t="shared" si="16"/>
        <v>14492.903225806453</v>
      </c>
      <c r="AG29" s="45">
        <v>118109.85715548736</v>
      </c>
      <c r="AH29" s="46">
        <f t="shared" si="17"/>
        <v>0</v>
      </c>
      <c r="AJ29" s="90">
        <v>20</v>
      </c>
      <c r="AK29" s="91">
        <f t="shared" si="18"/>
        <v>2.9675211764751364</v>
      </c>
      <c r="AL29" s="91">
        <f t="shared" si="10"/>
        <v>11.678878998412403</v>
      </c>
      <c r="AM29" s="92">
        <f t="shared" si="8"/>
        <v>5.8839809001863888</v>
      </c>
      <c r="AN29" s="92">
        <f t="shared" si="9"/>
        <v>17.562859898598777</v>
      </c>
      <c r="AO29" s="58">
        <f t="shared" si="11"/>
        <v>-11.678878998412403</v>
      </c>
    </row>
    <row r="30" spans="1:41" ht="15.75" customHeight="1" x14ac:dyDescent="0.25">
      <c r="A30" s="9" t="s">
        <v>88</v>
      </c>
      <c r="B30" s="10"/>
      <c r="C30" s="10"/>
      <c r="D30" s="10"/>
      <c r="E30" s="12" t="s">
        <v>89</v>
      </c>
      <c r="F30" s="10"/>
      <c r="G30" s="10"/>
      <c r="H30" s="10"/>
      <c r="I30" s="12"/>
      <c r="J30" s="48"/>
      <c r="K30" s="10"/>
      <c r="L30" s="11"/>
      <c r="M30" s="3"/>
      <c r="N30" s="13">
        <f t="shared" si="7"/>
        <v>0</v>
      </c>
      <c r="O30" s="13"/>
      <c r="P30" s="23">
        <f t="shared" si="1"/>
        <v>0</v>
      </c>
      <c r="Q30" s="24">
        <f t="shared" si="2"/>
        <v>0</v>
      </c>
      <c r="R30" s="24">
        <f t="shared" si="3"/>
        <v>0</v>
      </c>
      <c r="S30" s="24">
        <f t="shared" si="4"/>
        <v>0</v>
      </c>
      <c r="T30" s="23">
        <f t="shared" si="5"/>
        <v>0</v>
      </c>
      <c r="U30" s="20">
        <f t="shared" si="0"/>
        <v>0</v>
      </c>
      <c r="V30" s="4"/>
      <c r="W30" s="6">
        <f t="shared" si="6"/>
        <v>0</v>
      </c>
      <c r="X30" s="3"/>
      <c r="Y30" s="3"/>
      <c r="Z30" s="31">
        <f t="shared" ref="Z30:Z34" si="19">Z29+10</f>
        <v>10</v>
      </c>
      <c r="AA30" s="33">
        <f t="shared" si="13"/>
        <v>1.3095238095238095</v>
      </c>
      <c r="AB30" s="34">
        <v>125006.81080668089</v>
      </c>
      <c r="AC30" s="38">
        <f t="shared" si="14"/>
        <v>5.8394394992061827</v>
      </c>
      <c r="AD30" s="3"/>
      <c r="AE30" s="31">
        <f t="shared" ref="AE30:AE34" si="20">AE29+10</f>
        <v>10</v>
      </c>
      <c r="AF30" s="35">
        <f t="shared" si="16"/>
        <v>15942.193548387098</v>
      </c>
      <c r="AG30" s="34">
        <v>119862.32466678416</v>
      </c>
      <c r="AH30" s="38">
        <f t="shared" si="17"/>
        <v>1.4837605882375557</v>
      </c>
      <c r="AJ30" s="90">
        <v>30</v>
      </c>
      <c r="AK30" s="91">
        <f t="shared" si="18"/>
        <v>4.451281764712717</v>
      </c>
      <c r="AL30" s="91">
        <f t="shared" si="10"/>
        <v>17.518318497618584</v>
      </c>
      <c r="AM30" s="92">
        <f t="shared" si="8"/>
        <v>8.8259713502796018</v>
      </c>
      <c r="AN30" s="92">
        <f t="shared" si="9"/>
        <v>26.344289847898178</v>
      </c>
      <c r="AO30" s="58">
        <f t="shared" si="11"/>
        <v>-17.518318497618584</v>
      </c>
    </row>
    <row r="31" spans="1:41" ht="15.75" customHeight="1" x14ac:dyDescent="0.25">
      <c r="A31" s="27" t="s">
        <v>141</v>
      </c>
      <c r="B31" s="6">
        <f t="shared" ref="B31:B32" si="21">IF(B11=0,0,-(B11/100)*$B$45)</f>
        <v>-1449.2903225806454</v>
      </c>
      <c r="C31" s="3" t="s">
        <v>3</v>
      </c>
      <c r="D31" s="3"/>
      <c r="E31" s="18" t="s">
        <v>91</v>
      </c>
      <c r="F31" s="26">
        <f>(J16/100)*B47</f>
        <v>4347.8709677419356</v>
      </c>
      <c r="G31" s="3" t="s">
        <v>3</v>
      </c>
      <c r="H31" s="3"/>
      <c r="I31" s="2" t="s">
        <v>100</v>
      </c>
      <c r="J31" s="49">
        <f>SUM(J32:J35)</f>
        <v>4500.266070660522</v>
      </c>
      <c r="K31" s="2" t="s">
        <v>49</v>
      </c>
      <c r="L31" s="17"/>
      <c r="M31" s="3"/>
      <c r="N31" s="13">
        <f t="shared" si="7"/>
        <v>0</v>
      </c>
      <c r="O31" s="13"/>
      <c r="P31" s="23">
        <f t="shared" si="1"/>
        <v>0</v>
      </c>
      <c r="Q31" s="24">
        <f t="shared" si="2"/>
        <v>0</v>
      </c>
      <c r="R31" s="24">
        <f t="shared" si="3"/>
        <v>0</v>
      </c>
      <c r="S31" s="24">
        <f t="shared" si="4"/>
        <v>0</v>
      </c>
      <c r="T31" s="23">
        <f t="shared" si="5"/>
        <v>0</v>
      </c>
      <c r="U31" s="20">
        <f t="shared" si="0"/>
        <v>0</v>
      </c>
      <c r="V31" s="4"/>
      <c r="W31" s="6">
        <f t="shared" si="6"/>
        <v>0</v>
      </c>
      <c r="X31" s="3"/>
      <c r="Y31" s="3"/>
      <c r="Z31" s="31">
        <f t="shared" si="19"/>
        <v>20</v>
      </c>
      <c r="AA31" s="33">
        <f t="shared" si="13"/>
        <v>1.4285714285714286</v>
      </c>
      <c r="AB31" s="34">
        <v>131903.76445787447</v>
      </c>
      <c r="AC31" s="38">
        <f t="shared" si="14"/>
        <v>11.678878998412403</v>
      </c>
      <c r="AD31" s="3"/>
      <c r="AE31" s="31">
        <f t="shared" si="20"/>
        <v>20</v>
      </c>
      <c r="AF31" s="35">
        <f t="shared" si="16"/>
        <v>17391.483870967742</v>
      </c>
      <c r="AG31" s="34">
        <v>121614.79217808098</v>
      </c>
      <c r="AH31" s="38">
        <f t="shared" si="17"/>
        <v>2.9675211764751364</v>
      </c>
      <c r="AJ31" s="90">
        <v>40</v>
      </c>
      <c r="AK31" s="91">
        <f t="shared" si="18"/>
        <v>5.9350423529502727</v>
      </c>
      <c r="AL31" s="91">
        <f t="shared" si="10"/>
        <v>23.35775799682477</v>
      </c>
      <c r="AM31" s="92">
        <f t="shared" si="8"/>
        <v>11.767961800372815</v>
      </c>
      <c r="AN31" s="92">
        <f t="shared" si="9"/>
        <v>35.125719797197547</v>
      </c>
      <c r="AO31" s="58">
        <f t="shared" si="11"/>
        <v>-23.357757996824784</v>
      </c>
    </row>
    <row r="32" spans="1:41" ht="15.75" customHeight="1" x14ac:dyDescent="0.25">
      <c r="A32" s="3" t="s">
        <v>44</v>
      </c>
      <c r="B32" s="6">
        <f t="shared" si="21"/>
        <v>0</v>
      </c>
      <c r="C32" s="3" t="s">
        <v>3</v>
      </c>
      <c r="D32" s="3"/>
      <c r="E32" s="18" t="s">
        <v>93</v>
      </c>
      <c r="F32" s="6">
        <f>B47-F31</f>
        <v>10145.032258064517</v>
      </c>
      <c r="G32" s="3" t="s">
        <v>3</v>
      </c>
      <c r="H32" s="3"/>
      <c r="I32" s="18" t="s">
        <v>167</v>
      </c>
      <c r="J32" s="28">
        <f>((F15/100)*B44)/$B$8</f>
        <v>0.263594470046083</v>
      </c>
      <c r="K32" s="3" t="s">
        <v>49</v>
      </c>
      <c r="L32" s="17"/>
      <c r="M32" s="3"/>
      <c r="N32" s="13">
        <f t="shared" si="7"/>
        <v>0</v>
      </c>
      <c r="O32" s="13"/>
      <c r="P32" s="23">
        <f t="shared" si="1"/>
        <v>0</v>
      </c>
      <c r="Q32" s="24">
        <f t="shared" si="2"/>
        <v>0</v>
      </c>
      <c r="R32" s="24">
        <f t="shared" si="3"/>
        <v>0</v>
      </c>
      <c r="S32" s="24">
        <f t="shared" si="4"/>
        <v>0</v>
      </c>
      <c r="T32" s="23">
        <f t="shared" si="5"/>
        <v>0</v>
      </c>
      <c r="U32" s="20">
        <f t="shared" si="0"/>
        <v>0</v>
      </c>
      <c r="V32" s="4"/>
      <c r="W32" s="6">
        <f t="shared" si="6"/>
        <v>0</v>
      </c>
      <c r="X32" s="3"/>
      <c r="Y32" s="3"/>
      <c r="Z32" s="31">
        <f t="shared" si="19"/>
        <v>30</v>
      </c>
      <c r="AA32" s="33">
        <f t="shared" si="13"/>
        <v>1.5476190476190477</v>
      </c>
      <c r="AB32" s="34">
        <v>138800.718109068</v>
      </c>
      <c r="AC32" s="38">
        <f t="shared" si="14"/>
        <v>17.518318497618584</v>
      </c>
      <c r="AD32" s="3"/>
      <c r="AE32" s="31">
        <f t="shared" si="20"/>
        <v>30</v>
      </c>
      <c r="AF32" s="35">
        <f t="shared" si="16"/>
        <v>18840.77419354839</v>
      </c>
      <c r="AG32" s="34">
        <v>123367.25968937781</v>
      </c>
      <c r="AH32" s="38">
        <f t="shared" si="17"/>
        <v>4.451281764712717</v>
      </c>
      <c r="AJ32" s="90">
        <v>50</v>
      </c>
      <c r="AK32" s="91">
        <f t="shared" si="18"/>
        <v>7.4188029411878533</v>
      </c>
      <c r="AL32" s="91">
        <f t="shared" si="10"/>
        <v>29.197197496030952</v>
      </c>
      <c r="AM32" s="92">
        <f t="shared" si="8"/>
        <v>14.709952250466005</v>
      </c>
      <c r="AN32" s="92">
        <f t="shared" si="9"/>
        <v>43.907149746496991</v>
      </c>
      <c r="AO32" s="58">
        <f t="shared" si="11"/>
        <v>-29.197197496030974</v>
      </c>
    </row>
    <row r="33" spans="1:34" ht="15.75" customHeight="1" x14ac:dyDescent="0.25">
      <c r="A33" s="3" t="s">
        <v>50</v>
      </c>
      <c r="B33" s="6">
        <f>IF(B13=0,0,(B13/100)*$B$44)</f>
        <v>532.25806451612914</v>
      </c>
      <c r="C33" s="3" t="s">
        <v>3</v>
      </c>
      <c r="D33" s="3"/>
      <c r="E33" s="18" t="s">
        <v>94</v>
      </c>
      <c r="F33" s="26">
        <f>F32*(F20/100)*J15</f>
        <v>5072.5161290322585</v>
      </c>
      <c r="G33" s="3" t="s">
        <v>3</v>
      </c>
      <c r="H33" s="3"/>
      <c r="I33" s="18" t="s">
        <v>73</v>
      </c>
      <c r="J33" s="28">
        <f>F18/$B$8</f>
        <v>0</v>
      </c>
      <c r="K33" s="3" t="s">
        <v>49</v>
      </c>
      <c r="L33" s="17"/>
      <c r="M33" s="3"/>
      <c r="N33" s="13">
        <f t="shared" si="7"/>
        <v>0</v>
      </c>
      <c r="O33" s="13"/>
      <c r="P33" s="23">
        <f t="shared" si="1"/>
        <v>0</v>
      </c>
      <c r="Q33" s="24">
        <f t="shared" si="2"/>
        <v>0</v>
      </c>
      <c r="R33" s="24">
        <f t="shared" si="3"/>
        <v>0</v>
      </c>
      <c r="S33" s="24">
        <f t="shared" si="4"/>
        <v>0</v>
      </c>
      <c r="T33" s="23">
        <f t="shared" si="5"/>
        <v>0</v>
      </c>
      <c r="U33" s="20">
        <f t="shared" si="0"/>
        <v>0</v>
      </c>
      <c r="V33" s="4"/>
      <c r="W33" s="6">
        <f t="shared" si="6"/>
        <v>0</v>
      </c>
      <c r="X33" s="3"/>
      <c r="Y33" s="3"/>
      <c r="Z33" s="31">
        <f t="shared" si="19"/>
        <v>40</v>
      </c>
      <c r="AA33" s="33">
        <f t="shared" si="13"/>
        <v>1.6666666666666665</v>
      </c>
      <c r="AB33" s="34">
        <v>145697.67176026152</v>
      </c>
      <c r="AC33" s="38">
        <f t="shared" si="14"/>
        <v>23.35775799682477</v>
      </c>
      <c r="AD33" s="3"/>
      <c r="AE33" s="31">
        <f t="shared" si="20"/>
        <v>40</v>
      </c>
      <c r="AF33" s="35">
        <f t="shared" si="16"/>
        <v>20290.064516129034</v>
      </c>
      <c r="AG33" s="34">
        <v>125119.72720067461</v>
      </c>
      <c r="AH33" s="38">
        <f t="shared" si="17"/>
        <v>5.9350423529502727</v>
      </c>
    </row>
    <row r="34" spans="1:34" ht="15.75" customHeight="1" x14ac:dyDescent="0.25">
      <c r="A34" s="3" t="s">
        <v>54</v>
      </c>
      <c r="B34" s="6">
        <f>IF(B14=0,0,(B14/100)*$B$43)</f>
        <v>483.87096774193554</v>
      </c>
      <c r="C34" s="3" t="s">
        <v>3</v>
      </c>
      <c r="D34" s="3"/>
      <c r="E34" s="3"/>
      <c r="F34" s="7"/>
      <c r="G34" s="3"/>
      <c r="H34" s="3"/>
      <c r="I34" s="18" t="s">
        <v>105</v>
      </c>
      <c r="J34" s="28">
        <f>F15/$B$8</f>
        <v>2.4761904761904764E-3</v>
      </c>
      <c r="K34" s="3" t="s">
        <v>49</v>
      </c>
      <c r="L34" s="17"/>
      <c r="M34" s="3"/>
      <c r="N34" s="13">
        <f t="shared" si="7"/>
        <v>0</v>
      </c>
      <c r="O34" s="13"/>
      <c r="P34" s="23">
        <f t="shared" si="1"/>
        <v>0</v>
      </c>
      <c r="Q34" s="24">
        <f t="shared" si="2"/>
        <v>0</v>
      </c>
      <c r="R34" s="24">
        <f t="shared" si="3"/>
        <v>0</v>
      </c>
      <c r="S34" s="24">
        <f t="shared" si="4"/>
        <v>0</v>
      </c>
      <c r="T34" s="23">
        <f t="shared" si="5"/>
        <v>0</v>
      </c>
      <c r="U34" s="20">
        <f t="shared" si="0"/>
        <v>0</v>
      </c>
      <c r="V34" s="4"/>
      <c r="W34" s="6">
        <f t="shared" si="6"/>
        <v>0</v>
      </c>
      <c r="X34" s="3"/>
      <c r="Y34" s="3"/>
      <c r="Z34" s="31">
        <f t="shared" si="19"/>
        <v>50</v>
      </c>
      <c r="AA34" s="33">
        <f t="shared" si="13"/>
        <v>1.7857142857142856</v>
      </c>
      <c r="AB34" s="34">
        <v>152594.62541145505</v>
      </c>
      <c r="AC34" s="38">
        <f t="shared" si="14"/>
        <v>29.197197496030952</v>
      </c>
      <c r="AD34" s="3"/>
      <c r="AE34" s="31">
        <f t="shared" si="20"/>
        <v>50</v>
      </c>
      <c r="AF34" s="35">
        <f t="shared" si="16"/>
        <v>21739.354838709678</v>
      </c>
      <c r="AG34" s="34">
        <v>126872.19471197143</v>
      </c>
      <c r="AH34" s="38">
        <f t="shared" si="17"/>
        <v>7.4188029411878533</v>
      </c>
    </row>
    <row r="35" spans="1:34" ht="15.75" customHeight="1" x14ac:dyDescent="0.25">
      <c r="A35" s="3" t="s">
        <v>59</v>
      </c>
      <c r="B35" s="6">
        <f t="shared" ref="B35:B38" si="22">IF(B15=0,0,(B15/100)*$B$44)</f>
        <v>2661.2903225806454</v>
      </c>
      <c r="C35" s="3" t="s">
        <v>3</v>
      </c>
      <c r="D35" s="3"/>
      <c r="E35" s="2" t="s">
        <v>97</v>
      </c>
      <c r="F35" s="3"/>
      <c r="G35" s="3"/>
      <c r="H35" s="3"/>
      <c r="I35" s="18" t="s">
        <v>48</v>
      </c>
      <c r="J35" s="22">
        <f>F19*F12/$B$8</f>
        <v>4500</v>
      </c>
      <c r="K35" s="3" t="s">
        <v>49</v>
      </c>
      <c r="L35" s="17"/>
      <c r="M35" s="3"/>
      <c r="N35" s="13">
        <f t="shared" si="7"/>
        <v>0</v>
      </c>
      <c r="O35" s="13"/>
      <c r="P35" s="23">
        <f t="shared" si="1"/>
        <v>0</v>
      </c>
      <c r="Q35" s="24">
        <f t="shared" si="2"/>
        <v>0</v>
      </c>
      <c r="R35" s="24">
        <f t="shared" si="3"/>
        <v>0</v>
      </c>
      <c r="S35" s="24">
        <f t="shared" si="4"/>
        <v>0</v>
      </c>
      <c r="T35" s="23">
        <f t="shared" si="5"/>
        <v>0</v>
      </c>
      <c r="U35" s="20">
        <f t="shared" si="0"/>
        <v>0</v>
      </c>
      <c r="V35" s="4"/>
      <c r="W35" s="6">
        <f t="shared" si="6"/>
        <v>0</v>
      </c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15.75" customHeight="1" x14ac:dyDescent="0.25">
      <c r="A36" s="27" t="s">
        <v>63</v>
      </c>
      <c r="B36" s="6">
        <f t="shared" si="22"/>
        <v>31.935483870967744</v>
      </c>
      <c r="C36" s="3" t="s">
        <v>3</v>
      </c>
      <c r="D36" s="3"/>
      <c r="E36" s="18" t="s">
        <v>161</v>
      </c>
      <c r="F36" s="28">
        <f>F13/$B$8</f>
        <v>1.1904761904761905</v>
      </c>
      <c r="G36" s="3" t="s">
        <v>127</v>
      </c>
      <c r="H36" s="3"/>
      <c r="I36" s="76"/>
      <c r="J36" s="76"/>
      <c r="K36" s="76"/>
      <c r="L36" s="17"/>
      <c r="M36" s="3"/>
      <c r="N36" s="13">
        <f t="shared" si="7"/>
        <v>0</v>
      </c>
      <c r="O36" s="13"/>
      <c r="P36" s="23">
        <f t="shared" si="1"/>
        <v>0</v>
      </c>
      <c r="Q36" s="24">
        <f t="shared" si="2"/>
        <v>0</v>
      </c>
      <c r="R36" s="24">
        <f t="shared" si="3"/>
        <v>0</v>
      </c>
      <c r="S36" s="24">
        <f t="shared" si="4"/>
        <v>0</v>
      </c>
      <c r="T36" s="23">
        <f t="shared" si="5"/>
        <v>0</v>
      </c>
      <c r="U36" s="20">
        <f t="shared" si="0"/>
        <v>0</v>
      </c>
      <c r="V36" s="4"/>
      <c r="W36" s="6">
        <f t="shared" si="6"/>
        <v>0</v>
      </c>
      <c r="X36" s="3"/>
      <c r="Y36" s="3"/>
      <c r="Z36" s="30" t="s">
        <v>48</v>
      </c>
      <c r="AA36" s="31"/>
      <c r="AB36" s="31"/>
      <c r="AC36" s="31"/>
      <c r="AD36" s="3"/>
      <c r="AE36" s="30" t="s">
        <v>98</v>
      </c>
      <c r="AF36" s="31"/>
      <c r="AG36" s="31"/>
      <c r="AH36" s="31"/>
    </row>
    <row r="37" spans="1:34" ht="15.75" customHeight="1" x14ac:dyDescent="0.25">
      <c r="A37" s="27" t="s">
        <v>168</v>
      </c>
      <c r="B37" s="6">
        <f t="shared" si="22"/>
        <v>106.45161290322582</v>
      </c>
      <c r="C37" s="3" t="s">
        <v>3</v>
      </c>
      <c r="D37" s="3"/>
      <c r="E37" s="18" t="s">
        <v>162</v>
      </c>
      <c r="F37" s="50">
        <f>F36*J10</f>
        <v>0.19047619047619047</v>
      </c>
      <c r="G37" s="3" t="s">
        <v>4</v>
      </c>
      <c r="H37" s="3"/>
      <c r="I37" s="3"/>
      <c r="J37" s="3"/>
      <c r="K37" s="3"/>
      <c r="L37" s="17"/>
      <c r="M37" s="3"/>
      <c r="N37" s="13">
        <f t="shared" si="7"/>
        <v>0</v>
      </c>
      <c r="O37" s="13"/>
      <c r="P37" s="23">
        <f t="shared" si="1"/>
        <v>0</v>
      </c>
      <c r="Q37" s="24">
        <f t="shared" si="2"/>
        <v>0</v>
      </c>
      <c r="R37" s="24">
        <f t="shared" si="3"/>
        <v>0</v>
      </c>
      <c r="S37" s="24">
        <f t="shared" si="4"/>
        <v>0</v>
      </c>
      <c r="T37" s="23">
        <f t="shared" si="5"/>
        <v>0</v>
      </c>
      <c r="U37" s="20">
        <f t="shared" si="0"/>
        <v>0</v>
      </c>
      <c r="V37" s="4"/>
      <c r="W37" s="6">
        <f t="shared" si="6"/>
        <v>0</v>
      </c>
      <c r="X37" s="3"/>
      <c r="Y37" s="3"/>
      <c r="Z37" s="31" t="s">
        <v>79</v>
      </c>
      <c r="AA37" s="31" t="s">
        <v>134</v>
      </c>
      <c r="AB37" s="31" t="s">
        <v>23</v>
      </c>
      <c r="AC37" s="31" t="s">
        <v>81</v>
      </c>
      <c r="AD37" s="3"/>
      <c r="AE37" s="31" t="s">
        <v>79</v>
      </c>
      <c r="AF37" s="31" t="s">
        <v>102</v>
      </c>
      <c r="AG37" s="31" t="s">
        <v>23</v>
      </c>
      <c r="AH37" s="31" t="s">
        <v>81</v>
      </c>
    </row>
    <row r="38" spans="1:34" ht="15.75" customHeight="1" x14ac:dyDescent="0.25">
      <c r="A38" s="18" t="s">
        <v>69</v>
      </c>
      <c r="B38" s="6">
        <f t="shared" si="22"/>
        <v>31.935483870967744</v>
      </c>
      <c r="C38" s="3" t="s">
        <v>3</v>
      </c>
      <c r="D38" s="3"/>
      <c r="E38" s="18" t="s">
        <v>135</v>
      </c>
      <c r="F38" s="7">
        <f>F37*F12</f>
        <v>8571.4285714285706</v>
      </c>
      <c r="G38" s="1" t="s">
        <v>49</v>
      </c>
      <c r="H38" s="3"/>
      <c r="I38" s="3"/>
      <c r="J38" s="3"/>
      <c r="K38" s="3"/>
      <c r="L38" s="17"/>
      <c r="M38" s="3"/>
      <c r="N38" s="13">
        <f t="shared" si="7"/>
        <v>0</v>
      </c>
      <c r="O38" s="13"/>
      <c r="P38" s="23">
        <f t="shared" si="1"/>
        <v>0</v>
      </c>
      <c r="Q38" s="24">
        <f t="shared" si="2"/>
        <v>0</v>
      </c>
      <c r="R38" s="24">
        <f t="shared" si="3"/>
        <v>0</v>
      </c>
      <c r="S38" s="24">
        <f t="shared" si="4"/>
        <v>0</v>
      </c>
      <c r="T38" s="23">
        <f t="shared" si="5"/>
        <v>0</v>
      </c>
      <c r="U38" s="20">
        <f t="shared" si="0"/>
        <v>0</v>
      </c>
      <c r="V38" s="4"/>
      <c r="W38" s="6">
        <f t="shared" si="6"/>
        <v>0</v>
      </c>
      <c r="X38" s="3"/>
      <c r="Y38" s="3"/>
      <c r="Z38" s="31" t="s">
        <v>133</v>
      </c>
      <c r="AA38" s="33">
        <v>4500</v>
      </c>
      <c r="AB38" s="34">
        <f>U49</f>
        <v>118109.85715548736</v>
      </c>
      <c r="AC38" s="31"/>
      <c r="AD38" s="3"/>
      <c r="AE38" s="31" t="s">
        <v>133</v>
      </c>
      <c r="AF38" s="35">
        <v>45000</v>
      </c>
      <c r="AG38" s="34">
        <f>U49</f>
        <v>118109.85715548736</v>
      </c>
      <c r="AH38" s="31"/>
    </row>
    <row r="39" spans="1:34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17"/>
      <c r="M39" s="3"/>
      <c r="N39" s="13">
        <f t="shared" si="7"/>
        <v>0</v>
      </c>
      <c r="O39" s="13"/>
      <c r="P39" s="23">
        <f t="shared" si="1"/>
        <v>0</v>
      </c>
      <c r="Q39" s="24">
        <f t="shared" si="2"/>
        <v>0</v>
      </c>
      <c r="R39" s="24">
        <f t="shared" si="3"/>
        <v>0</v>
      </c>
      <c r="S39" s="24">
        <f t="shared" si="4"/>
        <v>0</v>
      </c>
      <c r="T39" s="23">
        <f t="shared" si="5"/>
        <v>0</v>
      </c>
      <c r="U39" s="20">
        <f t="shared" si="0"/>
        <v>0</v>
      </c>
      <c r="V39" s="4"/>
      <c r="W39" s="6">
        <f t="shared" si="6"/>
        <v>0</v>
      </c>
      <c r="X39" s="3"/>
      <c r="Y39" s="3"/>
      <c r="Z39" s="31">
        <f t="shared" ref="Z39:Z43" si="23">Z40-10</f>
        <v>-50</v>
      </c>
      <c r="AA39" s="33">
        <f t="shared" ref="AA39:AA49" si="24">$AA$38*(1+(Z39/100))</f>
        <v>2250</v>
      </c>
      <c r="AB39" s="34">
        <f t="dataTable" ref="AB39:AB49" dt2D="0" dtr="0" r1="J35" ca="1"/>
        <v>100735.95356482152</v>
      </c>
      <c r="AC39" s="38">
        <f t="shared" ref="AC39:AC49" si="25">100*((AB39-$AB$29)/$AB$29)</f>
        <v>-14.70995225046604</v>
      </c>
      <c r="AD39" s="3"/>
      <c r="AE39" s="31">
        <f t="shared" ref="AE39:AE43" si="26">AE40-10</f>
        <v>-50</v>
      </c>
      <c r="AF39" s="35">
        <f t="shared" ref="AF39:AF49" si="27">$AF$38*(1+(AE39/100))</f>
        <v>22500</v>
      </c>
      <c r="AG39" s="34">
        <f t="dataTable" ref="AG39:AG49" dt2D="0" dtr="0" r1="F12" ca="1"/>
        <v>66251.185308853819</v>
      </c>
      <c r="AH39" s="38">
        <f t="shared" ref="AH39:AH49" si="28">100*((AG39-$AG$44)/$AG$44)</f>
        <v>-43.907149746497005</v>
      </c>
    </row>
    <row r="40" spans="1:34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17"/>
      <c r="M40" s="3"/>
      <c r="N40" s="13">
        <f t="shared" si="7"/>
        <v>0</v>
      </c>
      <c r="O40" s="13"/>
      <c r="P40" s="23">
        <f t="shared" si="1"/>
        <v>0</v>
      </c>
      <c r="Q40" s="24">
        <f t="shared" si="2"/>
        <v>0</v>
      </c>
      <c r="R40" s="24">
        <f t="shared" si="3"/>
        <v>0</v>
      </c>
      <c r="S40" s="24">
        <f t="shared" si="4"/>
        <v>0</v>
      </c>
      <c r="T40" s="23">
        <f t="shared" si="5"/>
        <v>0</v>
      </c>
      <c r="U40" s="20">
        <f t="shared" si="0"/>
        <v>0</v>
      </c>
      <c r="V40" s="4"/>
      <c r="W40" s="6">
        <f t="shared" si="6"/>
        <v>0</v>
      </c>
      <c r="X40" s="3"/>
      <c r="Y40" s="3"/>
      <c r="Z40" s="31">
        <f t="shared" si="23"/>
        <v>-40</v>
      </c>
      <c r="AA40" s="33">
        <f t="shared" si="24"/>
        <v>2700</v>
      </c>
      <c r="AB40" s="34">
        <v>104210.73428295471</v>
      </c>
      <c r="AC40" s="38">
        <f t="shared" si="25"/>
        <v>-11.767961800372815</v>
      </c>
      <c r="AD40" s="3"/>
      <c r="AE40" s="31">
        <f t="shared" si="26"/>
        <v>-40</v>
      </c>
      <c r="AF40" s="35">
        <f t="shared" si="27"/>
        <v>27000</v>
      </c>
      <c r="AG40" s="34">
        <v>76622.919678180522</v>
      </c>
      <c r="AH40" s="38">
        <f t="shared" si="28"/>
        <v>-35.125719797197604</v>
      </c>
    </row>
    <row r="41" spans="1:34" ht="15.75" customHeight="1" x14ac:dyDescent="0.25">
      <c r="A41" s="3"/>
      <c r="B41" s="3"/>
      <c r="C41" s="3"/>
      <c r="D41" s="3"/>
      <c r="E41" s="18" t="s">
        <v>95</v>
      </c>
      <c r="F41" s="6">
        <f>F12*B5</f>
        <v>450000</v>
      </c>
      <c r="G41" s="3" t="s">
        <v>96</v>
      </c>
      <c r="H41" s="3"/>
      <c r="I41" s="3"/>
      <c r="J41" s="3"/>
      <c r="K41" s="3"/>
      <c r="L41" s="17"/>
      <c r="M41" s="3"/>
      <c r="N41" s="13">
        <f t="shared" si="7"/>
        <v>0</v>
      </c>
      <c r="O41" s="13"/>
      <c r="P41" s="23">
        <f t="shared" si="1"/>
        <v>0</v>
      </c>
      <c r="Q41" s="24">
        <f t="shared" si="2"/>
        <v>0</v>
      </c>
      <c r="R41" s="24">
        <f t="shared" si="3"/>
        <v>0</v>
      </c>
      <c r="S41" s="24">
        <f t="shared" si="4"/>
        <v>0</v>
      </c>
      <c r="T41" s="23">
        <f t="shared" si="5"/>
        <v>0</v>
      </c>
      <c r="U41" s="20">
        <f t="shared" si="0"/>
        <v>0</v>
      </c>
      <c r="V41" s="4"/>
      <c r="W41" s="6">
        <f t="shared" si="6"/>
        <v>0</v>
      </c>
      <c r="X41" s="3"/>
      <c r="Y41" s="3"/>
      <c r="Z41" s="31">
        <f t="shared" si="23"/>
        <v>-30</v>
      </c>
      <c r="AA41" s="33">
        <f t="shared" si="24"/>
        <v>3150</v>
      </c>
      <c r="AB41" s="34">
        <v>107685.51500108786</v>
      </c>
      <c r="AC41" s="38">
        <f t="shared" si="25"/>
        <v>-8.8259713502796266</v>
      </c>
      <c r="AD41" s="3"/>
      <c r="AE41" s="31">
        <f t="shared" si="26"/>
        <v>-30</v>
      </c>
      <c r="AF41" s="35">
        <f t="shared" si="27"/>
        <v>31499.999999999996</v>
      </c>
      <c r="AG41" s="34">
        <v>86994.654047507211</v>
      </c>
      <c r="AH41" s="38">
        <f t="shared" si="28"/>
        <v>-26.344289847898221</v>
      </c>
    </row>
    <row r="42" spans="1:34" ht="15.75" customHeight="1" x14ac:dyDescent="0.25">
      <c r="A42" s="25" t="s">
        <v>107</v>
      </c>
      <c r="B42" s="4"/>
      <c r="C42" s="2"/>
      <c r="D42" s="3"/>
      <c r="E42" s="18"/>
      <c r="F42" s="28"/>
      <c r="G42" s="3"/>
      <c r="H42" s="3"/>
      <c r="I42" s="2" t="s">
        <v>136</v>
      </c>
      <c r="J42" s="3"/>
      <c r="K42" s="3"/>
      <c r="L42" s="17"/>
      <c r="M42" s="3"/>
      <c r="N42" s="13">
        <f t="shared" si="7"/>
        <v>0</v>
      </c>
      <c r="O42" s="13"/>
      <c r="P42" s="23">
        <f t="shared" si="1"/>
        <v>0</v>
      </c>
      <c r="Q42" s="24">
        <f t="shared" si="2"/>
        <v>0</v>
      </c>
      <c r="R42" s="24">
        <f t="shared" si="3"/>
        <v>0</v>
      </c>
      <c r="S42" s="24">
        <f t="shared" si="4"/>
        <v>0</v>
      </c>
      <c r="T42" s="23">
        <f t="shared" si="5"/>
        <v>0</v>
      </c>
      <c r="U42" s="20">
        <f t="shared" si="0"/>
        <v>0</v>
      </c>
      <c r="V42" s="4"/>
      <c r="W42" s="6">
        <f t="shared" si="6"/>
        <v>0</v>
      </c>
      <c r="X42" s="3"/>
      <c r="Y42" s="3"/>
      <c r="Z42" s="31">
        <f t="shared" si="23"/>
        <v>-20</v>
      </c>
      <c r="AA42" s="33">
        <f t="shared" si="24"/>
        <v>3600</v>
      </c>
      <c r="AB42" s="34">
        <v>111160.29571922103</v>
      </c>
      <c r="AC42" s="38">
        <f t="shared" si="25"/>
        <v>-5.8839809001864136</v>
      </c>
      <c r="AD42" s="3"/>
      <c r="AE42" s="31">
        <f t="shared" si="26"/>
        <v>-20</v>
      </c>
      <c r="AF42" s="35">
        <f t="shared" si="27"/>
        <v>36000</v>
      </c>
      <c r="AG42" s="34">
        <v>97366.388416833943</v>
      </c>
      <c r="AH42" s="38">
        <f t="shared" si="28"/>
        <v>-17.562859898598802</v>
      </c>
    </row>
    <row r="43" spans="1:34" ht="15.75" customHeight="1" x14ac:dyDescent="0.25">
      <c r="A43" s="18" t="s">
        <v>160</v>
      </c>
      <c r="B43" s="6">
        <f>J8/B8</f>
        <v>9677.4193548387102</v>
      </c>
      <c r="C43" s="3" t="s">
        <v>3</v>
      </c>
      <c r="D43" s="3"/>
      <c r="E43" s="3"/>
      <c r="F43" s="3"/>
      <c r="G43" s="3"/>
      <c r="H43" s="3"/>
      <c r="I43" s="18" t="s">
        <v>66</v>
      </c>
      <c r="J43" s="22">
        <f>((F16/100)*B44)/B8</f>
        <v>0.20783410138248848</v>
      </c>
      <c r="K43" s="3" t="s">
        <v>49</v>
      </c>
      <c r="L43" s="17"/>
      <c r="M43" s="3"/>
      <c r="N43" s="13">
        <f t="shared" si="7"/>
        <v>0</v>
      </c>
      <c r="O43" s="13"/>
      <c r="P43" s="23">
        <f t="shared" si="1"/>
        <v>0</v>
      </c>
      <c r="Q43" s="24">
        <f t="shared" si="2"/>
        <v>0</v>
      </c>
      <c r="R43" s="24">
        <f t="shared" si="3"/>
        <v>0</v>
      </c>
      <c r="S43" s="24">
        <f t="shared" si="4"/>
        <v>0</v>
      </c>
      <c r="T43" s="23">
        <f t="shared" si="5"/>
        <v>0</v>
      </c>
      <c r="U43" s="20">
        <f t="shared" si="0"/>
        <v>0</v>
      </c>
      <c r="V43" s="4"/>
      <c r="W43" s="6">
        <f t="shared" si="6"/>
        <v>0</v>
      </c>
      <c r="X43" s="3"/>
      <c r="Y43" s="3"/>
      <c r="Z43" s="31">
        <f t="shared" si="23"/>
        <v>-10</v>
      </c>
      <c r="AA43" s="33">
        <f t="shared" si="24"/>
        <v>4050</v>
      </c>
      <c r="AB43" s="34">
        <v>114635.07643735419</v>
      </c>
      <c r="AC43" s="38">
        <f t="shared" si="25"/>
        <v>-2.941990450093213</v>
      </c>
      <c r="AD43" s="3"/>
      <c r="AE43" s="31">
        <f t="shared" si="26"/>
        <v>-10</v>
      </c>
      <c r="AF43" s="35">
        <f t="shared" si="27"/>
        <v>40500</v>
      </c>
      <c r="AG43" s="34">
        <v>107738.12278616065</v>
      </c>
      <c r="AH43" s="38">
        <f t="shared" si="28"/>
        <v>-8.7814299492994081</v>
      </c>
    </row>
    <row r="44" spans="1:34" ht="15.75" customHeight="1" x14ac:dyDescent="0.25">
      <c r="A44" s="3" t="s">
        <v>112</v>
      </c>
      <c r="B44" s="26">
        <f>(1+B11/100)*B43</f>
        <v>10645.161290322581</v>
      </c>
      <c r="C44" s="3" t="s">
        <v>3</v>
      </c>
      <c r="D44" s="3"/>
      <c r="E44" s="3"/>
      <c r="F44" s="3"/>
      <c r="G44" s="3"/>
      <c r="H44" s="3"/>
      <c r="I44" s="3"/>
      <c r="J44" s="3"/>
      <c r="K44" s="3"/>
      <c r="L44" s="17"/>
      <c r="M44" s="3"/>
      <c r="N44" s="13">
        <f t="shared" si="7"/>
        <v>0</v>
      </c>
      <c r="O44" s="13"/>
      <c r="P44" s="23">
        <f t="shared" si="1"/>
        <v>0</v>
      </c>
      <c r="Q44" s="24">
        <f t="shared" si="2"/>
        <v>0</v>
      </c>
      <c r="R44" s="24">
        <f t="shared" si="3"/>
        <v>0</v>
      </c>
      <c r="S44" s="24">
        <f t="shared" si="4"/>
        <v>0</v>
      </c>
      <c r="T44" s="23">
        <f t="shared" si="5"/>
        <v>0</v>
      </c>
      <c r="U44" s="20">
        <f t="shared" si="0"/>
        <v>0</v>
      </c>
      <c r="V44" s="4"/>
      <c r="W44" s="6">
        <f t="shared" si="6"/>
        <v>0</v>
      </c>
      <c r="X44" s="3"/>
      <c r="Y44" s="3"/>
      <c r="Z44" s="43">
        <v>0</v>
      </c>
      <c r="AA44" s="44">
        <f t="shared" si="24"/>
        <v>4500</v>
      </c>
      <c r="AB44" s="45">
        <v>118109.85715548736</v>
      </c>
      <c r="AC44" s="46">
        <f t="shared" si="25"/>
        <v>0</v>
      </c>
      <c r="AD44" s="3"/>
      <c r="AE44" s="43">
        <v>0</v>
      </c>
      <c r="AF44" s="47">
        <f t="shared" si="27"/>
        <v>45000</v>
      </c>
      <c r="AG44" s="45">
        <v>118109.85715548736</v>
      </c>
      <c r="AH44" s="46">
        <f t="shared" si="28"/>
        <v>0</v>
      </c>
    </row>
    <row r="45" spans="1:34" ht="15.75" customHeight="1" x14ac:dyDescent="0.25">
      <c r="A45" s="27" t="s">
        <v>137</v>
      </c>
      <c r="B45" s="6">
        <f>SUM(B32:B38)+B44</f>
        <v>14492.903225806453</v>
      </c>
      <c r="C45" s="3" t="s">
        <v>3</v>
      </c>
      <c r="D45" s="3"/>
      <c r="E45" s="3"/>
      <c r="F45" s="3"/>
      <c r="G45" s="3"/>
      <c r="H45" s="3"/>
      <c r="I45" s="3"/>
      <c r="J45" s="3"/>
      <c r="K45" s="3"/>
      <c r="L45" s="17"/>
      <c r="M45" s="3"/>
      <c r="N45" s="13">
        <f t="shared" si="7"/>
        <v>0</v>
      </c>
      <c r="O45" s="13"/>
      <c r="P45" s="23">
        <f t="shared" si="1"/>
        <v>0</v>
      </c>
      <c r="Q45" s="24">
        <f t="shared" si="2"/>
        <v>0</v>
      </c>
      <c r="R45" s="24">
        <f t="shared" si="3"/>
        <v>0</v>
      </c>
      <c r="S45" s="24">
        <f t="shared" si="4"/>
        <v>0</v>
      </c>
      <c r="T45" s="23">
        <f t="shared" si="5"/>
        <v>0</v>
      </c>
      <c r="U45" s="20">
        <f t="shared" si="0"/>
        <v>0</v>
      </c>
      <c r="V45" s="4"/>
      <c r="W45" s="6">
        <f t="shared" si="6"/>
        <v>0</v>
      </c>
      <c r="X45" s="3"/>
      <c r="Y45" s="3"/>
      <c r="Z45" s="31">
        <f t="shared" ref="Z45:Z49" si="29">Z44+10</f>
        <v>10</v>
      </c>
      <c r="AA45" s="33">
        <f t="shared" si="24"/>
        <v>4950</v>
      </c>
      <c r="AB45" s="34">
        <v>121584.63787362051</v>
      </c>
      <c r="AC45" s="38">
        <f t="shared" si="25"/>
        <v>2.9419904500931882</v>
      </c>
      <c r="AD45" s="3"/>
      <c r="AE45" s="31">
        <f t="shared" ref="AE45:AE49" si="30">AE44+10</f>
        <v>10</v>
      </c>
      <c r="AF45" s="35">
        <f t="shared" si="27"/>
        <v>49500.000000000007</v>
      </c>
      <c r="AG45" s="34">
        <v>128481.5915248141</v>
      </c>
      <c r="AH45" s="38">
        <f t="shared" si="28"/>
        <v>8.7814299492994206</v>
      </c>
    </row>
    <row r="46" spans="1:34" ht="15.75" customHeight="1" x14ac:dyDescent="0.25">
      <c r="A46" s="27" t="s">
        <v>115</v>
      </c>
      <c r="B46" s="6">
        <v>0</v>
      </c>
      <c r="C46" s="3" t="s">
        <v>3</v>
      </c>
      <c r="D46" s="3"/>
      <c r="E46" s="3"/>
      <c r="F46" s="3"/>
      <c r="G46" s="3"/>
      <c r="H46" s="3"/>
      <c r="I46" s="3"/>
      <c r="J46" s="3"/>
      <c r="K46" s="3"/>
      <c r="L46" s="17"/>
      <c r="M46" s="3"/>
      <c r="N46" s="13">
        <f t="shared" si="7"/>
        <v>0</v>
      </c>
      <c r="O46" s="13"/>
      <c r="P46" s="23">
        <f t="shared" si="1"/>
        <v>0</v>
      </c>
      <c r="Q46" s="24">
        <f t="shared" si="2"/>
        <v>0</v>
      </c>
      <c r="R46" s="24">
        <f t="shared" si="3"/>
        <v>0</v>
      </c>
      <c r="S46" s="24">
        <f t="shared" si="4"/>
        <v>0</v>
      </c>
      <c r="T46" s="23">
        <f t="shared" si="5"/>
        <v>0</v>
      </c>
      <c r="U46" s="20">
        <f t="shared" si="0"/>
        <v>0</v>
      </c>
      <c r="V46" s="4"/>
      <c r="W46" s="6">
        <f t="shared" si="6"/>
        <v>0</v>
      </c>
      <c r="X46" s="3"/>
      <c r="Y46" s="3"/>
      <c r="Z46" s="31">
        <f t="shared" si="29"/>
        <v>20</v>
      </c>
      <c r="AA46" s="33">
        <f t="shared" si="24"/>
        <v>5400</v>
      </c>
      <c r="AB46" s="34">
        <v>125059.41859175367</v>
      </c>
      <c r="AC46" s="38">
        <f t="shared" si="25"/>
        <v>5.8839809001863888</v>
      </c>
      <c r="AD46" s="3"/>
      <c r="AE46" s="31">
        <f t="shared" si="30"/>
        <v>20</v>
      </c>
      <c r="AF46" s="35">
        <f t="shared" si="27"/>
        <v>54000</v>
      </c>
      <c r="AG46" s="34">
        <v>138853.32589414075</v>
      </c>
      <c r="AH46" s="38">
        <f t="shared" si="28"/>
        <v>17.562859898598777</v>
      </c>
    </row>
    <row r="47" spans="1:34" ht="15.75" customHeight="1" x14ac:dyDescent="0.25">
      <c r="A47" s="27" t="s">
        <v>159</v>
      </c>
      <c r="B47" s="6">
        <f>SUM(B45:B46)</f>
        <v>14492.903225806453</v>
      </c>
      <c r="C47" s="3" t="s">
        <v>3</v>
      </c>
      <c r="D47" s="3"/>
      <c r="E47" s="3"/>
      <c r="F47" s="3"/>
      <c r="G47" s="3"/>
      <c r="H47" s="3"/>
      <c r="I47" s="3"/>
      <c r="J47" s="3"/>
      <c r="K47" s="3"/>
      <c r="L47" s="17"/>
      <c r="M47" s="3"/>
      <c r="N47" s="13">
        <f t="shared" si="7"/>
        <v>0</v>
      </c>
      <c r="O47" s="13"/>
      <c r="P47" s="23">
        <f t="shared" si="1"/>
        <v>0</v>
      </c>
      <c r="Q47" s="24">
        <f t="shared" si="2"/>
        <v>0</v>
      </c>
      <c r="R47" s="24">
        <f t="shared" si="3"/>
        <v>0</v>
      </c>
      <c r="S47" s="24">
        <f t="shared" si="4"/>
        <v>0</v>
      </c>
      <c r="T47" s="23">
        <f t="shared" si="5"/>
        <v>0</v>
      </c>
      <c r="U47" s="20">
        <f t="shared" si="0"/>
        <v>0</v>
      </c>
      <c r="V47" s="4"/>
      <c r="W47" s="6">
        <f t="shared" si="6"/>
        <v>0</v>
      </c>
      <c r="X47" s="3"/>
      <c r="Y47" s="3"/>
      <c r="Z47" s="31">
        <f t="shared" si="29"/>
        <v>30</v>
      </c>
      <c r="AA47" s="33">
        <f t="shared" si="24"/>
        <v>5850</v>
      </c>
      <c r="AB47" s="34">
        <v>128534.19930988684</v>
      </c>
      <c r="AC47" s="38">
        <f t="shared" si="25"/>
        <v>8.8259713502796018</v>
      </c>
      <c r="AD47" s="3"/>
      <c r="AE47" s="31">
        <f t="shared" si="30"/>
        <v>30</v>
      </c>
      <c r="AF47" s="35">
        <f t="shared" si="27"/>
        <v>58500</v>
      </c>
      <c r="AG47" s="34">
        <v>149225.06026346746</v>
      </c>
      <c r="AH47" s="38">
        <f t="shared" si="28"/>
        <v>26.344289847898178</v>
      </c>
    </row>
    <row r="48" spans="1:34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17"/>
      <c r="M48" s="3"/>
      <c r="N48" s="13">
        <f t="shared" si="7"/>
        <v>0</v>
      </c>
      <c r="O48" s="13"/>
      <c r="P48" s="23">
        <f t="shared" si="1"/>
        <v>0</v>
      </c>
      <c r="Q48" s="24">
        <f t="shared" si="2"/>
        <v>0</v>
      </c>
      <c r="R48" s="24">
        <f t="shared" si="3"/>
        <v>0</v>
      </c>
      <c r="S48" s="24">
        <f t="shared" si="4"/>
        <v>0</v>
      </c>
      <c r="T48" s="23">
        <f t="shared" si="5"/>
        <v>0</v>
      </c>
      <c r="U48" s="20">
        <f t="shared" si="0"/>
        <v>0</v>
      </c>
      <c r="V48" s="4"/>
      <c r="W48" s="6">
        <f t="shared" si="6"/>
        <v>0</v>
      </c>
      <c r="X48" s="3"/>
      <c r="Y48" s="3"/>
      <c r="Z48" s="31">
        <f t="shared" si="29"/>
        <v>40</v>
      </c>
      <c r="AA48" s="33">
        <f t="shared" si="24"/>
        <v>6300</v>
      </c>
      <c r="AB48" s="34">
        <v>132008.98002802001</v>
      </c>
      <c r="AC48" s="38">
        <f t="shared" si="25"/>
        <v>11.767961800372815</v>
      </c>
      <c r="AD48" s="3"/>
      <c r="AE48" s="31">
        <f t="shared" si="30"/>
        <v>40</v>
      </c>
      <c r="AF48" s="35">
        <f t="shared" si="27"/>
        <v>62999.999999999993</v>
      </c>
      <c r="AG48" s="34">
        <v>159596.79463279413</v>
      </c>
      <c r="AH48" s="38">
        <f t="shared" si="28"/>
        <v>35.125719797197547</v>
      </c>
    </row>
    <row r="49" spans="1:34" ht="15.75" customHeight="1" x14ac:dyDescent="0.25">
      <c r="A49" s="15"/>
      <c r="B49" s="8"/>
      <c r="C49" s="3"/>
      <c r="D49" s="3"/>
      <c r="E49" s="3"/>
      <c r="F49" s="3"/>
      <c r="G49" s="3"/>
      <c r="H49" s="3"/>
      <c r="I49" s="3"/>
      <c r="J49" s="3"/>
      <c r="K49" s="3"/>
      <c r="L49" s="17"/>
      <c r="M49" s="3"/>
      <c r="N49" s="14" t="s">
        <v>113</v>
      </c>
      <c r="O49" s="20">
        <f t="shared" ref="O49:U49" si="31">SUM(O8:O48)</f>
        <v>4347.8709677419356</v>
      </c>
      <c r="P49" s="20">
        <f t="shared" si="31"/>
        <v>13176.80414522623</v>
      </c>
      <c r="Q49" s="20">
        <f t="shared" si="31"/>
        <v>68969.536511935425</v>
      </c>
      <c r="R49" s="20">
        <f t="shared" si="31"/>
        <v>34749.861708444638</v>
      </c>
      <c r="S49" s="20">
        <f t="shared" si="31"/>
        <v>1.6048398401208988</v>
      </c>
      <c r="T49" s="20">
        <f t="shared" si="31"/>
        <v>-3135.8210177010014</v>
      </c>
      <c r="U49" s="20">
        <f t="shared" si="31"/>
        <v>118109.85715548736</v>
      </c>
      <c r="V49" s="4"/>
      <c r="W49" s="4"/>
      <c r="X49" s="3"/>
      <c r="Y49" s="3"/>
      <c r="Z49" s="31">
        <f t="shared" si="29"/>
        <v>50</v>
      </c>
      <c r="AA49" s="33">
        <f t="shared" si="24"/>
        <v>6750</v>
      </c>
      <c r="AB49" s="34">
        <v>135483.76074615316</v>
      </c>
      <c r="AC49" s="38">
        <f t="shared" si="25"/>
        <v>14.709952250466005</v>
      </c>
      <c r="AD49" s="3"/>
      <c r="AE49" s="31">
        <f t="shared" si="30"/>
        <v>50</v>
      </c>
      <c r="AF49" s="35">
        <f t="shared" si="27"/>
        <v>67500</v>
      </c>
      <c r="AG49" s="34">
        <v>169968.52900212089</v>
      </c>
      <c r="AH49" s="38">
        <f t="shared" si="28"/>
        <v>43.907149746496991</v>
      </c>
    </row>
    <row r="50" spans="1:34" ht="15.75" customHeight="1" x14ac:dyDescent="0.25">
      <c r="A50" s="3"/>
      <c r="B50" s="7"/>
      <c r="C50" s="3"/>
      <c r="D50" s="3"/>
      <c r="E50" s="3"/>
      <c r="F50" s="3"/>
      <c r="G50" s="3"/>
      <c r="H50" s="3"/>
      <c r="I50" s="3"/>
      <c r="J50" s="3"/>
      <c r="K50" s="3"/>
      <c r="L50" s="17"/>
      <c r="M50" s="3"/>
      <c r="N50" s="3"/>
      <c r="O50" s="3"/>
      <c r="P50" s="3"/>
      <c r="Q50" s="3"/>
      <c r="R50" s="26">
        <f>SUM(R49:S49)</f>
        <v>34751.466548284756</v>
      </c>
      <c r="S50" s="3"/>
      <c r="T50" s="3"/>
      <c r="U50" s="3"/>
      <c r="V50" s="3"/>
      <c r="W50" s="3"/>
      <c r="X50" s="26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17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0" t="s">
        <v>184</v>
      </c>
      <c r="AA51" s="31"/>
      <c r="AB51" s="31"/>
      <c r="AC51" s="31"/>
      <c r="AD51" s="3"/>
      <c r="AE51" s="3"/>
      <c r="AF51" s="3"/>
      <c r="AG51" s="3"/>
      <c r="AH51" s="3"/>
    </row>
    <row r="52" spans="1:34" ht="15.75" customHeight="1" x14ac:dyDescent="0.25">
      <c r="A52" s="15"/>
      <c r="B52" s="3"/>
      <c r="C52" s="3"/>
      <c r="D52" s="3"/>
      <c r="E52" s="3"/>
      <c r="F52" s="3"/>
      <c r="G52" s="3"/>
      <c r="H52" s="3"/>
      <c r="I52" s="3"/>
      <c r="J52" s="3"/>
      <c r="K52" s="3"/>
      <c r="L52" s="17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1" t="s">
        <v>79</v>
      </c>
      <c r="AA52" s="31" t="s">
        <v>184</v>
      </c>
      <c r="AB52" s="31" t="s">
        <v>23</v>
      </c>
      <c r="AC52" s="31" t="s">
        <v>81</v>
      </c>
      <c r="AD52" s="3"/>
      <c r="AE52" s="3"/>
      <c r="AF52" s="3"/>
      <c r="AG52" s="3"/>
      <c r="AH52" s="3"/>
    </row>
    <row r="53" spans="1:34" ht="15.75" customHeight="1" x14ac:dyDescent="0.25">
      <c r="A53" s="40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2"/>
      <c r="M53" s="3"/>
      <c r="N53" s="3"/>
      <c r="O53" s="2" t="s">
        <v>139</v>
      </c>
      <c r="P53" s="2"/>
      <c r="Q53" s="3"/>
      <c r="R53" s="3"/>
      <c r="S53" s="3"/>
      <c r="T53" s="3"/>
      <c r="U53" s="3"/>
      <c r="V53" s="3"/>
      <c r="W53" s="3"/>
      <c r="X53" s="7"/>
      <c r="Y53" s="3"/>
      <c r="Z53" s="31" t="s">
        <v>133</v>
      </c>
      <c r="AA53" s="33">
        <v>0.16</v>
      </c>
      <c r="AB53" s="34">
        <f>U49</f>
        <v>118109.85715548736</v>
      </c>
      <c r="AC53" s="31"/>
      <c r="AD53" s="3"/>
      <c r="AE53" s="3"/>
      <c r="AF53" s="3"/>
      <c r="AG53" s="3"/>
      <c r="AH53" s="3"/>
    </row>
    <row r="54" spans="1:34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54"/>
      <c r="O54" s="55" t="s">
        <v>118</v>
      </c>
      <c r="P54" s="56" t="s">
        <v>119</v>
      </c>
      <c r="Q54" s="54"/>
      <c r="R54" s="54"/>
      <c r="S54" s="54"/>
      <c r="T54" s="54"/>
      <c r="U54" s="3"/>
      <c r="V54" s="3"/>
      <c r="W54" s="3"/>
      <c r="X54" s="7"/>
      <c r="Y54" s="3"/>
      <c r="Z54" s="31">
        <f t="shared" ref="Z54:Z58" si="32">Z55-10</f>
        <v>-50</v>
      </c>
      <c r="AA54" s="33">
        <f>$AA$53*(1-(Z54/100))</f>
        <v>0.24</v>
      </c>
      <c r="AB54" s="34">
        <f t="dataTable" ref="AB54:AB64" dt2D="0" dtr="0" r1="J10" ca="1"/>
        <v>152594.62541145505</v>
      </c>
      <c r="AC54" s="38">
        <f>100*((AB54-$AB$59)/$AB$59)</f>
        <v>29.197197496030952</v>
      </c>
      <c r="AD54" s="3"/>
      <c r="AE54" s="3"/>
      <c r="AF54" s="3"/>
      <c r="AG54" s="3"/>
      <c r="AH54" s="3"/>
    </row>
    <row r="55" spans="1:34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 t="s">
        <v>120</v>
      </c>
      <c r="P55" s="26">
        <f>SUM(O49:P49)</f>
        <v>17524.675112968165</v>
      </c>
      <c r="Q55" s="3" t="s">
        <v>3</v>
      </c>
      <c r="R55" s="50">
        <f t="shared" ref="R55:R58" si="33">P55/$F$41</f>
        <v>3.8943722473262589E-2</v>
      </c>
      <c r="S55" s="3" t="s">
        <v>4</v>
      </c>
      <c r="T55" s="3"/>
      <c r="U55" s="3"/>
      <c r="V55" s="3"/>
      <c r="W55" s="3"/>
      <c r="X55" s="7"/>
      <c r="Y55" s="3"/>
      <c r="Z55" s="31">
        <f t="shared" si="32"/>
        <v>-40</v>
      </c>
      <c r="AA55" s="33">
        <f t="shared" ref="AA55:AA58" si="34">$AA$53*(1-(Z55/100))</f>
        <v>0.22399999999999998</v>
      </c>
      <c r="AB55" s="34">
        <v>145697.67176026152</v>
      </c>
      <c r="AC55" s="38">
        <f t="shared" ref="AC55:AC64" si="35">100*((AB55-$AB$59)/$AB$59)</f>
        <v>23.35775799682477</v>
      </c>
      <c r="AD55" s="3"/>
      <c r="AE55" s="3"/>
      <c r="AF55" s="3"/>
      <c r="AG55" s="3"/>
      <c r="AH55" s="3"/>
    </row>
    <row r="56" spans="1:34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 t="s">
        <v>97</v>
      </c>
      <c r="P56" s="26">
        <f>SUM(Q49)</f>
        <v>68969.536511935425</v>
      </c>
      <c r="Q56" s="3" t="s">
        <v>3</v>
      </c>
      <c r="R56" s="50">
        <f t="shared" si="33"/>
        <v>0.15326563669318982</v>
      </c>
      <c r="S56" s="3" t="s">
        <v>4</v>
      </c>
      <c r="T56" s="3"/>
      <c r="U56" s="3"/>
      <c r="V56" s="3"/>
      <c r="W56" s="3"/>
      <c r="X56" s="7"/>
      <c r="Y56" s="3"/>
      <c r="Z56" s="31">
        <f t="shared" si="32"/>
        <v>-30</v>
      </c>
      <c r="AA56" s="33">
        <f t="shared" si="34"/>
        <v>0.20800000000000002</v>
      </c>
      <c r="AB56" s="34">
        <v>138800.718109068</v>
      </c>
      <c r="AC56" s="38">
        <f t="shared" si="35"/>
        <v>17.518318497618584</v>
      </c>
      <c r="AD56" s="3"/>
      <c r="AE56" s="3"/>
      <c r="AF56" s="3"/>
      <c r="AG56" s="3"/>
      <c r="AH56" s="3"/>
    </row>
    <row r="57" spans="1:34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 t="s">
        <v>121</v>
      </c>
      <c r="P57" s="26">
        <f>SUM(R49:S49)</f>
        <v>34751.466548284756</v>
      </c>
      <c r="Q57" s="3" t="s">
        <v>3</v>
      </c>
      <c r="R57" s="50">
        <f t="shared" si="33"/>
        <v>7.7225481218410566E-2</v>
      </c>
      <c r="S57" s="3" t="s">
        <v>4</v>
      </c>
      <c r="T57" s="3"/>
      <c r="U57" s="3"/>
      <c r="V57" s="3"/>
      <c r="W57" s="3"/>
      <c r="X57" s="7"/>
      <c r="Y57" s="3"/>
      <c r="Z57" s="31">
        <f t="shared" si="32"/>
        <v>-20</v>
      </c>
      <c r="AA57" s="33">
        <f t="shared" si="34"/>
        <v>0.192</v>
      </c>
      <c r="AB57" s="34">
        <v>131903.76445787447</v>
      </c>
      <c r="AC57" s="38">
        <f t="shared" si="35"/>
        <v>11.678878998412403</v>
      </c>
      <c r="AD57" s="3"/>
      <c r="AE57" s="3"/>
      <c r="AF57" s="3"/>
      <c r="AG57" s="3"/>
      <c r="AH57" s="3"/>
    </row>
    <row r="58" spans="1:34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 t="s">
        <v>123</v>
      </c>
      <c r="P58" s="26">
        <f>T49</f>
        <v>-3135.8210177010014</v>
      </c>
      <c r="Q58" s="3" t="s">
        <v>3</v>
      </c>
      <c r="R58" s="50">
        <f t="shared" si="33"/>
        <v>-6.9684911504466701E-3</v>
      </c>
      <c r="S58" s="3" t="s">
        <v>4</v>
      </c>
      <c r="T58" s="3"/>
      <c r="U58" s="3"/>
      <c r="V58" s="3"/>
      <c r="W58" s="3"/>
      <c r="X58" s="7"/>
      <c r="Y58" s="3"/>
      <c r="Z58" s="31">
        <f t="shared" si="32"/>
        <v>-10</v>
      </c>
      <c r="AA58" s="33">
        <f t="shared" si="34"/>
        <v>0.17600000000000002</v>
      </c>
      <c r="AB58" s="34">
        <v>125006.81080668089</v>
      </c>
      <c r="AC58" s="38">
        <f t="shared" si="35"/>
        <v>5.8394394992061827</v>
      </c>
      <c r="AD58" s="3"/>
      <c r="AE58" s="3"/>
      <c r="AF58" s="3"/>
      <c r="AG58" s="3"/>
      <c r="AH58" s="3"/>
    </row>
    <row r="59" spans="1:34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7"/>
      <c r="Y59" s="3"/>
      <c r="Z59" s="43">
        <v>0</v>
      </c>
      <c r="AA59" s="93">
        <f t="shared" ref="AA59" si="36">$AA$53*(1+(Z59/100))</f>
        <v>0.16</v>
      </c>
      <c r="AB59" s="45">
        <v>118109.85715548736</v>
      </c>
      <c r="AC59" s="75">
        <f t="shared" si="35"/>
        <v>0</v>
      </c>
      <c r="AD59" s="3"/>
      <c r="AE59" s="3"/>
      <c r="AF59" s="3"/>
      <c r="AG59" s="3"/>
      <c r="AH59" s="3"/>
    </row>
    <row r="60" spans="1:34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2" t="s">
        <v>2</v>
      </c>
      <c r="P60" s="4">
        <f>SUM(P55:P58)</f>
        <v>118109.85715548735</v>
      </c>
      <c r="Q60" s="2" t="s">
        <v>3</v>
      </c>
      <c r="R60" s="51">
        <f>SUM(R55:R58)</f>
        <v>0.26246634923441631</v>
      </c>
      <c r="S60" s="2" t="s">
        <v>4</v>
      </c>
      <c r="T60" s="3"/>
      <c r="U60" s="3"/>
      <c r="V60" s="3"/>
      <c r="W60" s="3"/>
      <c r="X60" s="7"/>
      <c r="Y60" s="3"/>
      <c r="Z60" s="31">
        <f t="shared" ref="Z60:Z64" si="37">Z59+10</f>
        <v>10</v>
      </c>
      <c r="AA60" s="33">
        <f t="shared" ref="AA60:AA64" si="38">$AA$53*(1-(Z60/100))</f>
        <v>0.14400000000000002</v>
      </c>
      <c r="AB60" s="34">
        <v>111212.90350429382</v>
      </c>
      <c r="AC60" s="38">
        <f t="shared" si="35"/>
        <v>-5.839439499206196</v>
      </c>
      <c r="AD60" s="3"/>
      <c r="AE60" s="3"/>
      <c r="AF60" s="3"/>
      <c r="AG60" s="3"/>
      <c r="AH60" s="3"/>
    </row>
    <row r="61" spans="1:34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7"/>
      <c r="Y61" s="3"/>
      <c r="Z61" s="31">
        <f t="shared" si="37"/>
        <v>20</v>
      </c>
      <c r="AA61" s="33">
        <f t="shared" si="38"/>
        <v>0.128</v>
      </c>
      <c r="AB61" s="34">
        <v>104315.94985310026</v>
      </c>
      <c r="AC61" s="38">
        <f t="shared" si="35"/>
        <v>-11.678878998412403</v>
      </c>
      <c r="AD61" s="3"/>
      <c r="AE61" s="3"/>
      <c r="AF61" s="3"/>
      <c r="AG61" s="3"/>
      <c r="AH61" s="3"/>
    </row>
    <row r="62" spans="1:34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7"/>
      <c r="Y62" s="3"/>
      <c r="Z62" s="31">
        <f t="shared" si="37"/>
        <v>30</v>
      </c>
      <c r="AA62" s="33">
        <f t="shared" si="38"/>
        <v>0.11199999999999999</v>
      </c>
      <c r="AB62" s="34">
        <v>97418.996201906732</v>
      </c>
      <c r="AC62" s="38">
        <f t="shared" si="35"/>
        <v>-17.518318497618584</v>
      </c>
      <c r="AD62" s="3"/>
      <c r="AE62" s="3"/>
      <c r="AF62" s="3"/>
      <c r="AG62" s="3"/>
      <c r="AH62" s="3"/>
    </row>
    <row r="63" spans="1:34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7"/>
      <c r="Y63" s="3"/>
      <c r="Z63" s="31">
        <f t="shared" si="37"/>
        <v>40</v>
      </c>
      <c r="AA63" s="33">
        <f t="shared" si="38"/>
        <v>9.6000000000000002E-2</v>
      </c>
      <c r="AB63" s="34">
        <v>90522.042550713188</v>
      </c>
      <c r="AC63" s="38">
        <f t="shared" si="35"/>
        <v>-23.357757996824784</v>
      </c>
      <c r="AD63" s="3"/>
      <c r="AE63" s="3"/>
      <c r="AF63" s="3"/>
      <c r="AG63" s="3"/>
      <c r="AH63" s="3"/>
    </row>
    <row r="64" spans="1:34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7"/>
      <c r="Y64" s="3"/>
      <c r="Z64" s="31">
        <f t="shared" si="37"/>
        <v>50</v>
      </c>
      <c r="AA64" s="33">
        <f t="shared" si="38"/>
        <v>0.08</v>
      </c>
      <c r="AB64" s="34">
        <v>83625.088899519644</v>
      </c>
      <c r="AC64" s="38">
        <f t="shared" si="35"/>
        <v>-29.197197496030974</v>
      </c>
      <c r="AD64" s="3"/>
      <c r="AE64" s="3"/>
      <c r="AF64" s="3"/>
      <c r="AG64" s="3"/>
      <c r="AH64" s="3"/>
    </row>
    <row r="65" spans="1:34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7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7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7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34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:34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:34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:34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:34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:34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:34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:34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:34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:34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:34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:34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:34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:34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1:34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:34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:34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1:34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:34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:34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:34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:34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:34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:34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1:34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1:34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spans="1:34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:34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1:34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1:34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spans="1:34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spans="1:34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spans="1:34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spans="1:34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spans="1:34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spans="1:34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spans="1:34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spans="1:34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spans="1:34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1:34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spans="1:34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spans="1:34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spans="1:34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1:34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spans="1:34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spans="1:34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spans="1:34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1:34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spans="1:34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spans="1:34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1:34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1:34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1:34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spans="1:34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1:34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1:34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spans="1:34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1:34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1:34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spans="1:34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spans="1:34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spans="1:34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spans="1:34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spans="1:34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spans="1:34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1:34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spans="1:34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spans="1:34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spans="1:34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1:34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1:34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1:34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1:34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1:34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1:34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1:34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1:34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1:34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1:34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1:34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 spans="1:34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 spans="1:34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spans="1:34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 spans="1:34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 spans="1:34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 spans="1:34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 spans="1:34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 spans="1:34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 spans="1:34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 spans="1:34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 spans="1:34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 spans="1:34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 spans="1:34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 spans="1:34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 spans="1:34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 spans="1:34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spans="1:34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spans="1:34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spans="1:34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spans="1:34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spans="1:34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spans="1:34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spans="1:34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spans="1:34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spans="1:34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spans="1:34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spans="1:34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spans="1:34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spans="1:34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spans="1:34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1:34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spans="1:34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spans="1:34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spans="1:34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spans="1:34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spans="1:34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spans="1:34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spans="1:34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spans="1:34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spans="1:34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spans="1:34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spans="1:34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spans="1:34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spans="1:34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spans="1:34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 spans="1:34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spans="1:34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spans="1:34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spans="1:34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spans="1:34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spans="1:34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spans="1:34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spans="1:34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spans="1:34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 spans="1:34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 spans="1:34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 spans="1:34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 spans="1:34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 spans="1:34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 spans="1:34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 spans="1:34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 spans="1:34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 spans="1:34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 spans="1:34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 spans="1:34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 spans="1:34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 spans="1:34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 spans="1:34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 spans="1:34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spans="1:34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spans="1:34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spans="1:34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spans="1:34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spans="1:34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spans="1:34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spans="1:34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spans="1:34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spans="1:34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spans="1:34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spans="1:34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spans="1:34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spans="1:34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spans="1:34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spans="1:34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spans="1:34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spans="1:34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spans="1:34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spans="1:34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spans="1:34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spans="1:34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spans="1:34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spans="1:34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spans="1:34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 spans="1:34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spans="1:34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spans="1:34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spans="1:34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spans="1:34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spans="1:34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spans="1:34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spans="1:34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spans="1:34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spans="1:34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spans="1:34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spans="1:34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spans="1:34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spans="1:34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spans="1:34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spans="1:34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 spans="1:34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spans="1:34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 spans="1:34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 spans="1:34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 spans="1:34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spans="1:34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spans="1:34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spans="1:34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 spans="1:34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spans="1:34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spans="1:34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spans="1:34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spans="1:34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spans="1:34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spans="1:34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 spans="1:34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spans="1:34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spans="1:34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spans="1:34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 spans="1:34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spans="1:34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spans="1:34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spans="1:34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spans="1:34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spans="1:34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spans="1:34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spans="1:34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spans="1:34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spans="1:34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spans="1:34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spans="1:34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spans="1:34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spans="1:34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spans="1:34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 spans="1:34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 spans="1:34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spans="1:34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spans="1:34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 spans="1:34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spans="1:34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spans="1:34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 spans="1:34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spans="1:34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spans="1:34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spans="1:34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spans="1:34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spans="1:34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spans="1:34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spans="1:34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spans="1:34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spans="1:34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spans="1:34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spans="1:34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spans="1:34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spans="1:34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spans="1:34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spans="1:34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spans="1:34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spans="1:34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spans="1:34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spans="1:34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spans="1:34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spans="1:34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spans="1:34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spans="1:34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spans="1:34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spans="1:34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spans="1:34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 spans="1:34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 spans="1:34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spans="1:34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spans="1:34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spans="1:34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spans="1:34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spans="1:34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spans="1:34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spans="1:34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spans="1:34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spans="1:34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spans="1:34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spans="1:34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spans="1:34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spans="1:34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spans="1:34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spans="1:34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spans="1:34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spans="1:34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spans="1:34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spans="1:34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spans="1:34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spans="1:34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spans="1:34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spans="1:34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spans="1:34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spans="1:34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spans="1:34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spans="1:34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spans="1:34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spans="1:34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spans="1:34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spans="1:34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spans="1:34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spans="1:34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spans="1:34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spans="1:34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spans="1:34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spans="1:34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spans="1:34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spans="1:34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spans="1:34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spans="1:34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spans="1:34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spans="1:34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spans="1:34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spans="1:34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spans="1:34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spans="1:34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spans="1:34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spans="1:34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spans="1:34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spans="1:34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spans="1:34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 spans="1:34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 spans="1:34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 spans="1:34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spans="1:34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spans="1:34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spans="1:34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spans="1:34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spans="1:34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spans="1:34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 spans="1:34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spans="1:34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spans="1:34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spans="1:34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spans="1:34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spans="1:34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spans="1:34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spans="1:34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spans="1:34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spans="1:34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spans="1:34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spans="1:34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spans="1:34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spans="1:34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spans="1:34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spans="1:34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spans="1:34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spans="1:34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spans="1:34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spans="1:34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spans="1:34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spans="1:34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spans="1:34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spans="1:34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spans="1:34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spans="1:34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spans="1:34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spans="1:34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spans="1:34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spans="1:34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spans="1:34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spans="1:34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spans="1:34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spans="1:34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spans="1:34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spans="1:34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spans="1:34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spans="1:34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 spans="1:34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spans="1:34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spans="1:34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spans="1:34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spans="1:34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spans="1:34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spans="1:34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spans="1:34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spans="1:34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spans="1:34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spans="1:34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 spans="1:34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spans="1:34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spans="1:34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 spans="1:34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 spans="1:34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spans="1:34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spans="1:34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spans="1:34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spans="1:34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 spans="1:34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spans="1:34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spans="1:34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spans="1:34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spans="1:34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spans="1:34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spans="1:34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spans="1:34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spans="1:34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spans="1:34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spans="1:34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 spans="1:34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spans="1:34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spans="1:34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spans="1:34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spans="1:34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spans="1:34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spans="1:34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spans="1:34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spans="1:34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spans="1:34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spans="1:34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spans="1:34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spans="1:34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 spans="1:34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spans="1:34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spans="1:34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spans="1:34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spans="1:34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spans="1:34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spans="1:34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spans="1:34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spans="1:34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spans="1:34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spans="1:34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spans="1:34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spans="1:34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spans="1:34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spans="1:34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spans="1:34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spans="1:34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spans="1:34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spans="1:34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spans="1:34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spans="1:34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spans="1:34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spans="1:34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 spans="1:34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spans="1:34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spans="1:34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spans="1:34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spans="1:34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spans="1:34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spans="1:34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spans="1:34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spans="1:34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spans="1:34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spans="1:34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spans="1:34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spans="1:34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spans="1:34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spans="1:34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spans="1:34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spans="1:34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spans="1:34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spans="1:34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 spans="1:34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spans="1:34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spans="1:34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spans="1:34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spans="1:34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spans="1:34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 spans="1:34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spans="1:34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spans="1:34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spans="1:34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spans="1:34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spans="1:34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spans="1:34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spans="1:34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spans="1:34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spans="1:34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spans="1:34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spans="1:34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spans="1:34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spans="1:34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spans="1:34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spans="1:34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spans="1:34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spans="1:34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spans="1:34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spans="1:34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spans="1:34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spans="1:34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spans="1:34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spans="1:34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 spans="1:34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spans="1:34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spans="1:34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spans="1:34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spans="1:34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spans="1:34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spans="1:34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spans="1:34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spans="1:34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 spans="1:34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spans="1:34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spans="1:34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spans="1:34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spans="1:34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spans="1:34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spans="1:34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spans="1:34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spans="1:34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spans="1:34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spans="1:34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 spans="1:34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 spans="1:34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 spans="1:34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 spans="1:34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 spans="1:34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 spans="1:34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 spans="1:34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 spans="1:34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spans="1:34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 spans="1:34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 spans="1:34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 spans="1:34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 spans="1:34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 spans="1:34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 spans="1:34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 spans="1:34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 spans="1:34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 spans="1:34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spans="1:34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 spans="1:34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 spans="1:34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 spans="1:34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 spans="1:34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 spans="1:34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 spans="1:34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 spans="1:34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 spans="1:34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 spans="1:34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 spans="1:34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 spans="1:34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 spans="1:34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 spans="1:34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 spans="1:34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 spans="1:34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 spans="1:34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 spans="1:34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 spans="1:34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 spans="1:34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 spans="1:34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 spans="1:34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 spans="1:34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 spans="1:34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 spans="1:34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 spans="1:34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 spans="1:34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 spans="1:34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 spans="1:34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 spans="1:34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 spans="1:34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 spans="1:34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 spans="1:34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 spans="1:34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 spans="1:34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 spans="1:34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 spans="1:34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 spans="1:34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 spans="1:34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 spans="1:34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 spans="1:34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 spans="1:34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 spans="1:34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 spans="1:34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 spans="1:34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 spans="1:34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 spans="1:34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 spans="1:34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 spans="1:34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 spans="1:34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 spans="1:34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 spans="1:34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 spans="1:34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 spans="1:34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 spans="1:34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 spans="1:34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 spans="1:34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 spans="1:34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 spans="1:34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 spans="1:34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 spans="1:34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 spans="1:34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 spans="1:34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 spans="1:34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 spans="1:34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 spans="1:34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 spans="1:34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 spans="1:34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 spans="1:34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 spans="1:34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 spans="1:34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 spans="1:34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 spans="1:34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 spans="1:34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 spans="1:34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 spans="1:34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 spans="1:34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 spans="1:34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 spans="1:34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 spans="1:34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 spans="1:34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 spans="1:34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 spans="1:34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 spans="1:34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 spans="1:34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 spans="1:34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 spans="1:34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 spans="1:34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 spans="1:34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 spans="1:34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 spans="1:34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 spans="1:34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 spans="1:34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 spans="1:34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 spans="1:34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 spans="1:34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 spans="1:34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 spans="1:34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 spans="1:34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 spans="1:34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 spans="1:34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 spans="1:34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 spans="1:34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 spans="1:34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 spans="1:34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 spans="1:34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 spans="1:34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 spans="1:34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 spans="1:34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 spans="1:34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 spans="1:34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 spans="1:34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 spans="1:34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 spans="1:34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 spans="1:34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 spans="1:34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 spans="1:34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 spans="1:34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 spans="1:34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 spans="1:34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 spans="1:34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 spans="1:34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 spans="1:34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 spans="1:34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 spans="1:34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 spans="1:34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 spans="1:34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 spans="1:34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 spans="1:34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 spans="1:34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 spans="1:34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 spans="1:34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 spans="1:34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 spans="1:34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 spans="1:34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 spans="1:34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 spans="1:34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 spans="1:34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 spans="1:34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 spans="1:34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 spans="1:34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 spans="1:34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 spans="1:34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 spans="1:34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 spans="1:34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 spans="1:34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 spans="1:34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 spans="1:34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 spans="1:34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 spans="1:34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 spans="1:34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 spans="1:34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 spans="1:34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 spans="1:34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 spans="1:34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 spans="1:34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 spans="1:34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 spans="1:34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 spans="1:34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 spans="1:34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 spans="1:34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 spans="1:34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 spans="1:34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 spans="1:34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 spans="1:34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 spans="1:34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 spans="1:34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 spans="1:34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 spans="1:34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 spans="1:34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 spans="1:34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 spans="1:34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 spans="1:34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 spans="1:34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 spans="1:34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 spans="1:34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 spans="1:34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 spans="1:34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 spans="1:34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 spans="1:34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 spans="1:34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 spans="1:34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 spans="1:34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 spans="1:34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 spans="1:34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 spans="1:34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 spans="1:34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 spans="1:34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 spans="1:34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 spans="1:34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 spans="1:34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 spans="1:34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 spans="1:34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 spans="1:34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 spans="1:34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 spans="1:34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 spans="1:34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 spans="1:34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 spans="1:34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 spans="1:34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 spans="1:34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 spans="1:34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 spans="1:34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 spans="1:34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 spans="1:34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 spans="1:34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 spans="1:34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 spans="1:34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 spans="1:34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 spans="1:34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 spans="1:34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 spans="1:34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 spans="1:34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 spans="1:34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 spans="1:34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 spans="1:34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 spans="1:34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 spans="1:34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 spans="1:34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 spans="1:34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 spans="1:34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 spans="1:34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 spans="1:34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 spans="1:34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 spans="1:34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 spans="1:34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 spans="1:34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 spans="1:34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 spans="1:34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 spans="1:34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 spans="1:34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 spans="1:34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 spans="1:34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 spans="1:34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 spans="1:34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r="1000" spans="1:34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</sheetData>
  <pageMargins left="0.7" right="0.7" top="0.75" bottom="0.75" header="0" footer="0"/>
  <pageSetup orientation="landscape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/>
  </sheetPr>
  <dimension ref="A1:AY1000"/>
  <sheetViews>
    <sheetView topLeftCell="A5" zoomScale="68" zoomScaleNormal="104" workbookViewId="0">
      <selection activeCell="I8" sqref="I8"/>
    </sheetView>
  </sheetViews>
  <sheetFormatPr defaultColWidth="14.42578125" defaultRowHeight="15" customHeight="1" x14ac:dyDescent="0.25"/>
  <cols>
    <col min="1" max="1" width="52.7109375" customWidth="1"/>
    <col min="2" max="2" width="17.42578125" customWidth="1"/>
    <col min="3" max="3" width="16.28515625" customWidth="1"/>
    <col min="4" max="4" width="8.85546875" customWidth="1"/>
    <col min="5" max="5" width="48" customWidth="1"/>
    <col min="6" max="6" width="17" customWidth="1"/>
    <col min="7" max="7" width="8.85546875" customWidth="1"/>
    <col min="8" max="8" width="19.28515625" customWidth="1"/>
    <col min="9" max="9" width="52" bestFit="1" customWidth="1"/>
    <col min="10" max="10" width="17.710937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33.7109375" customWidth="1"/>
    <col min="19" max="19" width="16.42578125" customWidth="1"/>
    <col min="20" max="20" width="11.140625" customWidth="1"/>
    <col min="21" max="22" width="31.28515625" customWidth="1"/>
    <col min="23" max="23" width="23.85546875" customWidth="1"/>
    <col min="24" max="25" width="13.42578125" customWidth="1"/>
    <col min="26" max="26" width="19.42578125" customWidth="1"/>
    <col min="27" max="27" width="12.28515625" customWidth="1"/>
    <col min="28" max="28" width="20.140625" customWidth="1"/>
    <col min="29" max="29" width="19.28515625" customWidth="1"/>
    <col min="30" max="30" width="12.85546875" customWidth="1"/>
    <col min="31" max="31" width="19" customWidth="1"/>
    <col min="32" max="32" width="4.7109375" customWidth="1"/>
    <col min="33" max="33" width="20.140625" customWidth="1"/>
    <col min="34" max="34" width="19.28515625" customWidth="1"/>
    <col min="35" max="35" width="11.28515625" customWidth="1"/>
    <col min="36" max="36" width="17.85546875" customWidth="1"/>
    <col min="37" max="38" width="8.85546875" customWidth="1"/>
    <col min="39" max="39" width="17.42578125" customWidth="1"/>
    <col min="40" max="40" width="9.7109375" customWidth="1"/>
    <col min="41" max="41" width="15.42578125" customWidth="1"/>
    <col min="42" max="42" width="8.85546875" customWidth="1"/>
    <col min="43" max="44" width="12.7109375" customWidth="1"/>
    <col min="45" max="51" width="8.85546875" customWidth="1"/>
  </cols>
  <sheetData>
    <row r="1" spans="1:51" x14ac:dyDescent="0.25">
      <c r="A1" s="2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25">
      <c r="A2" s="2" t="s">
        <v>2</v>
      </c>
      <c r="B2" s="4">
        <f>X49</f>
        <v>34734.819602654701</v>
      </c>
      <c r="C2" s="2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25">
      <c r="A3" s="3"/>
      <c r="B3" s="5">
        <f>B2/J34</f>
        <v>0.15788554364843047</v>
      </c>
      <c r="C3" s="2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x14ac:dyDescent="0.25">
      <c r="A4" s="2" t="s">
        <v>5</v>
      </c>
      <c r="B4" s="3"/>
      <c r="C4" s="3"/>
      <c r="D4" s="3"/>
      <c r="E4" s="3"/>
      <c r="F4" s="3"/>
      <c r="G4" s="3"/>
      <c r="H4" s="3"/>
      <c r="I4" s="7"/>
      <c r="J4" s="8"/>
      <c r="K4" s="3"/>
      <c r="L4" s="3"/>
      <c r="M4" s="3"/>
      <c r="N4" s="2" t="s">
        <v>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2" t="s">
        <v>7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x14ac:dyDescent="0.25">
      <c r="A5" s="3" t="s">
        <v>8</v>
      </c>
      <c r="B5" s="6">
        <v>10</v>
      </c>
      <c r="C5" s="3" t="s">
        <v>9</v>
      </c>
      <c r="D5" s="3"/>
      <c r="E5" s="3"/>
      <c r="F5" s="3"/>
      <c r="G5" s="3"/>
      <c r="H5" s="3"/>
      <c r="I5" s="7"/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x14ac:dyDescent="0.25">
      <c r="A6" s="3"/>
      <c r="B6" s="6"/>
      <c r="C6" s="3"/>
      <c r="D6" s="3"/>
      <c r="E6" s="3"/>
      <c r="F6" s="3"/>
      <c r="G6" s="3"/>
      <c r="H6" s="3"/>
      <c r="I6" s="3"/>
      <c r="J6" s="8"/>
      <c r="K6" s="3"/>
      <c r="L6" s="3"/>
      <c r="M6" s="3"/>
      <c r="N6" s="3" t="s">
        <v>10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x14ac:dyDescent="0.25">
      <c r="A7" s="9" t="s">
        <v>11</v>
      </c>
      <c r="B7" s="10"/>
      <c r="C7" s="10"/>
      <c r="D7" s="10"/>
      <c r="E7" s="10"/>
      <c r="F7" s="10"/>
      <c r="G7" s="10"/>
      <c r="H7" s="11"/>
      <c r="I7" s="12" t="s">
        <v>12</v>
      </c>
      <c r="J7" s="10"/>
      <c r="K7" s="10"/>
      <c r="L7" s="11"/>
      <c r="M7" s="3"/>
      <c r="N7" s="13" t="s">
        <v>13</v>
      </c>
      <c r="O7" s="13" t="s">
        <v>14</v>
      </c>
      <c r="P7" s="13" t="s">
        <v>15</v>
      </c>
      <c r="Q7" s="13" t="s">
        <v>16</v>
      </c>
      <c r="R7" s="13" t="s">
        <v>17</v>
      </c>
      <c r="S7" s="13" t="s">
        <v>18</v>
      </c>
      <c r="T7" s="13" t="s">
        <v>19</v>
      </c>
      <c r="U7" s="13" t="s">
        <v>20</v>
      </c>
      <c r="V7" s="13" t="s">
        <v>21</v>
      </c>
      <c r="W7" s="13" t="s">
        <v>22</v>
      </c>
      <c r="X7" s="14" t="s">
        <v>23</v>
      </c>
      <c r="Y7" s="2"/>
      <c r="Z7" s="3" t="s">
        <v>24</v>
      </c>
      <c r="AA7" s="3"/>
      <c r="AB7" s="3" t="s">
        <v>25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x14ac:dyDescent="0.25">
      <c r="A8" s="15" t="s">
        <v>26</v>
      </c>
      <c r="B8" s="16">
        <v>2100</v>
      </c>
      <c r="C8" s="3" t="s">
        <v>27</v>
      </c>
      <c r="D8" s="3"/>
      <c r="E8" s="3"/>
      <c r="F8" s="3"/>
      <c r="G8" s="3"/>
      <c r="H8" s="17"/>
      <c r="I8" s="18" t="s">
        <v>185</v>
      </c>
      <c r="J8" s="6">
        <v>24658064.516129032</v>
      </c>
      <c r="K8" s="3" t="s">
        <v>29</v>
      </c>
      <c r="L8" s="17"/>
      <c r="M8" s="3"/>
      <c r="N8" s="13">
        <v>0</v>
      </c>
      <c r="O8" s="19">
        <f>F31</f>
        <v>7646.3262580645141</v>
      </c>
      <c r="P8" s="13"/>
      <c r="Q8" s="13"/>
      <c r="R8" s="13"/>
      <c r="S8" s="13"/>
      <c r="T8" s="13"/>
      <c r="U8" s="13"/>
      <c r="V8" s="13"/>
      <c r="W8" s="13"/>
      <c r="X8" s="20">
        <f t="shared" ref="X8:X48" si="0">SUM(O8:W8)</f>
        <v>7646.3262580645141</v>
      </c>
      <c r="Y8" s="4"/>
      <c r="Z8" s="6"/>
      <c r="AA8" s="3"/>
      <c r="AB8" s="3" t="s">
        <v>30</v>
      </c>
      <c r="AC8" s="21">
        <f>F36</f>
        <v>6.9047619047619052E-2</v>
      </c>
      <c r="AD8" s="3" t="s">
        <v>31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 x14ac:dyDescent="0.25">
      <c r="A9" s="15"/>
      <c r="B9" s="3"/>
      <c r="C9" s="3"/>
      <c r="D9" s="3"/>
      <c r="E9" s="3"/>
      <c r="F9" s="22"/>
      <c r="G9" s="3"/>
      <c r="H9" s="17"/>
      <c r="I9" s="18" t="s">
        <v>32</v>
      </c>
      <c r="J9" s="6">
        <v>2600</v>
      </c>
      <c r="K9" s="3" t="s">
        <v>33</v>
      </c>
      <c r="L9" s="17"/>
      <c r="M9" s="3"/>
      <c r="N9" s="13">
        <v>1</v>
      </c>
      <c r="O9" s="13"/>
      <c r="P9" s="23">
        <f t="shared" ref="P9:P48" si="1">IF(N9&gt;0,IF(N9&lt;=$J$21,(($F$32+$F$33)/$J$21)/((1+($F$11/100))^N9),0),0)</f>
        <v>5097.550838709677</v>
      </c>
      <c r="Q9" s="24">
        <f t="shared" ref="Q9:Q48" si="2">IF(N9&gt;0,($F$41*((1+($F$14/100))^(N9-1)))/((1+($F$11/100))^N9),0)</f>
        <v>202.53968253968259</v>
      </c>
      <c r="R9" s="24">
        <f t="shared" ref="R9:R48" si="3">IF(N9&gt;0,$F$40/((1+($F$11/100))^N9),0)</f>
        <v>0</v>
      </c>
      <c r="S9" s="24">
        <f t="shared" ref="S9:S48" si="4">IF(N9&gt;0,$J$37/((1+($F$11/100))^N9),0)</f>
        <v>522.17373277741194</v>
      </c>
      <c r="T9" s="24">
        <f t="shared" ref="T9:T48" si="5">IF(N9&gt;0,($J$46)/((1+($F$11/100))^N9),0)</f>
        <v>0</v>
      </c>
      <c r="U9" s="24">
        <f t="shared" ref="U9:U48" si="6">IF(AND(MOD(N9,$J$31)=0,N9&gt;0),$B$46/((1+($F$11/100))^N9),0)</f>
        <v>0</v>
      </c>
      <c r="V9" s="24">
        <f t="shared" ref="V9:V48" si="7">IF(N9&gt;0,$J$32/((1+($F$11/100))^N9),0)</f>
        <v>0</v>
      </c>
      <c r="W9" s="23">
        <f t="shared" ref="W9:W18" si="8">IF(N9=$B$5,((((1-$J$16/100)^N9)*$B$47+((1-$J$17/100)^N9)*$B$48)/((1+($F$11/100))^N9))*-1,0)</f>
        <v>0</v>
      </c>
      <c r="X9" s="20">
        <f t="shared" si="0"/>
        <v>5822.2642540267716</v>
      </c>
      <c r="Y9" s="4"/>
      <c r="Z9" s="6">
        <f t="shared" ref="Z9:Z48" si="9">IF(N9&gt;0,((((1-$J$16/100)^N9)*$B$47+((1-$J$17/100)^N9)*$B$48)/((1+($F$11/100))^N9)),0)</f>
        <v>16954.864516129033</v>
      </c>
      <c r="AA9" s="3"/>
      <c r="AB9" s="3" t="s">
        <v>34</v>
      </c>
      <c r="AC9" s="8">
        <f>B48</f>
        <v>5292</v>
      </c>
      <c r="AD9" s="3" t="s">
        <v>3</v>
      </c>
      <c r="AE9" s="3"/>
      <c r="AF9" s="6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x14ac:dyDescent="0.25">
      <c r="A10" s="25" t="s">
        <v>35</v>
      </c>
      <c r="B10" s="3"/>
      <c r="C10" s="3"/>
      <c r="D10" s="3"/>
      <c r="E10" s="2" t="s">
        <v>36</v>
      </c>
      <c r="F10" s="3"/>
      <c r="G10" s="3"/>
      <c r="H10" s="17"/>
      <c r="I10" s="18" t="s">
        <v>37</v>
      </c>
      <c r="J10" s="6">
        <v>105</v>
      </c>
      <c r="K10" s="3" t="s">
        <v>31</v>
      </c>
      <c r="L10" s="17"/>
      <c r="M10" s="3"/>
      <c r="N10" s="13">
        <f t="shared" ref="N10:N48" si="10">IF((N9+1)&gt;$B$5,,IF(N9=0,,N9+1))</f>
        <v>2</v>
      </c>
      <c r="O10" s="13"/>
      <c r="P10" s="23">
        <f t="shared" si="1"/>
        <v>4854.8103225806453</v>
      </c>
      <c r="Q10" s="24">
        <f t="shared" si="2"/>
        <v>194.82388510959942</v>
      </c>
      <c r="R10" s="24">
        <f t="shared" si="3"/>
        <v>0</v>
      </c>
      <c r="S10" s="24">
        <f t="shared" si="4"/>
        <v>497.3083169308685</v>
      </c>
      <c r="T10" s="24">
        <f t="shared" si="5"/>
        <v>0</v>
      </c>
      <c r="U10" s="24">
        <f t="shared" si="6"/>
        <v>0</v>
      </c>
      <c r="V10" s="24">
        <f t="shared" si="7"/>
        <v>0</v>
      </c>
      <c r="W10" s="23">
        <f t="shared" si="8"/>
        <v>0</v>
      </c>
      <c r="X10" s="20">
        <f t="shared" si="0"/>
        <v>5546.9425246211131</v>
      </c>
      <c r="Y10" s="4"/>
      <c r="Z10" s="6">
        <f t="shared" si="9"/>
        <v>14836.785322273427</v>
      </c>
      <c r="AA10" s="3"/>
      <c r="AB10" s="18" t="s">
        <v>159</v>
      </c>
      <c r="AC10" s="26">
        <f>B52</f>
        <v>25487.754193548382</v>
      </c>
      <c r="AD10" s="3" t="s">
        <v>3</v>
      </c>
      <c r="AE10" s="3"/>
      <c r="AF10" s="6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x14ac:dyDescent="0.25">
      <c r="A11" s="27" t="s">
        <v>141</v>
      </c>
      <c r="B11" s="1">
        <v>20</v>
      </c>
      <c r="C11" s="3" t="s">
        <v>38</v>
      </c>
      <c r="D11" s="3"/>
      <c r="E11" s="18" t="s">
        <v>39</v>
      </c>
      <c r="F11" s="3">
        <v>5</v>
      </c>
      <c r="G11" s="3" t="s">
        <v>38</v>
      </c>
      <c r="H11" s="17"/>
      <c r="I11" s="18" t="s">
        <v>40</v>
      </c>
      <c r="J11" s="6">
        <v>42</v>
      </c>
      <c r="K11" s="3" t="s">
        <v>41</v>
      </c>
      <c r="L11" s="17"/>
      <c r="M11" s="3"/>
      <c r="N11" s="13">
        <f t="shared" si="10"/>
        <v>3</v>
      </c>
      <c r="O11" s="13"/>
      <c r="P11" s="23">
        <f t="shared" si="1"/>
        <v>4623.6288786482328</v>
      </c>
      <c r="Q11" s="24">
        <f t="shared" si="2"/>
        <v>187.40202281970991</v>
      </c>
      <c r="R11" s="24">
        <f t="shared" si="3"/>
        <v>0</v>
      </c>
      <c r="S11" s="24">
        <f t="shared" si="4"/>
        <v>473.62696850558905</v>
      </c>
      <c r="T11" s="24">
        <f t="shared" si="5"/>
        <v>0</v>
      </c>
      <c r="U11" s="24">
        <f t="shared" si="6"/>
        <v>0</v>
      </c>
      <c r="V11" s="24">
        <f t="shared" si="7"/>
        <v>0</v>
      </c>
      <c r="W11" s="23">
        <f t="shared" si="8"/>
        <v>0</v>
      </c>
      <c r="X11" s="20">
        <f t="shared" si="0"/>
        <v>5284.657869973531</v>
      </c>
      <c r="Y11" s="4"/>
      <c r="Z11" s="6">
        <f t="shared" si="9"/>
        <v>12987.904176625207</v>
      </c>
      <c r="AA11" s="3"/>
      <c r="AB11" s="3" t="s">
        <v>42</v>
      </c>
      <c r="AC11" s="6">
        <f>F12</f>
        <v>22000</v>
      </c>
      <c r="AD11" s="3" t="s">
        <v>43</v>
      </c>
      <c r="AE11" s="3"/>
      <c r="AF11" s="6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1" x14ac:dyDescent="0.25">
      <c r="A12" s="3" t="s">
        <v>44</v>
      </c>
      <c r="B12" s="3">
        <v>0</v>
      </c>
      <c r="C12" s="3" t="s">
        <v>38</v>
      </c>
      <c r="D12" s="3"/>
      <c r="E12" s="18" t="s">
        <v>45</v>
      </c>
      <c r="F12" s="6">
        <v>22000</v>
      </c>
      <c r="G12" s="3" t="s">
        <v>43</v>
      </c>
      <c r="H12" s="17"/>
      <c r="I12" s="18" t="s">
        <v>46</v>
      </c>
      <c r="J12" s="62">
        <v>536</v>
      </c>
      <c r="K12" s="3" t="s">
        <v>47</v>
      </c>
      <c r="L12" s="17"/>
      <c r="M12" s="3"/>
      <c r="N12" s="13">
        <f t="shared" si="10"/>
        <v>4</v>
      </c>
      <c r="O12" s="13"/>
      <c r="P12" s="23">
        <f t="shared" si="1"/>
        <v>4403.4560749030798</v>
      </c>
      <c r="Q12" s="24">
        <f t="shared" si="2"/>
        <v>180.26289814086383</v>
      </c>
      <c r="R12" s="24">
        <f t="shared" si="3"/>
        <v>0</v>
      </c>
      <c r="S12" s="24">
        <f t="shared" si="4"/>
        <v>451.07330333865627</v>
      </c>
      <c r="T12" s="24">
        <f t="shared" si="5"/>
        <v>0</v>
      </c>
      <c r="U12" s="24">
        <f t="shared" si="6"/>
        <v>0</v>
      </c>
      <c r="V12" s="24">
        <f t="shared" si="7"/>
        <v>0</v>
      </c>
      <c r="W12" s="23">
        <f t="shared" si="8"/>
        <v>0</v>
      </c>
      <c r="X12" s="20">
        <f t="shared" si="0"/>
        <v>5034.7922763825991</v>
      </c>
      <c r="Y12" s="4"/>
      <c r="Z12" s="6">
        <f t="shared" si="9"/>
        <v>11373.362015352519</v>
      </c>
      <c r="AA12" s="3"/>
      <c r="AB12" s="18" t="s">
        <v>48</v>
      </c>
      <c r="AC12" s="26">
        <f>J41</f>
        <v>547.79999999999995</v>
      </c>
      <c r="AD12" s="3" t="s">
        <v>49</v>
      </c>
      <c r="AE12" s="3"/>
      <c r="AF12" s="6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spans="1:51" x14ac:dyDescent="0.25">
      <c r="A13" s="3" t="s">
        <v>50</v>
      </c>
      <c r="B13" s="3">
        <v>5</v>
      </c>
      <c r="C13" s="3" t="s">
        <v>38</v>
      </c>
      <c r="D13" s="3"/>
      <c r="E13" s="18" t="s">
        <v>30</v>
      </c>
      <c r="F13" s="28">
        <v>145</v>
      </c>
      <c r="G13" s="3" t="s">
        <v>51</v>
      </c>
      <c r="H13" s="17"/>
      <c r="I13" s="18" t="s">
        <v>52</v>
      </c>
      <c r="J13" s="6">
        <v>300</v>
      </c>
      <c r="K13" s="3" t="s">
        <v>53</v>
      </c>
      <c r="L13" s="17"/>
      <c r="M13" s="3"/>
      <c r="N13" s="13">
        <f t="shared" si="10"/>
        <v>5</v>
      </c>
      <c r="O13" s="13"/>
      <c r="P13" s="23">
        <f t="shared" si="1"/>
        <v>4193.7676903838847</v>
      </c>
      <c r="Q13" s="24">
        <f t="shared" si="2"/>
        <v>173.39574011644996</v>
      </c>
      <c r="R13" s="24">
        <f t="shared" si="3"/>
        <v>0</v>
      </c>
      <c r="S13" s="24">
        <f t="shared" si="4"/>
        <v>429.59362222729163</v>
      </c>
      <c r="T13" s="24">
        <f t="shared" si="5"/>
        <v>0</v>
      </c>
      <c r="U13" s="24">
        <f t="shared" si="6"/>
        <v>0</v>
      </c>
      <c r="V13" s="24">
        <f t="shared" si="7"/>
        <v>0</v>
      </c>
      <c r="W13" s="23">
        <f t="shared" si="8"/>
        <v>0</v>
      </c>
      <c r="X13" s="20">
        <f t="shared" si="0"/>
        <v>4796.7570527276257</v>
      </c>
      <c r="Y13" s="4"/>
      <c r="Z13" s="6">
        <f t="shared" si="9"/>
        <v>9962.9027555798966</v>
      </c>
      <c r="AA13" s="3"/>
      <c r="AB13" s="3" t="s">
        <v>158</v>
      </c>
      <c r="AC13" s="6">
        <f>J26</f>
        <v>150</v>
      </c>
      <c r="AD13" s="3" t="s">
        <v>148</v>
      </c>
      <c r="AE13" s="3"/>
      <c r="AF13" s="6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spans="1:51" x14ac:dyDescent="0.25">
      <c r="A14" s="3" t="s">
        <v>54</v>
      </c>
      <c r="B14" s="3">
        <v>0</v>
      </c>
      <c r="C14" s="3" t="s">
        <v>38</v>
      </c>
      <c r="D14" s="3"/>
      <c r="E14" s="18" t="s">
        <v>55</v>
      </c>
      <c r="F14" s="3">
        <v>1</v>
      </c>
      <c r="G14" s="3" t="s">
        <v>56</v>
      </c>
      <c r="H14" s="17"/>
      <c r="I14" s="18" t="s">
        <v>57</v>
      </c>
      <c r="J14" s="29">
        <v>30</v>
      </c>
      <c r="K14" s="3" t="s">
        <v>58</v>
      </c>
      <c r="L14" s="17"/>
      <c r="M14" s="3"/>
      <c r="N14" s="13">
        <f t="shared" si="10"/>
        <v>6</v>
      </c>
      <c r="O14" s="13"/>
      <c r="P14" s="23">
        <f t="shared" si="1"/>
        <v>0</v>
      </c>
      <c r="Q14" s="24">
        <f t="shared" si="2"/>
        <v>166.79018811201379</v>
      </c>
      <c r="R14" s="24">
        <f t="shared" si="3"/>
        <v>0</v>
      </c>
      <c r="S14" s="24">
        <f t="shared" si="4"/>
        <v>409.13678307361113</v>
      </c>
      <c r="T14" s="24">
        <f t="shared" si="5"/>
        <v>0</v>
      </c>
      <c r="U14" s="24">
        <f t="shared" si="6"/>
        <v>0</v>
      </c>
      <c r="V14" s="24">
        <f t="shared" si="7"/>
        <v>0</v>
      </c>
      <c r="W14" s="23">
        <f t="shared" si="8"/>
        <v>0</v>
      </c>
      <c r="X14" s="20">
        <f t="shared" si="0"/>
        <v>575.92697118562489</v>
      </c>
      <c r="Y14" s="4"/>
      <c r="Z14" s="6">
        <f t="shared" si="9"/>
        <v>8730.2534433071669</v>
      </c>
      <c r="AA14" s="3"/>
      <c r="AB14" s="3" t="s">
        <v>184</v>
      </c>
      <c r="AC14" s="28">
        <f>J18</f>
        <v>0.14000000000000001</v>
      </c>
      <c r="AD14" s="3" t="s">
        <v>72</v>
      </c>
      <c r="AE14" s="3"/>
      <c r="AF14" s="6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 spans="1:51" x14ac:dyDescent="0.25">
      <c r="A15" s="3" t="s">
        <v>59</v>
      </c>
      <c r="B15" s="3">
        <v>25</v>
      </c>
      <c r="C15" s="3" t="s">
        <v>38</v>
      </c>
      <c r="D15" s="3"/>
      <c r="E15" s="18" t="s">
        <v>60</v>
      </c>
      <c r="F15" s="3">
        <v>0</v>
      </c>
      <c r="G15" s="3" t="s">
        <v>61</v>
      </c>
      <c r="H15" s="17"/>
      <c r="I15" s="18" t="s">
        <v>62</v>
      </c>
      <c r="J15" s="8">
        <v>20</v>
      </c>
      <c r="K15" s="3" t="s">
        <v>38</v>
      </c>
      <c r="L15" s="17"/>
      <c r="M15" s="3"/>
      <c r="N15" s="13">
        <f t="shared" si="10"/>
        <v>7</v>
      </c>
      <c r="O15" s="13"/>
      <c r="P15" s="23">
        <f t="shared" si="1"/>
        <v>0</v>
      </c>
      <c r="Q15" s="24">
        <f t="shared" si="2"/>
        <v>160.43627618393708</v>
      </c>
      <c r="R15" s="24">
        <f t="shared" si="3"/>
        <v>0</v>
      </c>
      <c r="S15" s="24">
        <f t="shared" si="4"/>
        <v>389.65407911772479</v>
      </c>
      <c r="T15" s="24">
        <f t="shared" si="5"/>
        <v>0</v>
      </c>
      <c r="U15" s="24">
        <f t="shared" si="6"/>
        <v>3134.1046658738355</v>
      </c>
      <c r="V15" s="24">
        <f t="shared" si="7"/>
        <v>0</v>
      </c>
      <c r="W15" s="23">
        <f t="shared" si="8"/>
        <v>0</v>
      </c>
      <c r="X15" s="20">
        <f t="shared" si="0"/>
        <v>3684.1950211754975</v>
      </c>
      <c r="Y15" s="4"/>
      <c r="Z15" s="6">
        <f t="shared" si="9"/>
        <v>7652.5894723229985</v>
      </c>
      <c r="AA15" s="3"/>
      <c r="AB15" s="3"/>
      <c r="AC15" s="3"/>
      <c r="AD15" s="3"/>
      <c r="AE15" s="3"/>
      <c r="AF15" s="6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1" x14ac:dyDescent="0.25">
      <c r="A16" s="27" t="s">
        <v>63</v>
      </c>
      <c r="B16" s="3">
        <v>0.5</v>
      </c>
      <c r="C16" s="3" t="s">
        <v>38</v>
      </c>
      <c r="D16" s="3"/>
      <c r="E16" s="18" t="s">
        <v>167</v>
      </c>
      <c r="F16" s="3">
        <v>5.2</v>
      </c>
      <c r="G16" s="3" t="s">
        <v>56</v>
      </c>
      <c r="H16" s="17"/>
      <c r="I16" s="18" t="s">
        <v>64</v>
      </c>
      <c r="J16" s="3">
        <v>7.08</v>
      </c>
      <c r="K16" s="3" t="s">
        <v>65</v>
      </c>
      <c r="L16" s="17"/>
      <c r="M16" s="3"/>
      <c r="N16" s="13">
        <f t="shared" si="10"/>
        <v>8</v>
      </c>
      <c r="O16" s="13"/>
      <c r="P16" s="23">
        <f t="shared" si="1"/>
        <v>0</v>
      </c>
      <c r="Q16" s="24">
        <f t="shared" si="2"/>
        <v>154.32441804359658</v>
      </c>
      <c r="R16" s="24">
        <f t="shared" si="3"/>
        <v>0</v>
      </c>
      <c r="S16" s="24">
        <f t="shared" si="4"/>
        <v>371.09912296926177</v>
      </c>
      <c r="T16" s="24">
        <f t="shared" si="5"/>
        <v>0</v>
      </c>
      <c r="U16" s="24">
        <f t="shared" si="6"/>
        <v>0</v>
      </c>
      <c r="V16" s="24">
        <f t="shared" si="7"/>
        <v>0</v>
      </c>
      <c r="W16" s="23">
        <f t="shared" si="8"/>
        <v>0</v>
      </c>
      <c r="X16" s="20">
        <f t="shared" si="0"/>
        <v>525.42354101285832</v>
      </c>
      <c r="Y16" s="4"/>
      <c r="Z16" s="6">
        <f t="shared" si="9"/>
        <v>6710.0729903662532</v>
      </c>
      <c r="AA16" s="3"/>
      <c r="AB16" s="3"/>
      <c r="AC16" s="3"/>
      <c r="AD16" s="3"/>
      <c r="AE16" s="3"/>
      <c r="AF16" s="6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spans="1:51" x14ac:dyDescent="0.25">
      <c r="A17" s="27" t="s">
        <v>168</v>
      </c>
      <c r="B17" s="3">
        <v>1</v>
      </c>
      <c r="C17" s="3" t="s">
        <v>38</v>
      </c>
      <c r="D17" s="3"/>
      <c r="E17" s="18" t="s">
        <v>66</v>
      </c>
      <c r="F17" s="16">
        <v>0</v>
      </c>
      <c r="G17" s="3" t="s">
        <v>67</v>
      </c>
      <c r="H17" s="17"/>
      <c r="I17" s="18" t="s">
        <v>68</v>
      </c>
      <c r="J17" s="3">
        <v>11</v>
      </c>
      <c r="K17" s="3" t="s">
        <v>65</v>
      </c>
      <c r="L17" s="17"/>
      <c r="M17" s="3"/>
      <c r="N17" s="13">
        <f t="shared" si="10"/>
        <v>9</v>
      </c>
      <c r="O17" s="13"/>
      <c r="P17" s="23">
        <f t="shared" si="1"/>
        <v>0</v>
      </c>
      <c r="Q17" s="24">
        <f t="shared" si="2"/>
        <v>148.44539259431676</v>
      </c>
      <c r="R17" s="24">
        <f t="shared" si="3"/>
        <v>0</v>
      </c>
      <c r="S17" s="24">
        <f t="shared" si="4"/>
        <v>353.42773616120166</v>
      </c>
      <c r="T17" s="24">
        <f t="shared" si="5"/>
        <v>0</v>
      </c>
      <c r="U17" s="24">
        <f t="shared" si="6"/>
        <v>0</v>
      </c>
      <c r="V17" s="24">
        <f t="shared" si="7"/>
        <v>0</v>
      </c>
      <c r="W17" s="23">
        <f t="shared" si="8"/>
        <v>0</v>
      </c>
      <c r="X17" s="20">
        <f t="shared" si="0"/>
        <v>501.87312875551845</v>
      </c>
      <c r="Y17" s="4"/>
      <c r="Z17" s="6">
        <f t="shared" si="9"/>
        <v>5885.4542954562803</v>
      </c>
      <c r="AA17" s="3"/>
      <c r="AB17" s="3"/>
      <c r="AC17" s="3"/>
      <c r="AD17" s="3"/>
      <c r="AE17" s="3"/>
      <c r="AF17" s="6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</row>
    <row r="18" spans="1:51" x14ac:dyDescent="0.25">
      <c r="A18" s="18" t="s">
        <v>69</v>
      </c>
      <c r="B18" s="3">
        <v>0</v>
      </c>
      <c r="C18" s="3" t="s">
        <v>38</v>
      </c>
      <c r="D18" s="3"/>
      <c r="E18" s="18" t="s">
        <v>70</v>
      </c>
      <c r="F18" s="3">
        <v>0</v>
      </c>
      <c r="G18" s="3" t="s">
        <v>38</v>
      </c>
      <c r="H18" s="17"/>
      <c r="I18" s="18" t="s">
        <v>71</v>
      </c>
      <c r="J18" s="28">
        <v>0.14000000000000001</v>
      </c>
      <c r="K18" s="3" t="s">
        <v>72</v>
      </c>
      <c r="L18" s="17"/>
      <c r="M18" s="3"/>
      <c r="N18" s="13">
        <f t="shared" si="10"/>
        <v>10</v>
      </c>
      <c r="O18" s="13"/>
      <c r="P18" s="23">
        <f t="shared" si="1"/>
        <v>0</v>
      </c>
      <c r="Q18" s="24">
        <f t="shared" si="2"/>
        <v>142.79033001929517</v>
      </c>
      <c r="R18" s="24">
        <f t="shared" si="3"/>
        <v>0</v>
      </c>
      <c r="S18" s="24">
        <f t="shared" si="4"/>
        <v>336.59784396304923</v>
      </c>
      <c r="T18" s="24">
        <f t="shared" si="5"/>
        <v>0</v>
      </c>
      <c r="U18" s="24">
        <f t="shared" si="6"/>
        <v>0</v>
      </c>
      <c r="V18" s="24">
        <f t="shared" si="7"/>
        <v>0</v>
      </c>
      <c r="W18" s="23">
        <f t="shared" si="8"/>
        <v>-5163.7274692533001</v>
      </c>
      <c r="X18" s="20">
        <f t="shared" si="0"/>
        <v>-4684.3392952709555</v>
      </c>
      <c r="Y18" s="4"/>
      <c r="Z18" s="6">
        <f t="shared" si="9"/>
        <v>5163.7274692533001</v>
      </c>
      <c r="AA18" s="3"/>
      <c r="AB18" s="3"/>
      <c r="AC18" s="3"/>
      <c r="AD18" s="3"/>
      <c r="AE18" s="3"/>
      <c r="AF18" s="6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</row>
    <row r="19" spans="1:51" x14ac:dyDescent="0.25">
      <c r="A19" s="27"/>
      <c r="B19" s="3"/>
      <c r="C19" s="3"/>
      <c r="D19" s="3"/>
      <c r="E19" s="18" t="s">
        <v>73</v>
      </c>
      <c r="F19" s="6">
        <v>0</v>
      </c>
      <c r="G19" s="3" t="s">
        <v>61</v>
      </c>
      <c r="H19" s="17"/>
      <c r="I19" s="3"/>
      <c r="J19" s="3"/>
      <c r="K19" s="3"/>
      <c r="L19" s="17"/>
      <c r="M19" s="3"/>
      <c r="N19" s="13">
        <f t="shared" si="10"/>
        <v>0</v>
      </c>
      <c r="O19" s="13"/>
      <c r="P19" s="23">
        <f t="shared" si="1"/>
        <v>0</v>
      </c>
      <c r="Q19" s="24">
        <f t="shared" si="2"/>
        <v>0</v>
      </c>
      <c r="R19" s="24">
        <f t="shared" si="3"/>
        <v>0</v>
      </c>
      <c r="S19" s="24">
        <f t="shared" si="4"/>
        <v>0</v>
      </c>
      <c r="T19" s="24">
        <f t="shared" si="5"/>
        <v>0</v>
      </c>
      <c r="U19" s="24">
        <f t="shared" si="6"/>
        <v>0</v>
      </c>
      <c r="V19" s="24">
        <f t="shared" si="7"/>
        <v>0</v>
      </c>
      <c r="W19" s="23">
        <f t="shared" ref="W19:W48" si="11">IF(N19=$B$5,((((1-$J$16/100)^N19)*$B$52+((1-$J$17/100)^N19)*$B$48)/((1+($F$11/100))^N19))*-1,0)</f>
        <v>0</v>
      </c>
      <c r="X19" s="20">
        <f t="shared" si="0"/>
        <v>0</v>
      </c>
      <c r="Y19" s="4"/>
      <c r="Z19" s="6">
        <f t="shared" si="9"/>
        <v>0</v>
      </c>
      <c r="AA19" s="3"/>
      <c r="AB19" s="3"/>
      <c r="AC19" s="3"/>
      <c r="AD19" s="3"/>
      <c r="AE19" s="3"/>
      <c r="AF19" s="6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</row>
    <row r="20" spans="1:51" x14ac:dyDescent="0.25">
      <c r="A20" s="27"/>
      <c r="B20" s="3"/>
      <c r="C20" s="3"/>
      <c r="D20" s="3"/>
      <c r="E20" s="18" t="s">
        <v>74</v>
      </c>
      <c r="F20" s="6">
        <v>0</v>
      </c>
      <c r="G20" s="3" t="s">
        <v>75</v>
      </c>
      <c r="H20" s="17"/>
      <c r="I20" s="2" t="s">
        <v>78</v>
      </c>
      <c r="J20" s="3"/>
      <c r="K20" s="3"/>
      <c r="L20" s="17"/>
      <c r="M20" s="3"/>
      <c r="N20" s="13">
        <f t="shared" si="10"/>
        <v>0</v>
      </c>
      <c r="O20" s="13"/>
      <c r="P20" s="23">
        <f t="shared" si="1"/>
        <v>0</v>
      </c>
      <c r="Q20" s="24">
        <f t="shared" si="2"/>
        <v>0</v>
      </c>
      <c r="R20" s="24">
        <f t="shared" si="3"/>
        <v>0</v>
      </c>
      <c r="S20" s="24">
        <f t="shared" si="4"/>
        <v>0</v>
      </c>
      <c r="T20" s="24">
        <f t="shared" si="5"/>
        <v>0</v>
      </c>
      <c r="U20" s="24">
        <f t="shared" si="6"/>
        <v>0</v>
      </c>
      <c r="V20" s="24">
        <f t="shared" si="7"/>
        <v>0</v>
      </c>
      <c r="W20" s="23">
        <f t="shared" si="11"/>
        <v>0</v>
      </c>
      <c r="X20" s="20">
        <f t="shared" si="0"/>
        <v>0</v>
      </c>
      <c r="Y20" s="4"/>
      <c r="Z20" s="6">
        <f t="shared" si="9"/>
        <v>0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</row>
    <row r="21" spans="1:51" ht="15.75" customHeight="1" x14ac:dyDescent="0.25">
      <c r="A21" s="27"/>
      <c r="B21" s="3"/>
      <c r="C21" s="3"/>
      <c r="D21" s="3"/>
      <c r="E21" s="18" t="s">
        <v>48</v>
      </c>
      <c r="F21" s="7">
        <v>52.29</v>
      </c>
      <c r="G21" s="3" t="s">
        <v>76</v>
      </c>
      <c r="H21" s="17"/>
      <c r="I21" s="18" t="s">
        <v>83</v>
      </c>
      <c r="J21" s="3">
        <v>5</v>
      </c>
      <c r="K21" s="3" t="s">
        <v>58</v>
      </c>
      <c r="L21" s="17"/>
      <c r="M21" s="3"/>
      <c r="N21" s="13">
        <f t="shared" si="10"/>
        <v>0</v>
      </c>
      <c r="O21" s="13"/>
      <c r="P21" s="23">
        <f t="shared" si="1"/>
        <v>0</v>
      </c>
      <c r="Q21" s="24">
        <f t="shared" si="2"/>
        <v>0</v>
      </c>
      <c r="R21" s="24">
        <f t="shared" si="3"/>
        <v>0</v>
      </c>
      <c r="S21" s="24">
        <f t="shared" si="4"/>
        <v>0</v>
      </c>
      <c r="T21" s="24">
        <f t="shared" si="5"/>
        <v>0</v>
      </c>
      <c r="U21" s="24">
        <f t="shared" si="6"/>
        <v>0</v>
      </c>
      <c r="V21" s="24">
        <f t="shared" si="7"/>
        <v>0</v>
      </c>
      <c r="W21" s="23">
        <f t="shared" si="11"/>
        <v>0</v>
      </c>
      <c r="X21" s="20">
        <f t="shared" si="0"/>
        <v>0</v>
      </c>
      <c r="Y21" s="4"/>
      <c r="Z21" s="6">
        <f t="shared" si="9"/>
        <v>0</v>
      </c>
      <c r="AA21" s="3"/>
      <c r="AB21" s="30" t="s">
        <v>30</v>
      </c>
      <c r="AC21" s="31"/>
      <c r="AD21" s="31"/>
      <c r="AE21" s="31"/>
      <c r="AF21" s="3"/>
      <c r="AG21" s="30" t="s">
        <v>28</v>
      </c>
      <c r="AH21" s="31"/>
      <c r="AI21" s="31"/>
      <c r="AJ21" s="31"/>
      <c r="AK21" s="3"/>
      <c r="AL21" s="89" t="s">
        <v>172</v>
      </c>
      <c r="AM21" s="89" t="s">
        <v>174</v>
      </c>
      <c r="AN21" s="89" t="s">
        <v>175</v>
      </c>
      <c r="AO21" s="89" t="s">
        <v>34</v>
      </c>
      <c r="AP21" s="89" t="s">
        <v>176</v>
      </c>
      <c r="AQ21" s="89" t="s">
        <v>177</v>
      </c>
      <c r="AR21" s="94" t="str">
        <f>AB66</f>
        <v>Energy Efficiency</v>
      </c>
      <c r="AS21" s="3"/>
      <c r="AT21" s="3"/>
      <c r="AU21" s="3"/>
      <c r="AV21" s="3"/>
      <c r="AW21" s="3"/>
      <c r="AX21" s="3"/>
      <c r="AY21" s="3"/>
    </row>
    <row r="22" spans="1:51" ht="15.75" customHeight="1" x14ac:dyDescent="0.25">
      <c r="A22" s="27"/>
      <c r="B22" s="3"/>
      <c r="C22" s="3"/>
      <c r="D22" s="3"/>
      <c r="E22" s="18" t="s">
        <v>77</v>
      </c>
      <c r="F22" s="3">
        <v>10</v>
      </c>
      <c r="G22" s="3" t="s">
        <v>65</v>
      </c>
      <c r="H22" s="17"/>
      <c r="I22" s="18" t="s">
        <v>85</v>
      </c>
      <c r="J22" s="3">
        <v>30</v>
      </c>
      <c r="K22" s="3" t="s">
        <v>86</v>
      </c>
      <c r="L22" s="17"/>
      <c r="M22" s="3"/>
      <c r="N22" s="13">
        <f t="shared" si="10"/>
        <v>0</v>
      </c>
      <c r="O22" s="13"/>
      <c r="P22" s="23">
        <f t="shared" si="1"/>
        <v>0</v>
      </c>
      <c r="Q22" s="24">
        <f t="shared" si="2"/>
        <v>0</v>
      </c>
      <c r="R22" s="24">
        <f t="shared" si="3"/>
        <v>0</v>
      </c>
      <c r="S22" s="24">
        <f t="shared" si="4"/>
        <v>0</v>
      </c>
      <c r="T22" s="24">
        <f t="shared" si="5"/>
        <v>0</v>
      </c>
      <c r="U22" s="24">
        <f t="shared" si="6"/>
        <v>0</v>
      </c>
      <c r="V22" s="24">
        <f t="shared" si="7"/>
        <v>0</v>
      </c>
      <c r="W22" s="23">
        <f t="shared" si="11"/>
        <v>0</v>
      </c>
      <c r="X22" s="20">
        <f t="shared" si="0"/>
        <v>0</v>
      </c>
      <c r="Y22" s="4"/>
      <c r="Z22" s="6">
        <f t="shared" si="9"/>
        <v>0</v>
      </c>
      <c r="AA22" s="3"/>
      <c r="AB22" s="31" t="s">
        <v>79</v>
      </c>
      <c r="AC22" s="31" t="s">
        <v>80</v>
      </c>
      <c r="AD22" s="31" t="s">
        <v>23</v>
      </c>
      <c r="AE22" s="31" t="s">
        <v>81</v>
      </c>
      <c r="AF22" s="3"/>
      <c r="AG22" s="31" t="s">
        <v>79</v>
      </c>
      <c r="AH22" s="31" t="s">
        <v>82</v>
      </c>
      <c r="AI22" s="31" t="s">
        <v>23</v>
      </c>
      <c r="AJ22" s="31" t="s">
        <v>81</v>
      </c>
      <c r="AK22" s="3"/>
      <c r="AL22" s="90">
        <v>-50</v>
      </c>
      <c r="AM22" s="91">
        <f>AJ24</f>
        <v>-44.364042214479461</v>
      </c>
      <c r="AN22" s="91">
        <f>AE24</f>
        <v>-2.4632499222029836</v>
      </c>
      <c r="AO22" s="92">
        <f t="shared" ref="AO22:AO32" si="12">AE39</f>
        <v>-10.656023161124246</v>
      </c>
      <c r="AP22" s="92">
        <f t="shared" ref="AP22:AP32" si="13">AJ39</f>
        <v>-17.575140304890834</v>
      </c>
      <c r="AQ22" s="92">
        <f>AE54</f>
        <v>-6.0889425115715419</v>
      </c>
      <c r="AR22" s="58">
        <f>AE69</f>
        <v>2.4632499222029627</v>
      </c>
      <c r="AS22" s="3"/>
      <c r="AT22" s="3"/>
      <c r="AU22" s="3"/>
      <c r="AV22" s="3"/>
      <c r="AW22" s="3"/>
      <c r="AX22" s="3"/>
      <c r="AY22" s="3"/>
    </row>
    <row r="23" spans="1:51" ht="15.75" customHeight="1" x14ac:dyDescent="0.25">
      <c r="A23" s="18"/>
      <c r="B23" s="3"/>
      <c r="C23" s="3"/>
      <c r="D23" s="3"/>
      <c r="E23" s="18"/>
      <c r="F23" s="8"/>
      <c r="G23" s="3"/>
      <c r="H23" s="17"/>
      <c r="I23" s="63" t="s">
        <v>143</v>
      </c>
      <c r="J23" s="64"/>
      <c r="K23" s="64"/>
      <c r="L23" s="65"/>
      <c r="M23" s="3"/>
      <c r="N23" s="13">
        <f t="shared" si="10"/>
        <v>0</v>
      </c>
      <c r="O23" s="13"/>
      <c r="P23" s="23">
        <f t="shared" si="1"/>
        <v>0</v>
      </c>
      <c r="Q23" s="24">
        <f t="shared" si="2"/>
        <v>0</v>
      </c>
      <c r="R23" s="24">
        <f t="shared" si="3"/>
        <v>0</v>
      </c>
      <c r="S23" s="24">
        <f t="shared" si="4"/>
        <v>0</v>
      </c>
      <c r="T23" s="24">
        <f t="shared" si="5"/>
        <v>0</v>
      </c>
      <c r="U23" s="24">
        <f t="shared" si="6"/>
        <v>0</v>
      </c>
      <c r="V23" s="24">
        <f t="shared" si="7"/>
        <v>0</v>
      </c>
      <c r="W23" s="23">
        <f t="shared" si="11"/>
        <v>0</v>
      </c>
      <c r="X23" s="20">
        <f t="shared" si="0"/>
        <v>0</v>
      </c>
      <c r="Y23" s="4"/>
      <c r="Z23" s="6">
        <f t="shared" si="9"/>
        <v>0</v>
      </c>
      <c r="AA23" s="3"/>
      <c r="AB23" s="31" t="s">
        <v>84</v>
      </c>
      <c r="AC23" s="33">
        <v>6.9047619047619052E-2</v>
      </c>
      <c r="AD23" s="34">
        <f>X49</f>
        <v>34734.819602654701</v>
      </c>
      <c r="AE23" s="31"/>
      <c r="AF23" s="3"/>
      <c r="AG23" s="31" t="s">
        <v>84</v>
      </c>
      <c r="AH23" s="35">
        <v>25487.754193548382</v>
      </c>
      <c r="AI23" s="34">
        <f>X49</f>
        <v>34734.819602654701</v>
      </c>
      <c r="AJ23" s="31"/>
      <c r="AK23" s="3"/>
      <c r="AL23" s="90">
        <v>-40</v>
      </c>
      <c r="AM23" s="91">
        <f>AJ25</f>
        <v>-35.491233771583587</v>
      </c>
      <c r="AN23" s="91">
        <f t="shared" ref="AN23:AN32" si="14">AE25</f>
        <v>-1.9705999377623578</v>
      </c>
      <c r="AO23" s="92">
        <f t="shared" si="12"/>
        <v>-8.5248185288993934</v>
      </c>
      <c r="AP23" s="92">
        <f t="shared" si="13"/>
        <v>-15.864701818135938</v>
      </c>
      <c r="AQ23" s="92">
        <f t="shared" ref="AQ23:AQ32" si="15">AE55</f>
        <v>-4.871154009257217</v>
      </c>
      <c r="AR23" s="58">
        <f t="shared" ref="AR23:AR32" si="16">AE70</f>
        <v>1.9705999377623578</v>
      </c>
      <c r="AS23" s="7"/>
      <c r="AT23" s="7"/>
      <c r="AU23" s="7"/>
      <c r="AV23" s="7"/>
      <c r="AW23" s="7"/>
      <c r="AX23" s="7"/>
      <c r="AY23" s="7"/>
    </row>
    <row r="24" spans="1:51" ht="15.75" customHeight="1" x14ac:dyDescent="0.25">
      <c r="A24" s="27"/>
      <c r="B24" s="3"/>
      <c r="C24" s="3"/>
      <c r="D24" s="3"/>
      <c r="E24" s="3"/>
      <c r="F24" s="3"/>
      <c r="G24" s="3"/>
      <c r="H24" s="17"/>
      <c r="I24" s="64" t="s">
        <v>144</v>
      </c>
      <c r="J24" s="66" t="s">
        <v>142</v>
      </c>
      <c r="K24" s="64"/>
      <c r="L24" s="65"/>
      <c r="M24" s="3"/>
      <c r="N24" s="13">
        <f t="shared" si="10"/>
        <v>0</v>
      </c>
      <c r="O24" s="13"/>
      <c r="P24" s="23">
        <f t="shared" si="1"/>
        <v>0</v>
      </c>
      <c r="Q24" s="24">
        <f t="shared" si="2"/>
        <v>0</v>
      </c>
      <c r="R24" s="24">
        <f t="shared" si="3"/>
        <v>0</v>
      </c>
      <c r="S24" s="24">
        <f t="shared" si="4"/>
        <v>0</v>
      </c>
      <c r="T24" s="24">
        <f t="shared" si="5"/>
        <v>0</v>
      </c>
      <c r="U24" s="24">
        <f t="shared" si="6"/>
        <v>0</v>
      </c>
      <c r="V24" s="24">
        <f t="shared" si="7"/>
        <v>0</v>
      </c>
      <c r="W24" s="23">
        <f t="shared" si="11"/>
        <v>0</v>
      </c>
      <c r="X24" s="20">
        <f t="shared" si="0"/>
        <v>0</v>
      </c>
      <c r="Y24" s="4"/>
      <c r="Z24" s="6">
        <f t="shared" si="9"/>
        <v>0</v>
      </c>
      <c r="AA24" s="3"/>
      <c r="AB24" s="31">
        <f t="shared" ref="AB24:AB28" si="17">AB25-10</f>
        <v>-50</v>
      </c>
      <c r="AC24" s="33">
        <f t="shared" ref="AC24:AC34" si="18">$AC$23*(1+(AB24/100))</f>
        <v>3.4523809523809526E-2</v>
      </c>
      <c r="AD24" s="34">
        <f t="dataTable" ref="AD24:AD34" dt2D="0" dtr="0" r1="F36"/>
        <v>33879.214185814963</v>
      </c>
      <c r="AE24" s="38">
        <f t="shared" ref="AE24:AE34" si="19">100*((AD24-$AD$29)/$AD$29)</f>
        <v>-2.4632499222029836</v>
      </c>
      <c r="AF24" s="3"/>
      <c r="AG24" s="31">
        <f t="shared" ref="AG24:AG28" si="20">AG25-10</f>
        <v>-50</v>
      </c>
      <c r="AH24" s="35">
        <f t="shared" ref="AH24:AH34" si="21">$AH$23*(1+(AG24/100))</f>
        <v>12743.877096774191</v>
      </c>
      <c r="AI24" s="34">
        <f t="dataTable" ref="AI24:AI34" dt2D="0" dtr="0" r1="B52" ca="1"/>
        <v>19325.049571009684</v>
      </c>
      <c r="AJ24" s="38">
        <f t="shared" ref="AJ24:AJ34" si="22">100*((AI24-$AI$29)/$AI$29)</f>
        <v>-44.364042214479461</v>
      </c>
      <c r="AK24" s="3"/>
      <c r="AL24" s="90">
        <v>-30</v>
      </c>
      <c r="AM24" s="91">
        <f t="shared" ref="AM24:AM32" si="23">AJ26</f>
        <v>-26.618425328687689</v>
      </c>
      <c r="AN24" s="91">
        <f t="shared" si="14"/>
        <v>-1.4779499533217524</v>
      </c>
      <c r="AO24" s="92">
        <f t="shared" si="12"/>
        <v>-6.3936138966745419</v>
      </c>
      <c r="AP24" s="92">
        <f t="shared" si="13"/>
        <v>-6.3599017107212008</v>
      </c>
      <c r="AQ24" s="92">
        <f t="shared" si="15"/>
        <v>-3.6533655069429125</v>
      </c>
      <c r="AR24" s="58">
        <f t="shared" si="16"/>
        <v>1.4779499533217944</v>
      </c>
      <c r="AS24" s="7"/>
      <c r="AT24" s="7"/>
      <c r="AU24" s="7"/>
      <c r="AV24" s="7"/>
      <c r="AW24" s="7"/>
      <c r="AX24" s="7"/>
      <c r="AY24" s="7"/>
    </row>
    <row r="25" spans="1:51" ht="15.75" customHeight="1" x14ac:dyDescent="0.25">
      <c r="A25" s="15"/>
      <c r="B25" s="3"/>
      <c r="C25" s="3"/>
      <c r="D25" s="3"/>
      <c r="E25" s="7"/>
      <c r="F25" s="3"/>
      <c r="G25" s="3"/>
      <c r="H25" s="17"/>
      <c r="I25" s="67" t="s">
        <v>145</v>
      </c>
      <c r="J25" s="67">
        <v>1.3</v>
      </c>
      <c r="K25" s="67" t="s">
        <v>146</v>
      </c>
      <c r="L25" s="65"/>
      <c r="M25" s="3"/>
      <c r="N25" s="13">
        <f t="shared" si="10"/>
        <v>0</v>
      </c>
      <c r="O25" s="13"/>
      <c r="P25" s="23">
        <f t="shared" si="1"/>
        <v>0</v>
      </c>
      <c r="Q25" s="24">
        <f t="shared" si="2"/>
        <v>0</v>
      </c>
      <c r="R25" s="24">
        <f t="shared" si="3"/>
        <v>0</v>
      </c>
      <c r="S25" s="24">
        <f t="shared" si="4"/>
        <v>0</v>
      </c>
      <c r="T25" s="24">
        <f t="shared" si="5"/>
        <v>0</v>
      </c>
      <c r="U25" s="24">
        <f t="shared" si="6"/>
        <v>0</v>
      </c>
      <c r="V25" s="24">
        <f t="shared" si="7"/>
        <v>0</v>
      </c>
      <c r="W25" s="23">
        <f t="shared" si="11"/>
        <v>0</v>
      </c>
      <c r="X25" s="20">
        <f t="shared" si="0"/>
        <v>0</v>
      </c>
      <c r="Y25" s="4"/>
      <c r="Z25" s="6">
        <f t="shared" si="9"/>
        <v>0</v>
      </c>
      <c r="AA25" s="3"/>
      <c r="AB25" s="31">
        <f t="shared" si="17"/>
        <v>-40</v>
      </c>
      <c r="AC25" s="33">
        <f t="shared" si="18"/>
        <v>4.1428571428571433E-2</v>
      </c>
      <c r="AD25" s="34">
        <v>34050.33526918292</v>
      </c>
      <c r="AE25" s="38">
        <f t="shared" si="19"/>
        <v>-1.9705999377623578</v>
      </c>
      <c r="AF25" s="3"/>
      <c r="AG25" s="31">
        <f t="shared" si="20"/>
        <v>-40</v>
      </c>
      <c r="AH25" s="35">
        <f t="shared" si="21"/>
        <v>15292.652516129028</v>
      </c>
      <c r="AI25" s="34">
        <v>22407.003577338681</v>
      </c>
      <c r="AJ25" s="38">
        <f t="shared" si="22"/>
        <v>-35.491233771583587</v>
      </c>
      <c r="AK25" s="3"/>
      <c r="AL25" s="90">
        <v>-20</v>
      </c>
      <c r="AM25" s="91">
        <f t="shared" si="23"/>
        <v>-17.745616885791787</v>
      </c>
      <c r="AN25" s="91">
        <f t="shared" si="14"/>
        <v>-0.98529996888121019</v>
      </c>
      <c r="AO25" s="92">
        <f t="shared" si="12"/>
        <v>-4.2624092644496816</v>
      </c>
      <c r="AP25" s="92">
        <f t="shared" si="13"/>
        <v>-4.2597451429333155</v>
      </c>
      <c r="AQ25" s="92">
        <f t="shared" si="15"/>
        <v>-2.4355770046285872</v>
      </c>
      <c r="AR25" s="58">
        <f t="shared" si="16"/>
        <v>0.9852999688811892</v>
      </c>
      <c r="AS25" s="7"/>
      <c r="AT25" s="7"/>
      <c r="AU25" s="7"/>
      <c r="AV25" s="7"/>
      <c r="AW25" s="7"/>
      <c r="AX25" s="7"/>
      <c r="AY25" s="7"/>
    </row>
    <row r="26" spans="1:51" ht="15.75" customHeight="1" x14ac:dyDescent="0.25">
      <c r="A26" s="40"/>
      <c r="B26" s="41"/>
      <c r="C26" s="41"/>
      <c r="D26" s="41"/>
      <c r="E26" s="41"/>
      <c r="F26" s="41"/>
      <c r="G26" s="41"/>
      <c r="H26" s="42"/>
      <c r="I26" s="41" t="s">
        <v>147</v>
      </c>
      <c r="J26" s="68">
        <f>J13/2</f>
        <v>150</v>
      </c>
      <c r="K26" s="41" t="s">
        <v>148</v>
      </c>
      <c r="L26" s="42"/>
      <c r="M26" s="3"/>
      <c r="N26" s="13">
        <f t="shared" si="10"/>
        <v>0</v>
      </c>
      <c r="O26" s="13"/>
      <c r="P26" s="23">
        <f t="shared" si="1"/>
        <v>0</v>
      </c>
      <c r="Q26" s="24">
        <f t="shared" si="2"/>
        <v>0</v>
      </c>
      <c r="R26" s="24">
        <f t="shared" si="3"/>
        <v>0</v>
      </c>
      <c r="S26" s="24">
        <f t="shared" si="4"/>
        <v>0</v>
      </c>
      <c r="T26" s="24">
        <f t="shared" si="5"/>
        <v>0</v>
      </c>
      <c r="U26" s="24">
        <f t="shared" si="6"/>
        <v>0</v>
      </c>
      <c r="V26" s="24">
        <f t="shared" si="7"/>
        <v>0</v>
      </c>
      <c r="W26" s="23">
        <f t="shared" si="11"/>
        <v>0</v>
      </c>
      <c r="X26" s="20">
        <f t="shared" si="0"/>
        <v>0</v>
      </c>
      <c r="Y26" s="4"/>
      <c r="Z26" s="6">
        <f t="shared" si="9"/>
        <v>0</v>
      </c>
      <c r="AA26" s="3"/>
      <c r="AB26" s="31">
        <f t="shared" si="17"/>
        <v>-30</v>
      </c>
      <c r="AC26" s="33">
        <f t="shared" si="18"/>
        <v>4.8333333333333332E-2</v>
      </c>
      <c r="AD26" s="34">
        <v>34221.456352550871</v>
      </c>
      <c r="AE26" s="38">
        <f t="shared" si="19"/>
        <v>-1.4779499533217524</v>
      </c>
      <c r="AF26" s="3"/>
      <c r="AG26" s="31">
        <f t="shared" si="20"/>
        <v>-30</v>
      </c>
      <c r="AH26" s="35">
        <f t="shared" si="21"/>
        <v>17841.427935483865</v>
      </c>
      <c r="AI26" s="34">
        <v>25488.957583667685</v>
      </c>
      <c r="AJ26" s="38">
        <f t="shared" si="22"/>
        <v>-26.618425328687689</v>
      </c>
      <c r="AK26" s="3"/>
      <c r="AL26" s="90">
        <v>-10</v>
      </c>
      <c r="AM26" s="91">
        <f t="shared" si="23"/>
        <v>-8.8728084428958933</v>
      </c>
      <c r="AN26" s="91">
        <f t="shared" si="14"/>
        <v>-0.49264998444058411</v>
      </c>
      <c r="AO26" s="92">
        <f t="shared" si="12"/>
        <v>-2.1312046322248408</v>
      </c>
      <c r="AP26" s="92">
        <f t="shared" si="13"/>
        <v>-2.1401026710937767</v>
      </c>
      <c r="AQ26" s="92">
        <f t="shared" si="15"/>
        <v>-1.2177885023143042</v>
      </c>
      <c r="AR26" s="58">
        <f t="shared" si="16"/>
        <v>0.49264998444056324</v>
      </c>
      <c r="AS26" s="7"/>
      <c r="AT26" s="7"/>
      <c r="AU26" s="7"/>
      <c r="AV26" s="7"/>
      <c r="AW26" s="7"/>
      <c r="AX26" s="7"/>
      <c r="AY26" s="7"/>
    </row>
    <row r="27" spans="1:51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6"/>
      <c r="K27" s="3"/>
      <c r="L27" s="3"/>
      <c r="M27" s="3"/>
      <c r="N27" s="13">
        <f t="shared" si="10"/>
        <v>0</v>
      </c>
      <c r="O27" s="13"/>
      <c r="P27" s="23">
        <f t="shared" si="1"/>
        <v>0</v>
      </c>
      <c r="Q27" s="24">
        <f t="shared" si="2"/>
        <v>0</v>
      </c>
      <c r="R27" s="24">
        <f t="shared" si="3"/>
        <v>0</v>
      </c>
      <c r="S27" s="24">
        <f t="shared" si="4"/>
        <v>0</v>
      </c>
      <c r="T27" s="24">
        <f t="shared" si="5"/>
        <v>0</v>
      </c>
      <c r="U27" s="24">
        <f t="shared" si="6"/>
        <v>0</v>
      </c>
      <c r="V27" s="24">
        <f t="shared" si="7"/>
        <v>0</v>
      </c>
      <c r="W27" s="23">
        <f t="shared" si="11"/>
        <v>0</v>
      </c>
      <c r="X27" s="20">
        <f t="shared" si="0"/>
        <v>0</v>
      </c>
      <c r="Y27" s="4"/>
      <c r="Z27" s="6">
        <f t="shared" si="9"/>
        <v>0</v>
      </c>
      <c r="AA27" s="3"/>
      <c r="AB27" s="31">
        <f t="shared" si="17"/>
        <v>-20</v>
      </c>
      <c r="AC27" s="33">
        <f t="shared" si="18"/>
        <v>5.5238095238095246E-2</v>
      </c>
      <c r="AD27" s="34">
        <v>34392.5774359188</v>
      </c>
      <c r="AE27" s="38">
        <f t="shared" si="19"/>
        <v>-0.98529996888121019</v>
      </c>
      <c r="AF27" s="3"/>
      <c r="AG27" s="31">
        <f t="shared" si="20"/>
        <v>-20</v>
      </c>
      <c r="AH27" s="35">
        <f t="shared" si="21"/>
        <v>20390.203354838708</v>
      </c>
      <c r="AI27" s="34">
        <v>28570.911589996693</v>
      </c>
      <c r="AJ27" s="38">
        <f t="shared" si="22"/>
        <v>-17.745616885791787</v>
      </c>
      <c r="AK27" s="3"/>
      <c r="AL27" s="90">
        <v>0</v>
      </c>
      <c r="AM27" s="91">
        <f t="shared" si="23"/>
        <v>0</v>
      </c>
      <c r="AN27" s="91">
        <f t="shared" si="14"/>
        <v>0</v>
      </c>
      <c r="AO27" s="92">
        <f t="shared" si="12"/>
        <v>0</v>
      </c>
      <c r="AP27" s="92">
        <f t="shared" si="13"/>
        <v>0</v>
      </c>
      <c r="AQ27" s="92">
        <f t="shared" si="15"/>
        <v>0</v>
      </c>
      <c r="AR27" s="58">
        <f t="shared" si="16"/>
        <v>0</v>
      </c>
      <c r="AS27" s="7"/>
      <c r="AT27" s="7"/>
      <c r="AU27" s="7"/>
      <c r="AV27" s="7"/>
      <c r="AW27" s="7"/>
      <c r="AX27" s="7"/>
      <c r="AY27" s="7"/>
    </row>
    <row r="28" spans="1:51" ht="15.75" customHeight="1" x14ac:dyDescent="0.25">
      <c r="A28" s="2" t="s">
        <v>87</v>
      </c>
      <c r="B28" s="3"/>
      <c r="C28" s="3"/>
      <c r="D28" s="3"/>
      <c r="E28" s="3"/>
      <c r="F28" s="3"/>
      <c r="G28" s="3"/>
      <c r="H28" s="3"/>
      <c r="I28" s="3"/>
      <c r="J28" s="6"/>
      <c r="K28" s="3"/>
      <c r="L28" s="3"/>
      <c r="M28" s="3"/>
      <c r="N28" s="13">
        <f t="shared" si="10"/>
        <v>0</v>
      </c>
      <c r="O28" s="13"/>
      <c r="P28" s="23">
        <f t="shared" si="1"/>
        <v>0</v>
      </c>
      <c r="Q28" s="24">
        <f t="shared" si="2"/>
        <v>0</v>
      </c>
      <c r="R28" s="24">
        <f t="shared" si="3"/>
        <v>0</v>
      </c>
      <c r="S28" s="24">
        <f t="shared" si="4"/>
        <v>0</v>
      </c>
      <c r="T28" s="24">
        <f t="shared" si="5"/>
        <v>0</v>
      </c>
      <c r="U28" s="24">
        <f t="shared" si="6"/>
        <v>0</v>
      </c>
      <c r="V28" s="24">
        <f t="shared" si="7"/>
        <v>0</v>
      </c>
      <c r="W28" s="23">
        <f t="shared" si="11"/>
        <v>0</v>
      </c>
      <c r="X28" s="20">
        <f t="shared" si="0"/>
        <v>0</v>
      </c>
      <c r="Y28" s="4"/>
      <c r="Z28" s="6">
        <f t="shared" si="9"/>
        <v>0</v>
      </c>
      <c r="AA28" s="3"/>
      <c r="AB28" s="31">
        <f t="shared" si="17"/>
        <v>-10</v>
      </c>
      <c r="AC28" s="33">
        <f t="shared" si="18"/>
        <v>6.2142857142857146E-2</v>
      </c>
      <c r="AD28" s="34">
        <v>34563.698519286758</v>
      </c>
      <c r="AE28" s="38">
        <f t="shared" si="19"/>
        <v>-0.49264998444058411</v>
      </c>
      <c r="AF28" s="3"/>
      <c r="AG28" s="31">
        <f t="shared" si="20"/>
        <v>-10</v>
      </c>
      <c r="AH28" s="35">
        <f t="shared" si="21"/>
        <v>22938.978774193543</v>
      </c>
      <c r="AI28" s="34">
        <v>31652.865596325697</v>
      </c>
      <c r="AJ28" s="38">
        <f t="shared" si="22"/>
        <v>-8.8728084428958933</v>
      </c>
      <c r="AK28" s="3"/>
      <c r="AL28" s="90">
        <v>10</v>
      </c>
      <c r="AM28" s="91">
        <f t="shared" si="23"/>
        <v>8.8728084428958933</v>
      </c>
      <c r="AN28" s="91">
        <f t="shared" si="14"/>
        <v>0.49264998444056324</v>
      </c>
      <c r="AO28" s="92">
        <f t="shared" si="12"/>
        <v>2.1312046322248408</v>
      </c>
      <c r="AP28" s="92">
        <f t="shared" si="13"/>
        <v>2.1615858803107137</v>
      </c>
      <c r="AQ28" s="92">
        <f t="shared" si="15"/>
        <v>1.2177885023142623</v>
      </c>
      <c r="AR28" s="58">
        <f t="shared" si="16"/>
        <v>-0.49264998444058411</v>
      </c>
      <c r="AS28" s="7"/>
      <c r="AT28" s="7"/>
      <c r="AU28" s="7"/>
      <c r="AV28" s="7"/>
      <c r="AW28" s="7"/>
      <c r="AX28" s="7"/>
      <c r="AY28" s="7"/>
    </row>
    <row r="29" spans="1:51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6"/>
      <c r="K29" s="3"/>
      <c r="L29" s="3"/>
      <c r="M29" s="3"/>
      <c r="N29" s="13">
        <f t="shared" si="10"/>
        <v>0</v>
      </c>
      <c r="O29" s="13"/>
      <c r="P29" s="23">
        <f t="shared" si="1"/>
        <v>0</v>
      </c>
      <c r="Q29" s="24">
        <f t="shared" si="2"/>
        <v>0</v>
      </c>
      <c r="R29" s="24">
        <f t="shared" si="3"/>
        <v>0</v>
      </c>
      <c r="S29" s="24">
        <f t="shared" si="4"/>
        <v>0</v>
      </c>
      <c r="T29" s="24">
        <f t="shared" si="5"/>
        <v>0</v>
      </c>
      <c r="U29" s="24">
        <f t="shared" si="6"/>
        <v>0</v>
      </c>
      <c r="V29" s="24">
        <f t="shared" si="7"/>
        <v>0</v>
      </c>
      <c r="W29" s="23">
        <f t="shared" si="11"/>
        <v>0</v>
      </c>
      <c r="X29" s="20">
        <f t="shared" si="0"/>
        <v>0</v>
      </c>
      <c r="Y29" s="4"/>
      <c r="Z29" s="6">
        <f t="shared" si="9"/>
        <v>0</v>
      </c>
      <c r="AA29" s="3"/>
      <c r="AB29" s="43">
        <v>0</v>
      </c>
      <c r="AC29" s="44">
        <f t="shared" si="18"/>
        <v>6.9047619047619052E-2</v>
      </c>
      <c r="AD29" s="45">
        <v>34734.819602654701</v>
      </c>
      <c r="AE29" s="46">
        <f t="shared" si="19"/>
        <v>0</v>
      </c>
      <c r="AF29" s="3"/>
      <c r="AG29" s="43">
        <v>0</v>
      </c>
      <c r="AH29" s="47">
        <f t="shared" si="21"/>
        <v>25487.754193548382</v>
      </c>
      <c r="AI29" s="45">
        <v>34734.819602654701</v>
      </c>
      <c r="AJ29" s="46">
        <f t="shared" si="22"/>
        <v>0</v>
      </c>
      <c r="AK29" s="3"/>
      <c r="AL29" s="90">
        <v>20</v>
      </c>
      <c r="AM29" s="91">
        <f t="shared" si="23"/>
        <v>17.745616885791765</v>
      </c>
      <c r="AN29" s="91">
        <f t="shared" si="14"/>
        <v>0.9852999688811892</v>
      </c>
      <c r="AO29" s="92">
        <f t="shared" si="12"/>
        <v>4.2624092644496603</v>
      </c>
      <c r="AP29" s="92">
        <f t="shared" si="13"/>
        <v>3.8720243670656016</v>
      </c>
      <c r="AQ29" s="92">
        <f t="shared" si="15"/>
        <v>2.4355770046286085</v>
      </c>
      <c r="AR29" s="58">
        <f t="shared" si="16"/>
        <v>-0.98529996888121019</v>
      </c>
      <c r="AS29" s="7"/>
      <c r="AT29" s="7"/>
      <c r="AU29" s="7"/>
      <c r="AV29" s="7"/>
      <c r="AW29" s="7"/>
      <c r="AX29" s="7"/>
      <c r="AY29" s="7"/>
    </row>
    <row r="30" spans="1:51" ht="15.75" customHeight="1" x14ac:dyDescent="0.25">
      <c r="A30" s="9" t="s">
        <v>88</v>
      </c>
      <c r="B30" s="10"/>
      <c r="C30" s="10"/>
      <c r="D30" s="10"/>
      <c r="E30" s="12" t="s">
        <v>89</v>
      </c>
      <c r="F30" s="10"/>
      <c r="G30" s="10"/>
      <c r="H30" s="10"/>
      <c r="I30" s="12" t="s">
        <v>90</v>
      </c>
      <c r="J30" s="48"/>
      <c r="K30" s="10"/>
      <c r="L30" s="11"/>
      <c r="M30" s="3"/>
      <c r="N30" s="13">
        <f t="shared" si="10"/>
        <v>0</v>
      </c>
      <c r="O30" s="13"/>
      <c r="P30" s="23">
        <f t="shared" si="1"/>
        <v>0</v>
      </c>
      <c r="Q30" s="24">
        <f t="shared" si="2"/>
        <v>0</v>
      </c>
      <c r="R30" s="24">
        <f t="shared" si="3"/>
        <v>0</v>
      </c>
      <c r="S30" s="24">
        <f t="shared" si="4"/>
        <v>0</v>
      </c>
      <c r="T30" s="24">
        <f t="shared" si="5"/>
        <v>0</v>
      </c>
      <c r="U30" s="24">
        <f t="shared" si="6"/>
        <v>0</v>
      </c>
      <c r="V30" s="24">
        <f t="shared" si="7"/>
        <v>0</v>
      </c>
      <c r="W30" s="23">
        <f t="shared" si="11"/>
        <v>0</v>
      </c>
      <c r="X30" s="20">
        <f t="shared" si="0"/>
        <v>0</v>
      </c>
      <c r="Y30" s="4"/>
      <c r="Z30" s="6">
        <f t="shared" si="9"/>
        <v>0</v>
      </c>
      <c r="AA30" s="3"/>
      <c r="AB30" s="31">
        <f t="shared" ref="AB30:AB34" si="24">AB29+10</f>
        <v>10</v>
      </c>
      <c r="AC30" s="33">
        <f t="shared" si="18"/>
        <v>7.5952380952380966E-2</v>
      </c>
      <c r="AD30" s="34">
        <v>34905.940686022637</v>
      </c>
      <c r="AE30" s="38">
        <f t="shared" si="19"/>
        <v>0.49264998444056324</v>
      </c>
      <c r="AF30" s="3"/>
      <c r="AG30" s="31">
        <f t="shared" ref="AG30:AG34" si="25">AG29+10</f>
        <v>10</v>
      </c>
      <c r="AH30" s="35">
        <f t="shared" si="21"/>
        <v>28036.529612903221</v>
      </c>
      <c r="AI30" s="34">
        <v>37816.773608983705</v>
      </c>
      <c r="AJ30" s="38">
        <f t="shared" si="22"/>
        <v>8.8728084428958933</v>
      </c>
      <c r="AK30" s="3"/>
      <c r="AL30" s="90">
        <v>30</v>
      </c>
      <c r="AM30" s="91">
        <f t="shared" si="23"/>
        <v>26.61842532868766</v>
      </c>
      <c r="AN30" s="91">
        <f t="shared" si="14"/>
        <v>1.4779499533217944</v>
      </c>
      <c r="AO30" s="92">
        <f t="shared" si="12"/>
        <v>6.3936138966745633</v>
      </c>
      <c r="AP30" s="92">
        <f t="shared" si="13"/>
        <v>13.850529237713943</v>
      </c>
      <c r="AQ30" s="92">
        <f t="shared" si="15"/>
        <v>3.6533655069428921</v>
      </c>
      <c r="AR30" s="58">
        <f t="shared" si="16"/>
        <v>-1.4779499533217524</v>
      </c>
      <c r="AS30" s="7"/>
      <c r="AT30" s="7"/>
      <c r="AU30" s="7"/>
      <c r="AV30" s="7"/>
      <c r="AW30" s="7"/>
      <c r="AX30" s="7"/>
      <c r="AY30" s="7"/>
    </row>
    <row r="31" spans="1:51" ht="15.75" customHeight="1" x14ac:dyDescent="0.25">
      <c r="A31" s="27"/>
      <c r="B31" s="6"/>
      <c r="C31" s="3"/>
      <c r="D31" s="3"/>
      <c r="E31" s="18" t="s">
        <v>91</v>
      </c>
      <c r="F31" s="26">
        <f>(J22/100)*B52</f>
        <v>7646.3262580645141</v>
      </c>
      <c r="G31" s="3" t="s">
        <v>3</v>
      </c>
      <c r="H31" s="3"/>
      <c r="I31" s="18" t="s">
        <v>92</v>
      </c>
      <c r="J31" s="7">
        <f>ROUNDDOWN(J12/(F12/J13),0)</f>
        <v>7</v>
      </c>
      <c r="K31" s="3" t="s">
        <v>58</v>
      </c>
      <c r="L31" s="17"/>
      <c r="M31" s="3"/>
      <c r="N31" s="13">
        <f t="shared" si="10"/>
        <v>0</v>
      </c>
      <c r="O31" s="13"/>
      <c r="P31" s="23">
        <f t="shared" si="1"/>
        <v>0</v>
      </c>
      <c r="Q31" s="24">
        <f t="shared" si="2"/>
        <v>0</v>
      </c>
      <c r="R31" s="24">
        <f t="shared" si="3"/>
        <v>0</v>
      </c>
      <c r="S31" s="24">
        <f t="shared" si="4"/>
        <v>0</v>
      </c>
      <c r="T31" s="24">
        <f t="shared" si="5"/>
        <v>0</v>
      </c>
      <c r="U31" s="24">
        <f t="shared" si="6"/>
        <v>0</v>
      </c>
      <c r="V31" s="24">
        <f t="shared" si="7"/>
        <v>0</v>
      </c>
      <c r="W31" s="23">
        <f t="shared" si="11"/>
        <v>0</v>
      </c>
      <c r="X31" s="20">
        <f t="shared" si="0"/>
        <v>0</v>
      </c>
      <c r="Y31" s="4"/>
      <c r="Z31" s="6">
        <f t="shared" si="9"/>
        <v>0</v>
      </c>
      <c r="AA31" s="3"/>
      <c r="AB31" s="31">
        <f t="shared" si="24"/>
        <v>20</v>
      </c>
      <c r="AC31" s="33">
        <f t="shared" si="18"/>
        <v>8.2857142857142865E-2</v>
      </c>
      <c r="AD31" s="34">
        <v>35077.061769390595</v>
      </c>
      <c r="AE31" s="38">
        <f t="shared" si="19"/>
        <v>0.9852999688811892</v>
      </c>
      <c r="AF31" s="3"/>
      <c r="AG31" s="31">
        <f t="shared" si="25"/>
        <v>20</v>
      </c>
      <c r="AH31" s="35">
        <f t="shared" si="21"/>
        <v>30585.305032258057</v>
      </c>
      <c r="AI31" s="34">
        <v>40898.727615312702</v>
      </c>
      <c r="AJ31" s="38">
        <f t="shared" si="22"/>
        <v>17.745616885791765</v>
      </c>
      <c r="AK31" s="3"/>
      <c r="AL31" s="90">
        <v>40</v>
      </c>
      <c r="AM31" s="91">
        <f t="shared" si="23"/>
        <v>35.491233771583531</v>
      </c>
      <c r="AN31" s="91">
        <f t="shared" si="14"/>
        <v>1.9705999377623578</v>
      </c>
      <c r="AO31" s="92">
        <f t="shared" si="12"/>
        <v>8.5248185288993827</v>
      </c>
      <c r="AP31" s="92">
        <f t="shared" si="13"/>
        <v>15.560967724468833</v>
      </c>
      <c r="AQ31" s="92">
        <f t="shared" si="15"/>
        <v>4.8711540092572374</v>
      </c>
      <c r="AR31" s="58">
        <f t="shared" si="16"/>
        <v>-1.9705999377623578</v>
      </c>
      <c r="AS31" s="7"/>
      <c r="AT31" s="7"/>
      <c r="AU31" s="7"/>
      <c r="AV31" s="7"/>
      <c r="AW31" s="7"/>
      <c r="AX31" s="7"/>
      <c r="AY31" s="7"/>
    </row>
    <row r="32" spans="1:51" ht="15.75" customHeight="1" x14ac:dyDescent="0.25">
      <c r="A32" s="3" t="s">
        <v>44</v>
      </c>
      <c r="B32" s="6">
        <f>IF(B12=0,0,-(B12/100)*$B$50)</f>
        <v>0</v>
      </c>
      <c r="C32" s="3" t="s">
        <v>3</v>
      </c>
      <c r="D32" s="3"/>
      <c r="E32" s="18" t="s">
        <v>93</v>
      </c>
      <c r="F32" s="6">
        <f>B52-F31</f>
        <v>17841.427935483869</v>
      </c>
      <c r="G32" s="3" t="s">
        <v>3</v>
      </c>
      <c r="H32" s="3"/>
      <c r="I32" s="18" t="s">
        <v>60</v>
      </c>
      <c r="J32" s="28">
        <f>IF(J24="Yes",SUM(F51:F52),0)</f>
        <v>0</v>
      </c>
      <c r="K32" s="3" t="s">
        <v>49</v>
      </c>
      <c r="L32" s="17"/>
      <c r="M32" s="3"/>
      <c r="N32" s="13">
        <f t="shared" si="10"/>
        <v>0</v>
      </c>
      <c r="O32" s="13"/>
      <c r="P32" s="23">
        <f t="shared" si="1"/>
        <v>0</v>
      </c>
      <c r="Q32" s="24">
        <f t="shared" si="2"/>
        <v>0</v>
      </c>
      <c r="R32" s="24">
        <f t="shared" si="3"/>
        <v>0</v>
      </c>
      <c r="S32" s="24">
        <f t="shared" si="4"/>
        <v>0</v>
      </c>
      <c r="T32" s="24">
        <f t="shared" si="5"/>
        <v>0</v>
      </c>
      <c r="U32" s="24">
        <f t="shared" si="6"/>
        <v>0</v>
      </c>
      <c r="V32" s="24">
        <f t="shared" si="7"/>
        <v>0</v>
      </c>
      <c r="W32" s="23">
        <f t="shared" si="11"/>
        <v>0</v>
      </c>
      <c r="X32" s="20">
        <f t="shared" si="0"/>
        <v>0</v>
      </c>
      <c r="Y32" s="4"/>
      <c r="Z32" s="6">
        <f t="shared" si="9"/>
        <v>0</v>
      </c>
      <c r="AA32" s="3"/>
      <c r="AB32" s="31">
        <f t="shared" si="24"/>
        <v>30</v>
      </c>
      <c r="AC32" s="33">
        <f t="shared" si="18"/>
        <v>8.9761904761904765E-2</v>
      </c>
      <c r="AD32" s="34">
        <v>35248.182852758546</v>
      </c>
      <c r="AE32" s="38">
        <f t="shared" si="19"/>
        <v>1.4779499533217944</v>
      </c>
      <c r="AF32" s="3"/>
      <c r="AG32" s="31">
        <f t="shared" si="25"/>
        <v>30</v>
      </c>
      <c r="AH32" s="35">
        <f t="shared" si="21"/>
        <v>33134.080451612899</v>
      </c>
      <c r="AI32" s="34">
        <v>43980.681621641706</v>
      </c>
      <c r="AJ32" s="38">
        <f t="shared" si="22"/>
        <v>26.61842532868766</v>
      </c>
      <c r="AK32" s="3"/>
      <c r="AL32" s="90">
        <v>50</v>
      </c>
      <c r="AM32" s="91">
        <f t="shared" si="23"/>
        <v>44.364042214479468</v>
      </c>
      <c r="AN32" s="91">
        <f t="shared" si="14"/>
        <v>2.4632499222029627</v>
      </c>
      <c r="AO32" s="92">
        <f t="shared" si="12"/>
        <v>10.656023161124203</v>
      </c>
      <c r="AP32" s="92">
        <f t="shared" si="13"/>
        <v>18.567718278736649</v>
      </c>
      <c r="AQ32" s="92">
        <f t="shared" si="15"/>
        <v>6.0889425115715214</v>
      </c>
      <c r="AR32" s="58">
        <f t="shared" si="16"/>
        <v>-2.4632499222029836</v>
      </c>
      <c r="AS32" s="7"/>
      <c r="AT32" s="7"/>
      <c r="AU32" s="7"/>
      <c r="AV32" s="7"/>
      <c r="AW32" s="7"/>
      <c r="AX32" s="7"/>
      <c r="AY32" s="7"/>
    </row>
    <row r="33" spans="1:51" ht="15.75" customHeight="1" x14ac:dyDescent="0.25">
      <c r="A33" s="3" t="s">
        <v>50</v>
      </c>
      <c r="B33" s="6">
        <f>IF(B13=0,0,(B13/100)*B49)</f>
        <v>969.11612903225796</v>
      </c>
      <c r="C33" s="3" t="s">
        <v>3</v>
      </c>
      <c r="D33" s="3"/>
      <c r="E33" s="18" t="s">
        <v>94</v>
      </c>
      <c r="F33" s="26">
        <f>F32*(F22/100)*J21</f>
        <v>8920.7139677419364</v>
      </c>
      <c r="G33" s="3" t="s">
        <v>3</v>
      </c>
      <c r="H33" s="3"/>
      <c r="I33" s="3"/>
      <c r="J33" s="3"/>
      <c r="K33" s="3"/>
      <c r="L33" s="17"/>
      <c r="M33" s="3"/>
      <c r="N33" s="13">
        <f t="shared" si="10"/>
        <v>0</v>
      </c>
      <c r="O33" s="13"/>
      <c r="P33" s="23">
        <f t="shared" si="1"/>
        <v>0</v>
      </c>
      <c r="Q33" s="24">
        <f t="shared" si="2"/>
        <v>0</v>
      </c>
      <c r="R33" s="24">
        <f t="shared" si="3"/>
        <v>0</v>
      </c>
      <c r="S33" s="24">
        <f t="shared" si="4"/>
        <v>0</v>
      </c>
      <c r="T33" s="24">
        <f t="shared" si="5"/>
        <v>0</v>
      </c>
      <c r="U33" s="24">
        <f t="shared" si="6"/>
        <v>0</v>
      </c>
      <c r="V33" s="24">
        <f t="shared" si="7"/>
        <v>0</v>
      </c>
      <c r="W33" s="23">
        <f t="shared" si="11"/>
        <v>0</v>
      </c>
      <c r="X33" s="20">
        <f t="shared" si="0"/>
        <v>0</v>
      </c>
      <c r="Y33" s="4"/>
      <c r="Z33" s="6">
        <f t="shared" si="9"/>
        <v>0</v>
      </c>
      <c r="AA33" s="3"/>
      <c r="AB33" s="31">
        <f t="shared" si="24"/>
        <v>40</v>
      </c>
      <c r="AC33" s="33">
        <f t="shared" si="18"/>
        <v>9.6666666666666665E-2</v>
      </c>
      <c r="AD33" s="34">
        <v>35419.303936126482</v>
      </c>
      <c r="AE33" s="38">
        <f t="shared" si="19"/>
        <v>1.9705999377623578</v>
      </c>
      <c r="AF33" s="3"/>
      <c r="AG33" s="31">
        <f t="shared" si="25"/>
        <v>40</v>
      </c>
      <c r="AH33" s="35">
        <f t="shared" si="21"/>
        <v>35682.855870967731</v>
      </c>
      <c r="AI33" s="34">
        <v>47062.635627970703</v>
      </c>
      <c r="AJ33" s="38">
        <f t="shared" si="22"/>
        <v>35.491233771583531</v>
      </c>
      <c r="AK33" s="3"/>
      <c r="AL33" s="32"/>
      <c r="AM33" s="36"/>
      <c r="AN33" s="37"/>
      <c r="AO33" s="39"/>
      <c r="AP33" s="3"/>
      <c r="AQ33" s="7"/>
      <c r="AR33" s="7"/>
      <c r="AS33" s="7"/>
      <c r="AT33" s="7"/>
      <c r="AU33" s="7"/>
      <c r="AV33" s="7"/>
      <c r="AW33" s="7"/>
      <c r="AX33" s="7"/>
      <c r="AY33" s="7"/>
    </row>
    <row r="34" spans="1:51" ht="15.75" customHeight="1" x14ac:dyDescent="0.25">
      <c r="A34" s="3" t="s">
        <v>54</v>
      </c>
      <c r="B34" s="6">
        <f>IF(B14=0,0,(B14/100)*(0.8333*$B$49))</f>
        <v>0</v>
      </c>
      <c r="C34" s="3" t="s">
        <v>3</v>
      </c>
      <c r="D34" s="3"/>
      <c r="E34" s="3"/>
      <c r="F34" s="7"/>
      <c r="G34" s="3"/>
      <c r="H34" s="3"/>
      <c r="I34" s="18" t="s">
        <v>95</v>
      </c>
      <c r="J34" s="6">
        <f>F12*B5</f>
        <v>220000</v>
      </c>
      <c r="K34" s="3" t="s">
        <v>96</v>
      </c>
      <c r="L34" s="17"/>
      <c r="M34" s="3"/>
      <c r="N34" s="13">
        <f t="shared" si="10"/>
        <v>0</v>
      </c>
      <c r="O34" s="13"/>
      <c r="P34" s="23">
        <f t="shared" si="1"/>
        <v>0</v>
      </c>
      <c r="Q34" s="24">
        <f t="shared" si="2"/>
        <v>0</v>
      </c>
      <c r="R34" s="24">
        <f t="shared" si="3"/>
        <v>0</v>
      </c>
      <c r="S34" s="24">
        <f t="shared" si="4"/>
        <v>0</v>
      </c>
      <c r="T34" s="24">
        <f t="shared" si="5"/>
        <v>0</v>
      </c>
      <c r="U34" s="24">
        <f t="shared" si="6"/>
        <v>0</v>
      </c>
      <c r="V34" s="24">
        <f t="shared" si="7"/>
        <v>0</v>
      </c>
      <c r="W34" s="23">
        <f t="shared" si="11"/>
        <v>0</v>
      </c>
      <c r="X34" s="20">
        <f t="shared" si="0"/>
        <v>0</v>
      </c>
      <c r="Y34" s="4"/>
      <c r="Z34" s="6">
        <f t="shared" si="9"/>
        <v>0</v>
      </c>
      <c r="AA34" s="3"/>
      <c r="AB34" s="31">
        <f t="shared" si="24"/>
        <v>50</v>
      </c>
      <c r="AC34" s="33">
        <f t="shared" si="18"/>
        <v>0.10357142857142858</v>
      </c>
      <c r="AD34" s="34">
        <v>35590.425019494432</v>
      </c>
      <c r="AE34" s="38">
        <f t="shared" si="19"/>
        <v>2.4632499222029627</v>
      </c>
      <c r="AF34" s="3"/>
      <c r="AG34" s="31">
        <f t="shared" si="25"/>
        <v>50</v>
      </c>
      <c r="AH34" s="35">
        <f t="shared" si="21"/>
        <v>38231.631290322577</v>
      </c>
      <c r="AI34" s="34">
        <v>50144.589634299722</v>
      </c>
      <c r="AJ34" s="38">
        <f t="shared" si="22"/>
        <v>44.364042214479468</v>
      </c>
      <c r="AK34" s="3"/>
      <c r="AL34" s="32"/>
      <c r="AM34" s="36"/>
      <c r="AN34" s="37"/>
      <c r="AO34" s="39"/>
      <c r="AP34" s="3"/>
      <c r="AQ34" s="7"/>
      <c r="AR34" s="7"/>
      <c r="AS34" s="7"/>
      <c r="AT34" s="7"/>
      <c r="AU34" s="7"/>
      <c r="AV34" s="7"/>
      <c r="AW34" s="7"/>
      <c r="AX34" s="7"/>
      <c r="AY34" s="7"/>
    </row>
    <row r="35" spans="1:51" ht="15.75" customHeight="1" x14ac:dyDescent="0.25">
      <c r="A35" s="3" t="s">
        <v>59</v>
      </c>
      <c r="B35" s="6">
        <f>IF(B15=0,0,(B15/100)*B49)</f>
        <v>4845.5806451612898</v>
      </c>
      <c r="C35" s="3" t="s">
        <v>3</v>
      </c>
      <c r="D35" s="3"/>
      <c r="E35" s="2" t="s">
        <v>97</v>
      </c>
      <c r="F35" s="3"/>
      <c r="G35" s="3"/>
      <c r="H35" s="3"/>
      <c r="I35" s="3"/>
      <c r="J35" s="3"/>
      <c r="K35" s="3"/>
      <c r="L35" s="17"/>
      <c r="M35" s="3"/>
      <c r="N35" s="13">
        <f t="shared" si="10"/>
        <v>0</v>
      </c>
      <c r="O35" s="13"/>
      <c r="P35" s="23">
        <f t="shared" si="1"/>
        <v>0</v>
      </c>
      <c r="Q35" s="24">
        <f t="shared" si="2"/>
        <v>0</v>
      </c>
      <c r="R35" s="24">
        <f t="shared" si="3"/>
        <v>0</v>
      </c>
      <c r="S35" s="24">
        <f t="shared" si="4"/>
        <v>0</v>
      </c>
      <c r="T35" s="24">
        <f t="shared" si="5"/>
        <v>0</v>
      </c>
      <c r="U35" s="24">
        <f t="shared" si="6"/>
        <v>0</v>
      </c>
      <c r="V35" s="24">
        <f t="shared" si="7"/>
        <v>0</v>
      </c>
      <c r="W35" s="23">
        <f t="shared" si="11"/>
        <v>0</v>
      </c>
      <c r="X35" s="20">
        <f t="shared" si="0"/>
        <v>0</v>
      </c>
      <c r="Y35" s="4"/>
      <c r="Z35" s="6">
        <f t="shared" si="9"/>
        <v>0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spans="1:51" ht="15.75" customHeight="1" x14ac:dyDescent="0.25">
      <c r="A36" s="27" t="s">
        <v>63</v>
      </c>
      <c r="B36" s="6">
        <f>IF(B16=0,0,(B16/100)*B49)</f>
        <v>96.911612903225802</v>
      </c>
      <c r="C36" s="3" t="s">
        <v>3</v>
      </c>
      <c r="D36" s="3"/>
      <c r="E36" s="18" t="s">
        <v>30</v>
      </c>
      <c r="F36" s="28">
        <f>F13/$B$8</f>
        <v>6.9047619047619052E-2</v>
      </c>
      <c r="G36" s="3" t="s">
        <v>31</v>
      </c>
      <c r="H36" s="3"/>
      <c r="I36" s="3"/>
      <c r="J36" s="3"/>
      <c r="K36" s="3"/>
      <c r="L36" s="17"/>
      <c r="M36" s="3"/>
      <c r="N36" s="13">
        <f t="shared" si="10"/>
        <v>0</v>
      </c>
      <c r="O36" s="13"/>
      <c r="P36" s="23">
        <f t="shared" si="1"/>
        <v>0</v>
      </c>
      <c r="Q36" s="24">
        <f t="shared" si="2"/>
        <v>0</v>
      </c>
      <c r="R36" s="24">
        <f t="shared" si="3"/>
        <v>0</v>
      </c>
      <c r="S36" s="24">
        <f t="shared" si="4"/>
        <v>0</v>
      </c>
      <c r="T36" s="24">
        <f t="shared" si="5"/>
        <v>0</v>
      </c>
      <c r="U36" s="24">
        <f t="shared" si="6"/>
        <v>0</v>
      </c>
      <c r="V36" s="24">
        <f t="shared" si="7"/>
        <v>0</v>
      </c>
      <c r="W36" s="23">
        <f t="shared" si="11"/>
        <v>0</v>
      </c>
      <c r="X36" s="20">
        <f t="shared" si="0"/>
        <v>0</v>
      </c>
      <c r="Y36" s="4"/>
      <c r="Z36" s="6">
        <f t="shared" si="9"/>
        <v>0</v>
      </c>
      <c r="AA36" s="3"/>
      <c r="AB36" s="30" t="s">
        <v>34</v>
      </c>
      <c r="AC36" s="31"/>
      <c r="AD36" s="31"/>
      <c r="AE36" s="31"/>
      <c r="AF36" s="3"/>
      <c r="AG36" s="30" t="s">
        <v>98</v>
      </c>
      <c r="AH36" s="31"/>
      <c r="AI36" s="31"/>
      <c r="AJ36" s="31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spans="1:51" ht="15.75" customHeight="1" x14ac:dyDescent="0.25">
      <c r="A37" s="27" t="s">
        <v>168</v>
      </c>
      <c r="B37" s="6">
        <f t="shared" ref="B37:B38" si="26">IF(B17=0,0,(B17/100)*B49)</f>
        <v>193.8232258064516</v>
      </c>
      <c r="C37" s="3" t="s">
        <v>3</v>
      </c>
      <c r="D37" s="3"/>
      <c r="E37" s="18" t="s">
        <v>99</v>
      </c>
      <c r="F37" s="6">
        <f>(F20/((1-J15%)*J11))/B8</f>
        <v>0</v>
      </c>
      <c r="G37" s="3" t="s">
        <v>31</v>
      </c>
      <c r="H37" s="3"/>
      <c r="I37" s="2" t="s">
        <v>100</v>
      </c>
      <c r="J37" s="49">
        <f>SUM(J38:J41)</f>
        <v>548.28241941628255</v>
      </c>
      <c r="K37" s="2" t="s">
        <v>49</v>
      </c>
      <c r="L37" s="17"/>
      <c r="M37" s="3"/>
      <c r="N37" s="13">
        <f t="shared" si="10"/>
        <v>0</v>
      </c>
      <c r="O37" s="13"/>
      <c r="P37" s="23">
        <f t="shared" si="1"/>
        <v>0</v>
      </c>
      <c r="Q37" s="24">
        <f t="shared" si="2"/>
        <v>0</v>
      </c>
      <c r="R37" s="24">
        <f t="shared" si="3"/>
        <v>0</v>
      </c>
      <c r="S37" s="24">
        <f t="shared" si="4"/>
        <v>0</v>
      </c>
      <c r="T37" s="24">
        <f t="shared" si="5"/>
        <v>0</v>
      </c>
      <c r="U37" s="24">
        <f t="shared" si="6"/>
        <v>0</v>
      </c>
      <c r="V37" s="24">
        <f t="shared" si="7"/>
        <v>0</v>
      </c>
      <c r="W37" s="23">
        <f t="shared" si="11"/>
        <v>0</v>
      </c>
      <c r="X37" s="20">
        <f t="shared" si="0"/>
        <v>0</v>
      </c>
      <c r="Y37" s="4"/>
      <c r="Z37" s="6">
        <f t="shared" si="9"/>
        <v>0</v>
      </c>
      <c r="AA37" s="3"/>
      <c r="AB37" s="31" t="s">
        <v>79</v>
      </c>
      <c r="AC37" s="31" t="s">
        <v>101</v>
      </c>
      <c r="AD37" s="31" t="s">
        <v>23</v>
      </c>
      <c r="AE37" s="31" t="s">
        <v>81</v>
      </c>
      <c r="AF37" s="3"/>
      <c r="AG37" s="31" t="s">
        <v>79</v>
      </c>
      <c r="AH37" s="31" t="s">
        <v>102</v>
      </c>
      <c r="AI37" s="31" t="s">
        <v>23</v>
      </c>
      <c r="AJ37" s="31" t="s">
        <v>81</v>
      </c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spans="1:51" ht="15.75" customHeight="1" x14ac:dyDescent="0.25">
      <c r="A38" s="18" t="s">
        <v>69</v>
      </c>
      <c r="B38" s="6">
        <f t="shared" si="26"/>
        <v>0</v>
      </c>
      <c r="C38" s="3" t="s">
        <v>3</v>
      </c>
      <c r="D38" s="3"/>
      <c r="E38" s="18" t="s">
        <v>103</v>
      </c>
      <c r="F38" s="50">
        <f>F36*J18</f>
        <v>9.6666666666666689E-3</v>
      </c>
      <c r="G38" s="3" t="s">
        <v>4</v>
      </c>
      <c r="H38" s="3"/>
      <c r="I38" s="18" t="s">
        <v>167</v>
      </c>
      <c r="J38" s="28">
        <f>(((F16/100)*B49)/$B$8)</f>
        <v>0.4799432258064516</v>
      </c>
      <c r="K38" s="3" t="s">
        <v>49</v>
      </c>
      <c r="L38" s="17"/>
      <c r="M38" s="3"/>
      <c r="N38" s="13">
        <f t="shared" si="10"/>
        <v>0</v>
      </c>
      <c r="O38" s="13"/>
      <c r="P38" s="23">
        <f t="shared" si="1"/>
        <v>0</v>
      </c>
      <c r="Q38" s="24">
        <f t="shared" si="2"/>
        <v>0</v>
      </c>
      <c r="R38" s="24">
        <f t="shared" si="3"/>
        <v>0</v>
      </c>
      <c r="S38" s="24">
        <f t="shared" si="4"/>
        <v>0</v>
      </c>
      <c r="T38" s="24">
        <f t="shared" si="5"/>
        <v>0</v>
      </c>
      <c r="U38" s="24">
        <f t="shared" si="6"/>
        <v>0</v>
      </c>
      <c r="V38" s="24">
        <f t="shared" si="7"/>
        <v>0</v>
      </c>
      <c r="W38" s="23">
        <f t="shared" si="11"/>
        <v>0</v>
      </c>
      <c r="X38" s="20">
        <f t="shared" si="0"/>
        <v>0</v>
      </c>
      <c r="Y38" s="4"/>
      <c r="Z38" s="6">
        <f t="shared" si="9"/>
        <v>0</v>
      </c>
      <c r="AA38" s="3"/>
      <c r="AB38" s="31" t="s">
        <v>84</v>
      </c>
      <c r="AC38" s="35">
        <v>5292</v>
      </c>
      <c r="AD38" s="34">
        <f>X49</f>
        <v>34734.819602654701</v>
      </c>
      <c r="AE38" s="31"/>
      <c r="AF38" s="3"/>
      <c r="AG38" s="31" t="s">
        <v>84</v>
      </c>
      <c r="AH38" s="35">
        <v>22000</v>
      </c>
      <c r="AI38" s="34">
        <f>X49</f>
        <v>34734.819602654701</v>
      </c>
      <c r="AJ38" s="31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spans="1:51" ht="15.75" customHeight="1" x14ac:dyDescent="0.25">
      <c r="A39" s="3"/>
      <c r="B39" s="3"/>
      <c r="C39" s="3"/>
      <c r="D39" s="3"/>
      <c r="E39" s="3"/>
      <c r="F39" s="3"/>
      <c r="G39" s="3"/>
      <c r="H39" s="3"/>
      <c r="I39" s="18" t="s">
        <v>73</v>
      </c>
      <c r="J39" s="28">
        <f>F19/$B$8</f>
        <v>0</v>
      </c>
      <c r="K39" s="3" t="s">
        <v>49</v>
      </c>
      <c r="L39" s="17"/>
      <c r="M39" s="3"/>
      <c r="N39" s="13">
        <f t="shared" si="10"/>
        <v>0</v>
      </c>
      <c r="O39" s="13"/>
      <c r="P39" s="23">
        <f t="shared" si="1"/>
        <v>0</v>
      </c>
      <c r="Q39" s="24">
        <f t="shared" si="2"/>
        <v>0</v>
      </c>
      <c r="R39" s="24">
        <f t="shared" si="3"/>
        <v>0</v>
      </c>
      <c r="S39" s="24">
        <f t="shared" si="4"/>
        <v>0</v>
      </c>
      <c r="T39" s="24">
        <f t="shared" si="5"/>
        <v>0</v>
      </c>
      <c r="U39" s="24">
        <f t="shared" si="6"/>
        <v>0</v>
      </c>
      <c r="V39" s="24">
        <f t="shared" si="7"/>
        <v>0</v>
      </c>
      <c r="W39" s="23">
        <f t="shared" si="11"/>
        <v>0</v>
      </c>
      <c r="X39" s="20">
        <f t="shared" si="0"/>
        <v>0</v>
      </c>
      <c r="Y39" s="4"/>
      <c r="Z39" s="6">
        <f t="shared" si="9"/>
        <v>0</v>
      </c>
      <c r="AA39" s="3"/>
      <c r="AB39" s="31">
        <f t="shared" ref="AB39:AB43" si="27">AB40-10</f>
        <v>-50</v>
      </c>
      <c r="AC39" s="35">
        <f t="shared" ref="AC39:AC49" si="28">$AC$38*(1+(AB39/100))</f>
        <v>2646</v>
      </c>
      <c r="AD39" s="34">
        <f t="dataTable" ref="AD39:AD49" dt2D="0" dtr="0" r1="B48" ca="1"/>
        <v>31033.469180821092</v>
      </c>
      <c r="AE39" s="38">
        <f>100*((AD39-$AD$44)/$AD$44)</f>
        <v>-10.656023161124246</v>
      </c>
      <c r="AF39" s="3"/>
      <c r="AG39" s="31">
        <f t="shared" ref="AG39:AG43" si="29">AG40-10</f>
        <v>-50</v>
      </c>
      <c r="AH39" s="35">
        <f t="shared" ref="AH39:AH49" si="30">$AH$38*(1+(AG39/100))</f>
        <v>11000</v>
      </c>
      <c r="AI39" s="34">
        <f t="dataTable" ref="AI39:AI49" dt2D="0" dtr="0" r1="F12" ca="1"/>
        <v>28630.126322837412</v>
      </c>
      <c r="AJ39" s="38">
        <f t="shared" ref="AJ39:AJ49" si="31">100*((AI39-$AI$44)/$AI$44)</f>
        <v>-17.575140304890834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spans="1:51" ht="15.75" customHeight="1" x14ac:dyDescent="0.25">
      <c r="A40" s="3"/>
      <c r="B40" s="3"/>
      <c r="C40" s="3"/>
      <c r="D40" s="3"/>
      <c r="E40" s="18" t="s">
        <v>104</v>
      </c>
      <c r="F40" s="28">
        <f>F37*F12*J18</f>
        <v>0</v>
      </c>
      <c r="G40" s="3" t="s">
        <v>49</v>
      </c>
      <c r="H40" s="3"/>
      <c r="I40" s="18" t="s">
        <v>105</v>
      </c>
      <c r="J40" s="28">
        <f>F16/$B$8</f>
        <v>2.4761904761904764E-3</v>
      </c>
      <c r="K40" s="3" t="s">
        <v>49</v>
      </c>
      <c r="L40" s="17"/>
      <c r="M40" s="3"/>
      <c r="N40" s="13">
        <f t="shared" si="10"/>
        <v>0</v>
      </c>
      <c r="O40" s="13"/>
      <c r="P40" s="23">
        <f t="shared" si="1"/>
        <v>0</v>
      </c>
      <c r="Q40" s="24">
        <f t="shared" si="2"/>
        <v>0</v>
      </c>
      <c r="R40" s="24">
        <f t="shared" si="3"/>
        <v>0</v>
      </c>
      <c r="S40" s="24">
        <f t="shared" si="4"/>
        <v>0</v>
      </c>
      <c r="T40" s="24">
        <f t="shared" si="5"/>
        <v>0</v>
      </c>
      <c r="U40" s="24">
        <f t="shared" si="6"/>
        <v>0</v>
      </c>
      <c r="V40" s="24">
        <f t="shared" si="7"/>
        <v>0</v>
      </c>
      <c r="W40" s="23">
        <f t="shared" si="11"/>
        <v>0</v>
      </c>
      <c r="X40" s="20">
        <f t="shared" si="0"/>
        <v>0</v>
      </c>
      <c r="Y40" s="4"/>
      <c r="Z40" s="6">
        <f t="shared" si="9"/>
        <v>0</v>
      </c>
      <c r="AA40" s="3"/>
      <c r="AB40" s="31">
        <f t="shared" si="27"/>
        <v>-40</v>
      </c>
      <c r="AC40" s="35">
        <f t="shared" si="28"/>
        <v>3175.2</v>
      </c>
      <c r="AD40" s="34">
        <v>31773.739265187814</v>
      </c>
      <c r="AE40" s="38">
        <f t="shared" ref="AE40:AE49" si="32">100*((AD40-$AD$29)/$AD$29)</f>
        <v>-8.5248185288993934</v>
      </c>
      <c r="AF40" s="3"/>
      <c r="AG40" s="31">
        <f t="shared" si="29"/>
        <v>-40</v>
      </c>
      <c r="AH40" s="35">
        <f t="shared" si="30"/>
        <v>13200</v>
      </c>
      <c r="AI40" s="34">
        <v>29224.244045626103</v>
      </c>
      <c r="AJ40" s="38">
        <f t="shared" si="31"/>
        <v>-15.864701818135938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spans="1:51" ht="15.75" customHeight="1" x14ac:dyDescent="0.25">
      <c r="A41" s="3"/>
      <c r="B41" s="3"/>
      <c r="C41" s="3"/>
      <c r="D41" s="3"/>
      <c r="E41" s="18" t="s">
        <v>106</v>
      </c>
      <c r="F41" s="7">
        <f>F38*F12</f>
        <v>212.66666666666671</v>
      </c>
      <c r="G41" s="1" t="s">
        <v>49</v>
      </c>
      <c r="H41" s="3"/>
      <c r="I41" s="18" t="s">
        <v>48</v>
      </c>
      <c r="J41" s="51">
        <f>F21*F12/$B$8</f>
        <v>547.79999999999995</v>
      </c>
      <c r="K41" s="3" t="s">
        <v>49</v>
      </c>
      <c r="L41" s="17"/>
      <c r="M41" s="3"/>
      <c r="N41" s="13">
        <f t="shared" si="10"/>
        <v>0</v>
      </c>
      <c r="O41" s="13"/>
      <c r="P41" s="23">
        <f t="shared" si="1"/>
        <v>0</v>
      </c>
      <c r="Q41" s="24">
        <f t="shared" si="2"/>
        <v>0</v>
      </c>
      <c r="R41" s="24">
        <f t="shared" si="3"/>
        <v>0</v>
      </c>
      <c r="S41" s="24">
        <f t="shared" si="4"/>
        <v>0</v>
      </c>
      <c r="T41" s="24">
        <f t="shared" si="5"/>
        <v>0</v>
      </c>
      <c r="U41" s="24">
        <f t="shared" si="6"/>
        <v>0</v>
      </c>
      <c r="V41" s="24">
        <f t="shared" si="7"/>
        <v>0</v>
      </c>
      <c r="W41" s="23">
        <f t="shared" si="11"/>
        <v>0</v>
      </c>
      <c r="X41" s="20">
        <f t="shared" si="0"/>
        <v>0</v>
      </c>
      <c r="Y41" s="4"/>
      <c r="Z41" s="6">
        <f t="shared" si="9"/>
        <v>0</v>
      </c>
      <c r="AA41" s="3"/>
      <c r="AB41" s="31">
        <f t="shared" si="27"/>
        <v>-30</v>
      </c>
      <c r="AC41" s="35">
        <f t="shared" si="28"/>
        <v>3704.3999999999996</v>
      </c>
      <c r="AD41" s="34">
        <v>32514.009349554537</v>
      </c>
      <c r="AE41" s="38">
        <f t="shared" si="32"/>
        <v>-6.3936138966745419</v>
      </c>
      <c r="AF41" s="3"/>
      <c r="AG41" s="31">
        <f t="shared" si="29"/>
        <v>-30</v>
      </c>
      <c r="AH41" s="35">
        <f t="shared" si="30"/>
        <v>15399.999999999998</v>
      </c>
      <c r="AI41" s="34">
        <v>32525.719216529542</v>
      </c>
      <c r="AJ41" s="38">
        <f t="shared" si="31"/>
        <v>-6.3599017107212008</v>
      </c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spans="1:51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17"/>
      <c r="M42" s="3"/>
      <c r="N42" s="13">
        <f t="shared" si="10"/>
        <v>0</v>
      </c>
      <c r="O42" s="13"/>
      <c r="P42" s="23">
        <f t="shared" si="1"/>
        <v>0</v>
      </c>
      <c r="Q42" s="24">
        <f t="shared" si="2"/>
        <v>0</v>
      </c>
      <c r="R42" s="24">
        <f t="shared" si="3"/>
        <v>0</v>
      </c>
      <c r="S42" s="24">
        <f t="shared" si="4"/>
        <v>0</v>
      </c>
      <c r="T42" s="24">
        <f t="shared" si="5"/>
        <v>0</v>
      </c>
      <c r="U42" s="24">
        <f t="shared" si="6"/>
        <v>0</v>
      </c>
      <c r="V42" s="24">
        <f t="shared" si="7"/>
        <v>0</v>
      </c>
      <c r="W42" s="23">
        <f t="shared" si="11"/>
        <v>0</v>
      </c>
      <c r="X42" s="20">
        <f t="shared" si="0"/>
        <v>0</v>
      </c>
      <c r="Y42" s="4"/>
      <c r="Z42" s="6">
        <f t="shared" si="9"/>
        <v>0</v>
      </c>
      <c r="AA42" s="3"/>
      <c r="AB42" s="31">
        <f t="shared" si="27"/>
        <v>-20</v>
      </c>
      <c r="AC42" s="35">
        <f t="shared" si="28"/>
        <v>4233.6000000000004</v>
      </c>
      <c r="AD42" s="34">
        <v>33254.279433921263</v>
      </c>
      <c r="AE42" s="38">
        <f t="shared" si="32"/>
        <v>-4.2624092644496816</v>
      </c>
      <c r="AF42" s="3"/>
      <c r="AG42" s="31">
        <f t="shared" si="29"/>
        <v>-20</v>
      </c>
      <c r="AH42" s="35">
        <f t="shared" si="30"/>
        <v>17600</v>
      </c>
      <c r="AI42" s="34">
        <v>33255.204811723968</v>
      </c>
      <c r="AJ42" s="38">
        <f t="shared" si="31"/>
        <v>-4.2597451429333155</v>
      </c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spans="1:51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17"/>
      <c r="M43" s="3"/>
      <c r="N43" s="13">
        <f t="shared" si="10"/>
        <v>0</v>
      </c>
      <c r="O43" s="13"/>
      <c r="P43" s="23">
        <f t="shared" si="1"/>
        <v>0</v>
      </c>
      <c r="Q43" s="24">
        <f t="shared" si="2"/>
        <v>0</v>
      </c>
      <c r="R43" s="24">
        <f t="shared" si="3"/>
        <v>0</v>
      </c>
      <c r="S43" s="24">
        <f t="shared" si="4"/>
        <v>0</v>
      </c>
      <c r="T43" s="24">
        <f t="shared" si="5"/>
        <v>0</v>
      </c>
      <c r="U43" s="24">
        <f t="shared" si="6"/>
        <v>0</v>
      </c>
      <c r="V43" s="24">
        <f t="shared" si="7"/>
        <v>0</v>
      </c>
      <c r="W43" s="23">
        <f t="shared" si="11"/>
        <v>0</v>
      </c>
      <c r="X43" s="20">
        <f t="shared" si="0"/>
        <v>0</v>
      </c>
      <c r="Y43" s="4"/>
      <c r="Z43" s="6">
        <f t="shared" si="9"/>
        <v>0</v>
      </c>
      <c r="AA43" s="3"/>
      <c r="AB43" s="31">
        <f t="shared" si="27"/>
        <v>-10</v>
      </c>
      <c r="AC43" s="35">
        <f t="shared" si="28"/>
        <v>4762.8</v>
      </c>
      <c r="AD43" s="34">
        <v>33994.549518287982</v>
      </c>
      <c r="AE43" s="38">
        <f t="shared" si="32"/>
        <v>-2.1312046322248408</v>
      </c>
      <c r="AF43" s="3"/>
      <c r="AG43" s="31">
        <f t="shared" si="29"/>
        <v>-10</v>
      </c>
      <c r="AH43" s="35">
        <f t="shared" si="30"/>
        <v>19800</v>
      </c>
      <c r="AI43" s="34">
        <v>33991.458800538683</v>
      </c>
      <c r="AJ43" s="38">
        <f t="shared" si="31"/>
        <v>-2.1401026710937767</v>
      </c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spans="1:51" ht="15.75" customHeight="1" x14ac:dyDescent="0.25">
      <c r="A44" s="25" t="s">
        <v>107</v>
      </c>
      <c r="B44" s="4"/>
      <c r="C44" s="2"/>
      <c r="D44" s="3"/>
      <c r="E44" s="3"/>
      <c r="F44" s="3"/>
      <c r="G44" s="3"/>
      <c r="H44" s="3"/>
      <c r="I44" s="3"/>
      <c r="J44" s="3"/>
      <c r="K44" s="3"/>
      <c r="L44" s="17"/>
      <c r="M44" s="3"/>
      <c r="N44" s="13">
        <f t="shared" si="10"/>
        <v>0</v>
      </c>
      <c r="O44" s="13"/>
      <c r="P44" s="23">
        <f t="shared" si="1"/>
        <v>0</v>
      </c>
      <c r="Q44" s="24">
        <f t="shared" si="2"/>
        <v>0</v>
      </c>
      <c r="R44" s="24">
        <f t="shared" si="3"/>
        <v>0</v>
      </c>
      <c r="S44" s="24">
        <f t="shared" si="4"/>
        <v>0</v>
      </c>
      <c r="T44" s="24">
        <f t="shared" si="5"/>
        <v>0</v>
      </c>
      <c r="U44" s="24">
        <f t="shared" si="6"/>
        <v>0</v>
      </c>
      <c r="V44" s="24">
        <f t="shared" si="7"/>
        <v>0</v>
      </c>
      <c r="W44" s="23">
        <f t="shared" si="11"/>
        <v>0</v>
      </c>
      <c r="X44" s="20">
        <f t="shared" si="0"/>
        <v>0</v>
      </c>
      <c r="Y44" s="4"/>
      <c r="Z44" s="6">
        <f t="shared" si="9"/>
        <v>0</v>
      </c>
      <c r="AA44" s="3"/>
      <c r="AB44" s="43">
        <v>0</v>
      </c>
      <c r="AC44" s="47">
        <f t="shared" si="28"/>
        <v>5292</v>
      </c>
      <c r="AD44" s="45">
        <v>34734.819602654701</v>
      </c>
      <c r="AE44" s="46">
        <f t="shared" si="32"/>
        <v>0</v>
      </c>
      <c r="AF44" s="3"/>
      <c r="AG44" s="43">
        <v>0</v>
      </c>
      <c r="AH44" s="47">
        <f t="shared" si="30"/>
        <v>22000</v>
      </c>
      <c r="AI44" s="45">
        <v>34734.819602654701</v>
      </c>
      <c r="AJ44" s="46">
        <f t="shared" si="31"/>
        <v>0</v>
      </c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spans="1:51" ht="15.75" customHeight="1" x14ac:dyDescent="0.25">
      <c r="A45" s="18" t="s">
        <v>160</v>
      </c>
      <c r="B45" s="6">
        <f>J8/B8</f>
        <v>11741.935483870968</v>
      </c>
      <c r="C45" s="3" t="s">
        <v>3</v>
      </c>
      <c r="D45" s="3"/>
      <c r="E45" s="2" t="s">
        <v>149</v>
      </c>
      <c r="F45" s="3"/>
      <c r="G45" s="3"/>
      <c r="H45" s="3"/>
      <c r="I45" s="2" t="s">
        <v>108</v>
      </c>
      <c r="J45" s="3"/>
      <c r="K45" s="3"/>
      <c r="L45" s="17"/>
      <c r="M45" s="3"/>
      <c r="N45" s="13">
        <f t="shared" si="10"/>
        <v>0</v>
      </c>
      <c r="O45" s="13"/>
      <c r="P45" s="23">
        <f t="shared" si="1"/>
        <v>0</v>
      </c>
      <c r="Q45" s="24">
        <f t="shared" si="2"/>
        <v>0</v>
      </c>
      <c r="R45" s="24">
        <f t="shared" si="3"/>
        <v>0</v>
      </c>
      <c r="S45" s="24">
        <f t="shared" si="4"/>
        <v>0</v>
      </c>
      <c r="T45" s="24">
        <f t="shared" si="5"/>
        <v>0</v>
      </c>
      <c r="U45" s="24">
        <f t="shared" si="6"/>
        <v>0</v>
      </c>
      <c r="V45" s="24">
        <f t="shared" si="7"/>
        <v>0</v>
      </c>
      <c r="W45" s="23">
        <f t="shared" si="11"/>
        <v>0</v>
      </c>
      <c r="X45" s="20">
        <f t="shared" si="0"/>
        <v>0</v>
      </c>
      <c r="Y45" s="4"/>
      <c r="Z45" s="6">
        <f t="shared" si="9"/>
        <v>0</v>
      </c>
      <c r="AA45" s="3"/>
      <c r="AB45" s="31">
        <f t="shared" ref="AB45:AB49" si="33">AB44+10</f>
        <v>10</v>
      </c>
      <c r="AC45" s="35">
        <f t="shared" si="28"/>
        <v>5821.2000000000007</v>
      </c>
      <c r="AD45" s="34">
        <v>35475.08968702142</v>
      </c>
      <c r="AE45" s="38">
        <f t="shared" si="32"/>
        <v>2.1312046322248408</v>
      </c>
      <c r="AF45" s="3"/>
      <c r="AG45" s="31">
        <f t="shared" ref="AG45:AG49" si="34">AG44+10</f>
        <v>10</v>
      </c>
      <c r="AH45" s="35">
        <f t="shared" si="30"/>
        <v>24200.000000000004</v>
      </c>
      <c r="AI45" s="34">
        <v>35485.642558737083</v>
      </c>
      <c r="AJ45" s="38">
        <f t="shared" si="31"/>
        <v>2.1615858803107137</v>
      </c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spans="1:51" ht="15.75" customHeight="1" x14ac:dyDescent="0.25">
      <c r="A46" s="18" t="s">
        <v>109</v>
      </c>
      <c r="B46" s="6">
        <f>IF(J24="No",J10*J11,0)</f>
        <v>4410</v>
      </c>
      <c r="C46" s="3" t="s">
        <v>3</v>
      </c>
      <c r="D46" s="3"/>
      <c r="E46" s="18" t="s">
        <v>155</v>
      </c>
      <c r="F46" s="69">
        <f>(((1+(B11/100))*J10*J11)*(1+(B12%+B13%+B14%+B15%+B16%+B17%)))</f>
        <v>6958.98</v>
      </c>
      <c r="G46" s="3" t="s">
        <v>3</v>
      </c>
      <c r="H46" s="3"/>
      <c r="I46" s="18" t="s">
        <v>66</v>
      </c>
      <c r="J46" s="22">
        <f>(((F17/100)*B49)/$B$8)</f>
        <v>0</v>
      </c>
      <c r="K46" s="3" t="s">
        <v>49</v>
      </c>
      <c r="L46" s="17"/>
      <c r="M46" s="3"/>
      <c r="N46" s="13">
        <f t="shared" si="10"/>
        <v>0</v>
      </c>
      <c r="O46" s="13"/>
      <c r="P46" s="23">
        <f t="shared" si="1"/>
        <v>0</v>
      </c>
      <c r="Q46" s="24">
        <f t="shared" si="2"/>
        <v>0</v>
      </c>
      <c r="R46" s="24">
        <f t="shared" si="3"/>
        <v>0</v>
      </c>
      <c r="S46" s="24">
        <f t="shared" si="4"/>
        <v>0</v>
      </c>
      <c r="T46" s="24">
        <f t="shared" si="5"/>
        <v>0</v>
      </c>
      <c r="U46" s="24">
        <f t="shared" si="6"/>
        <v>0</v>
      </c>
      <c r="V46" s="24">
        <f t="shared" si="7"/>
        <v>0</v>
      </c>
      <c r="W46" s="23">
        <f t="shared" si="11"/>
        <v>0</v>
      </c>
      <c r="X46" s="20">
        <f t="shared" si="0"/>
        <v>0</v>
      </c>
      <c r="Y46" s="4"/>
      <c r="Z46" s="6">
        <f t="shared" si="9"/>
        <v>0</v>
      </c>
      <c r="AA46" s="3"/>
      <c r="AB46" s="31">
        <f t="shared" si="33"/>
        <v>20</v>
      </c>
      <c r="AC46" s="35">
        <f t="shared" si="28"/>
        <v>6350.4</v>
      </c>
      <c r="AD46" s="34">
        <v>36215.359771388132</v>
      </c>
      <c r="AE46" s="38">
        <f t="shared" si="32"/>
        <v>4.2624092644496603</v>
      </c>
      <c r="AF46" s="3"/>
      <c r="AG46" s="31">
        <f t="shared" si="34"/>
        <v>20</v>
      </c>
      <c r="AH46" s="35">
        <f t="shared" si="30"/>
        <v>26400</v>
      </c>
      <c r="AI46" s="34">
        <v>36079.760281525771</v>
      </c>
      <c r="AJ46" s="38">
        <f t="shared" si="31"/>
        <v>3.8720243670656016</v>
      </c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spans="1:51" ht="15.75" customHeight="1" x14ac:dyDescent="0.25">
      <c r="A47" s="27" t="s">
        <v>110</v>
      </c>
      <c r="B47" s="26">
        <f>(1+(B11/100))*B45</f>
        <v>14090.322580645161</v>
      </c>
      <c r="C47" s="3" t="s">
        <v>3</v>
      </c>
      <c r="D47" s="3"/>
      <c r="E47" s="3" t="s">
        <v>150</v>
      </c>
      <c r="F47" s="69">
        <f>((J22%)*F46)+(((1-J22%)*F46)*(1+(F22%*J21)))</f>
        <v>9394.6229999999978</v>
      </c>
      <c r="G47" s="3" t="s">
        <v>3</v>
      </c>
      <c r="H47" s="3"/>
      <c r="I47" s="3"/>
      <c r="J47" s="3"/>
      <c r="K47" s="3"/>
      <c r="L47" s="17"/>
      <c r="M47" s="3"/>
      <c r="N47" s="13">
        <f t="shared" si="10"/>
        <v>0</v>
      </c>
      <c r="O47" s="13"/>
      <c r="P47" s="23">
        <f t="shared" si="1"/>
        <v>0</v>
      </c>
      <c r="Q47" s="24">
        <f t="shared" si="2"/>
        <v>0</v>
      </c>
      <c r="R47" s="24">
        <f t="shared" si="3"/>
        <v>0</v>
      </c>
      <c r="S47" s="24">
        <f t="shared" si="4"/>
        <v>0</v>
      </c>
      <c r="T47" s="24">
        <f t="shared" si="5"/>
        <v>0</v>
      </c>
      <c r="U47" s="24">
        <f t="shared" si="6"/>
        <v>0</v>
      </c>
      <c r="V47" s="24">
        <f t="shared" si="7"/>
        <v>0</v>
      </c>
      <c r="W47" s="23">
        <f t="shared" si="11"/>
        <v>0</v>
      </c>
      <c r="X47" s="20">
        <f t="shared" si="0"/>
        <v>0</v>
      </c>
      <c r="Y47" s="4"/>
      <c r="Z47" s="6">
        <f t="shared" si="9"/>
        <v>0</v>
      </c>
      <c r="AA47" s="3"/>
      <c r="AB47" s="31">
        <f t="shared" si="33"/>
        <v>30</v>
      </c>
      <c r="AC47" s="35">
        <f t="shared" si="28"/>
        <v>6879.6</v>
      </c>
      <c r="AD47" s="34">
        <v>36955.629855754873</v>
      </c>
      <c r="AE47" s="38">
        <f t="shared" si="32"/>
        <v>6.3936138966745633</v>
      </c>
      <c r="AF47" s="3"/>
      <c r="AG47" s="31">
        <f t="shared" si="34"/>
        <v>30</v>
      </c>
      <c r="AH47" s="35">
        <f t="shared" si="30"/>
        <v>28600</v>
      </c>
      <c r="AI47" s="34">
        <v>39545.775947387585</v>
      </c>
      <c r="AJ47" s="38">
        <f t="shared" si="31"/>
        <v>13.850529237713943</v>
      </c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1:51" ht="15.75" customHeight="1" x14ac:dyDescent="0.25">
      <c r="A48" s="52" t="s">
        <v>111</v>
      </c>
      <c r="B48" s="53">
        <f>(1+(B11/100))*B46</f>
        <v>5292</v>
      </c>
      <c r="C48" s="1" t="s">
        <v>3</v>
      </c>
      <c r="D48" s="3"/>
      <c r="E48" s="3" t="s">
        <v>92</v>
      </c>
      <c r="F48" s="69">
        <f>J12*J13</f>
        <v>160800</v>
      </c>
      <c r="G48" s="3" t="s">
        <v>96</v>
      </c>
      <c r="H48" s="3"/>
      <c r="I48" s="3"/>
      <c r="J48" s="3"/>
      <c r="K48" s="3"/>
      <c r="L48" s="17"/>
      <c r="M48" s="3"/>
      <c r="N48" s="13">
        <f t="shared" si="10"/>
        <v>0</v>
      </c>
      <c r="O48" s="13"/>
      <c r="P48" s="23">
        <f t="shared" si="1"/>
        <v>0</v>
      </c>
      <c r="Q48" s="24">
        <f t="shared" si="2"/>
        <v>0</v>
      </c>
      <c r="R48" s="24">
        <f t="shared" si="3"/>
        <v>0</v>
      </c>
      <c r="S48" s="24">
        <f t="shared" si="4"/>
        <v>0</v>
      </c>
      <c r="T48" s="24">
        <f t="shared" si="5"/>
        <v>0</v>
      </c>
      <c r="U48" s="24">
        <f t="shared" si="6"/>
        <v>0</v>
      </c>
      <c r="V48" s="24">
        <f t="shared" si="7"/>
        <v>0</v>
      </c>
      <c r="W48" s="23">
        <f t="shared" si="11"/>
        <v>0</v>
      </c>
      <c r="X48" s="20">
        <f t="shared" si="0"/>
        <v>0</v>
      </c>
      <c r="Y48" s="4"/>
      <c r="Z48" s="6">
        <f t="shared" si="9"/>
        <v>0</v>
      </c>
      <c r="AA48" s="3"/>
      <c r="AB48" s="31">
        <f t="shared" si="33"/>
        <v>40</v>
      </c>
      <c r="AC48" s="35">
        <f t="shared" si="28"/>
        <v>7408.7999999999993</v>
      </c>
      <c r="AD48" s="34">
        <v>37695.899940121584</v>
      </c>
      <c r="AE48" s="38">
        <f t="shared" si="32"/>
        <v>8.5248185288993827</v>
      </c>
      <c r="AF48" s="3"/>
      <c r="AG48" s="31">
        <f t="shared" si="34"/>
        <v>40</v>
      </c>
      <c r="AH48" s="35">
        <f t="shared" si="30"/>
        <v>30799.999999999996</v>
      </c>
      <c r="AI48" s="34">
        <v>40139.893670176272</v>
      </c>
      <c r="AJ48" s="38">
        <f t="shared" si="31"/>
        <v>15.560967724468833</v>
      </c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1:51" ht="15.75" customHeight="1" x14ac:dyDescent="0.25">
      <c r="A49" s="3" t="s">
        <v>112</v>
      </c>
      <c r="B49" s="26">
        <f>B47+B48</f>
        <v>19382.322580645159</v>
      </c>
      <c r="C49" s="3" t="s">
        <v>3</v>
      </c>
      <c r="D49" s="3"/>
      <c r="E49" s="3" t="s">
        <v>151</v>
      </c>
      <c r="F49" s="70">
        <f>(F47/F48)*J25</f>
        <v>7.5951554104477598E-2</v>
      </c>
      <c r="G49" s="3" t="s">
        <v>4</v>
      </c>
      <c r="H49" s="3"/>
      <c r="I49" s="3"/>
      <c r="J49" s="3"/>
      <c r="K49" s="3"/>
      <c r="L49" s="17"/>
      <c r="M49" s="3"/>
      <c r="N49" s="14" t="s">
        <v>113</v>
      </c>
      <c r="O49" s="20">
        <f t="shared" ref="O49:X49" si="35">SUM(O8:O48)</f>
        <v>7646.3262580645141</v>
      </c>
      <c r="P49" s="20">
        <f t="shared" si="35"/>
        <v>23173.213805225518</v>
      </c>
      <c r="Q49" s="20">
        <f t="shared" si="35"/>
        <v>1711.2108336794649</v>
      </c>
      <c r="R49" s="20">
        <f t="shared" si="35"/>
        <v>0</v>
      </c>
      <c r="S49" s="20">
        <f t="shared" si="35"/>
        <v>4233.6915090646662</v>
      </c>
      <c r="T49" s="20">
        <f t="shared" si="35"/>
        <v>0</v>
      </c>
      <c r="U49" s="20">
        <f t="shared" si="35"/>
        <v>3134.1046658738355</v>
      </c>
      <c r="V49" s="20">
        <f t="shared" si="35"/>
        <v>0</v>
      </c>
      <c r="W49" s="20">
        <f t="shared" si="35"/>
        <v>-5163.7274692533001</v>
      </c>
      <c r="X49" s="20">
        <f t="shared" si="35"/>
        <v>34734.819602654701</v>
      </c>
      <c r="Y49" s="4"/>
      <c r="Z49" s="4"/>
      <c r="AA49" s="3"/>
      <c r="AB49" s="31">
        <f t="shared" si="33"/>
        <v>50</v>
      </c>
      <c r="AC49" s="35">
        <f t="shared" si="28"/>
        <v>7938</v>
      </c>
      <c r="AD49" s="34">
        <v>38436.170024488296</v>
      </c>
      <c r="AE49" s="38">
        <f t="shared" si="32"/>
        <v>10.656023161124203</v>
      </c>
      <c r="AF49" s="3"/>
      <c r="AG49" s="31">
        <f t="shared" si="34"/>
        <v>50</v>
      </c>
      <c r="AH49" s="35">
        <f t="shared" si="30"/>
        <v>33000</v>
      </c>
      <c r="AI49" s="34">
        <v>41184.283051103019</v>
      </c>
      <c r="AJ49" s="38">
        <f t="shared" si="31"/>
        <v>18.567718278736649</v>
      </c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1:51" ht="15.75" customHeight="1" x14ac:dyDescent="0.25">
      <c r="A50" s="27" t="s">
        <v>114</v>
      </c>
      <c r="B50" s="6">
        <f>SUM(B33:B37)+SUM(B49)</f>
        <v>25487.754193548382</v>
      </c>
      <c r="C50" s="3" t="s">
        <v>3</v>
      </c>
      <c r="D50" s="3"/>
      <c r="E50" s="3" t="s">
        <v>152</v>
      </c>
      <c r="F50" s="6">
        <f>J26*365</f>
        <v>54750</v>
      </c>
      <c r="G50" s="3" t="s">
        <v>43</v>
      </c>
      <c r="H50" s="3"/>
      <c r="I50" s="3"/>
      <c r="J50" s="3"/>
      <c r="K50" s="3"/>
      <c r="L50" s="17"/>
      <c r="M50" s="3"/>
      <c r="N50" s="3"/>
      <c r="O50" s="3"/>
      <c r="P50" s="6"/>
      <c r="Q50" s="3"/>
      <c r="R50" s="3"/>
      <c r="S50" s="3"/>
      <c r="T50" s="3"/>
      <c r="U50" s="3"/>
      <c r="V50" s="3"/>
      <c r="W50" s="3"/>
      <c r="X50" s="26"/>
      <c r="Y50" s="26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spans="1:51" ht="15.75" customHeight="1" x14ac:dyDescent="0.25">
      <c r="A51" s="27" t="s">
        <v>115</v>
      </c>
      <c r="B51" s="6">
        <f>SUM(B31:B32)</f>
        <v>0</v>
      </c>
      <c r="C51" s="3" t="s">
        <v>3</v>
      </c>
      <c r="D51" s="3"/>
      <c r="E51" s="3" t="s">
        <v>153</v>
      </c>
      <c r="F51" s="8">
        <f>F49*F50</f>
        <v>4158.3475872201489</v>
      </c>
      <c r="G51" s="71" t="s">
        <v>49</v>
      </c>
      <c r="H51" s="3"/>
      <c r="I51" s="3"/>
      <c r="J51" s="3"/>
      <c r="K51" s="3"/>
      <c r="L51" s="17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0" t="s">
        <v>48</v>
      </c>
      <c r="AC51" s="31"/>
      <c r="AD51" s="31"/>
      <c r="AE51" s="31"/>
      <c r="AF51" s="3"/>
      <c r="AG51" s="30" t="s">
        <v>147</v>
      </c>
      <c r="AH51" s="31"/>
      <c r="AI51" s="31"/>
      <c r="AJ51" s="31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spans="1:51" ht="15.75" customHeight="1" x14ac:dyDescent="0.25">
      <c r="A52" s="27" t="s">
        <v>159</v>
      </c>
      <c r="B52" s="6">
        <f>B50-B51</f>
        <v>25487.754193548382</v>
      </c>
      <c r="C52" s="3" t="s">
        <v>3</v>
      </c>
      <c r="D52" s="3"/>
      <c r="E52" s="3" t="s">
        <v>154</v>
      </c>
      <c r="F52" s="72">
        <f>IF(F12&gt;F50,(F12-F50)*F49,0)</f>
        <v>0</v>
      </c>
      <c r="G52" s="71" t="s">
        <v>49</v>
      </c>
      <c r="H52" s="3"/>
      <c r="I52" s="3"/>
      <c r="J52" s="3"/>
      <c r="K52" s="3"/>
      <c r="L52" s="17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1" t="s">
        <v>79</v>
      </c>
      <c r="AC52" s="31" t="s">
        <v>116</v>
      </c>
      <c r="AD52" s="31" t="s">
        <v>23</v>
      </c>
      <c r="AE52" s="31" t="s">
        <v>81</v>
      </c>
      <c r="AF52" s="3"/>
      <c r="AG52" s="31" t="s">
        <v>79</v>
      </c>
      <c r="AH52" s="31" t="s">
        <v>157</v>
      </c>
      <c r="AI52" s="31" t="s">
        <v>23</v>
      </c>
      <c r="AJ52" s="31" t="s">
        <v>81</v>
      </c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spans="1:51" ht="15.75" customHeight="1" x14ac:dyDescent="0.25">
      <c r="A53" s="40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2"/>
      <c r="M53" s="3"/>
      <c r="N53" s="3"/>
      <c r="O53" s="2" t="s">
        <v>140</v>
      </c>
      <c r="P53" s="2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1" t="s">
        <v>84</v>
      </c>
      <c r="AC53" s="35">
        <v>547.79999999999995</v>
      </c>
      <c r="AD53" s="34">
        <f>X49</f>
        <v>34734.819602654701</v>
      </c>
      <c r="AE53" s="31"/>
      <c r="AF53" s="3"/>
      <c r="AG53" s="31" t="s">
        <v>84</v>
      </c>
      <c r="AH53" s="35">
        <v>150</v>
      </c>
      <c r="AI53" s="34">
        <f>X49</f>
        <v>34734.819602654701</v>
      </c>
      <c r="AJ53" s="31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spans="1:51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54"/>
      <c r="O54" s="55" t="s">
        <v>118</v>
      </c>
      <c r="P54" s="56" t="s">
        <v>119</v>
      </c>
      <c r="Q54" s="54"/>
      <c r="R54" s="54"/>
      <c r="S54" s="54"/>
      <c r="T54" s="54"/>
      <c r="U54" s="54"/>
      <c r="V54" s="57"/>
      <c r="W54" s="3"/>
      <c r="X54" s="7"/>
      <c r="Y54" s="7"/>
      <c r="Z54" s="57"/>
      <c r="AA54" s="7"/>
      <c r="AB54" s="31">
        <f t="shared" ref="AB54:AB58" si="36">AB55-10</f>
        <v>-50</v>
      </c>
      <c r="AC54" s="35">
        <f t="shared" ref="AC54:AC64" si="37">$AC$53*(1+(AB54/100))</f>
        <v>273.89999999999998</v>
      </c>
      <c r="AD54" s="34">
        <f t="dataTable" ref="AD54:AD64" dt2D="0" dtr="0" r1="J41" ca="1"/>
        <v>32619.836405550974</v>
      </c>
      <c r="AE54" s="38">
        <f t="shared" ref="AE54:AE64" si="38">100*((AD54-$AI$29)/$AI$29)</f>
        <v>-6.0889425115715419</v>
      </c>
      <c r="AF54" s="3"/>
      <c r="AG54" s="31">
        <f t="shared" ref="AG54:AG56" si="39">AG55-20</f>
        <v>-100</v>
      </c>
      <c r="AH54" s="35">
        <f>$AH$53*(1+(AG54/100))</f>
        <v>0</v>
      </c>
      <c r="AI54" s="34">
        <f t="dataTable" ref="AI54:AI64" dt2D="0" dtr="0" r1="J26" ca="1"/>
        <v>34734.819602654701</v>
      </c>
      <c r="AJ54" s="38">
        <f>100*((AI54-$AI$59)/$AI$59)</f>
        <v>0</v>
      </c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spans="1:51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 t="s">
        <v>120</v>
      </c>
      <c r="P55" s="26">
        <f>SUM(O49:P49)</f>
        <v>30819.540063290031</v>
      </c>
      <c r="Q55" s="3" t="s">
        <v>3</v>
      </c>
      <c r="R55" s="50">
        <f t="shared" ref="R55:R59" si="40">P55/$J$34</f>
        <v>0.14008881846950014</v>
      </c>
      <c r="S55" s="3" t="s">
        <v>4</v>
      </c>
      <c r="T55" s="3"/>
      <c r="U55" s="3"/>
      <c r="V55" s="57"/>
      <c r="W55" s="3"/>
      <c r="X55" s="7"/>
      <c r="Y55" s="7"/>
      <c r="Z55" s="57"/>
      <c r="AA55" s="7"/>
      <c r="AB55" s="31">
        <f t="shared" si="36"/>
        <v>-40</v>
      </c>
      <c r="AC55" s="35">
        <f t="shared" si="37"/>
        <v>328.67999999999995</v>
      </c>
      <c r="AD55" s="34">
        <v>33042.833044971725</v>
      </c>
      <c r="AE55" s="38">
        <f t="shared" si="38"/>
        <v>-4.871154009257217</v>
      </c>
      <c r="AF55" s="3"/>
      <c r="AG55" s="31">
        <f t="shared" si="39"/>
        <v>-80</v>
      </c>
      <c r="AH55" s="35">
        <f t="shared" ref="AH55:AH64" si="41">$AH$53*(1+(AG55/100))</f>
        <v>29.999999999999993</v>
      </c>
      <c r="AI55" s="34">
        <v>34734.819602654701</v>
      </c>
      <c r="AJ55" s="38">
        <f t="shared" ref="AJ55:AJ64" si="42">100*((AI55-$AI$59)/$AI$59)</f>
        <v>0</v>
      </c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spans="1:51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 t="s">
        <v>97</v>
      </c>
      <c r="P56" s="26">
        <f>SUM(Q49:R49)</f>
        <v>1711.2108336794649</v>
      </c>
      <c r="Q56" s="3" t="s">
        <v>3</v>
      </c>
      <c r="R56" s="50">
        <f t="shared" si="40"/>
        <v>7.7782310621793858E-3</v>
      </c>
      <c r="S56" s="3" t="s">
        <v>4</v>
      </c>
      <c r="T56" s="3"/>
      <c r="U56" s="3"/>
      <c r="V56" s="57"/>
      <c r="W56" s="3"/>
      <c r="X56" s="7"/>
      <c r="Y56" s="7"/>
      <c r="Z56" s="57"/>
      <c r="AA56" s="7"/>
      <c r="AB56" s="31">
        <f t="shared" si="36"/>
        <v>-30</v>
      </c>
      <c r="AC56" s="35">
        <f t="shared" si="37"/>
        <v>383.45999999999992</v>
      </c>
      <c r="AD56" s="34">
        <v>33465.829684392469</v>
      </c>
      <c r="AE56" s="38">
        <f t="shared" si="38"/>
        <v>-3.6533655069429125</v>
      </c>
      <c r="AF56" s="3"/>
      <c r="AG56" s="31">
        <f t="shared" si="39"/>
        <v>-60</v>
      </c>
      <c r="AH56" s="35">
        <f t="shared" si="41"/>
        <v>60</v>
      </c>
      <c r="AI56" s="34">
        <v>34734.819602654701</v>
      </c>
      <c r="AJ56" s="38">
        <f t="shared" si="42"/>
        <v>0</v>
      </c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spans="1:51" ht="15.75" customHeight="1" x14ac:dyDescent="0.25">
      <c r="A57" s="59">
        <v>55114.8</v>
      </c>
      <c r="B57" s="59">
        <v>43742</v>
      </c>
      <c r="C57" s="59">
        <v>13122.6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 t="s">
        <v>121</v>
      </c>
      <c r="P57" s="26">
        <f>SUM(S49:T49)</f>
        <v>4233.6915090646662</v>
      </c>
      <c r="Q57" s="3" t="s">
        <v>3</v>
      </c>
      <c r="R57" s="50">
        <f t="shared" si="40"/>
        <v>1.9244052313930299E-2</v>
      </c>
      <c r="S57" s="3" t="s">
        <v>4</v>
      </c>
      <c r="T57" s="3"/>
      <c r="U57" s="3"/>
      <c r="V57" s="57"/>
      <c r="W57" s="3"/>
      <c r="X57" s="7"/>
      <c r="Y57" s="7"/>
      <c r="Z57" s="57"/>
      <c r="AA57" s="7"/>
      <c r="AB57" s="31">
        <f t="shared" si="36"/>
        <v>-20</v>
      </c>
      <c r="AC57" s="35">
        <f t="shared" si="37"/>
        <v>438.24</v>
      </c>
      <c r="AD57" s="34">
        <v>33888.82632381322</v>
      </c>
      <c r="AE57" s="38">
        <f t="shared" si="38"/>
        <v>-2.4355770046285872</v>
      </c>
      <c r="AF57" s="3"/>
      <c r="AG57" s="31">
        <f>AG58-20</f>
        <v>-40</v>
      </c>
      <c r="AH57" s="35">
        <f t="shared" si="41"/>
        <v>90</v>
      </c>
      <c r="AI57" s="34">
        <v>34734.819602654701</v>
      </c>
      <c r="AJ57" s="38">
        <f t="shared" si="42"/>
        <v>0</v>
      </c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spans="1:51" ht="15.75" customHeight="1" x14ac:dyDescent="0.25">
      <c r="A58" s="59">
        <v>218709.67741935499</v>
      </c>
      <c r="B58" s="59">
        <f t="shared" ref="B58:C58" si="43">A58</f>
        <v>218709.67741935499</v>
      </c>
      <c r="C58" s="59">
        <f t="shared" si="43"/>
        <v>218709.67741935499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 t="s">
        <v>122</v>
      </c>
      <c r="P58" s="26">
        <f>SUM(U49:V49)</f>
        <v>3134.1046658738355</v>
      </c>
      <c r="Q58" s="3" t="s">
        <v>3</v>
      </c>
      <c r="R58" s="50">
        <f t="shared" si="40"/>
        <v>1.4245930299426526E-2</v>
      </c>
      <c r="S58" s="3" t="s">
        <v>4</v>
      </c>
      <c r="T58" s="3"/>
      <c r="U58" s="3"/>
      <c r="V58" s="57"/>
      <c r="W58" s="3"/>
      <c r="X58" s="7"/>
      <c r="Y58" s="7"/>
      <c r="Z58" s="57"/>
      <c r="AA58" s="7"/>
      <c r="AB58" s="31">
        <f t="shared" si="36"/>
        <v>-10</v>
      </c>
      <c r="AC58" s="35">
        <f t="shared" si="37"/>
        <v>493.02</v>
      </c>
      <c r="AD58" s="34">
        <v>34311.822963233957</v>
      </c>
      <c r="AE58" s="38">
        <f t="shared" si="38"/>
        <v>-1.2177885023143042</v>
      </c>
      <c r="AF58" s="3"/>
      <c r="AG58" s="31">
        <f>AG59-20</f>
        <v>-20</v>
      </c>
      <c r="AH58" s="35">
        <f t="shared" si="41"/>
        <v>120</v>
      </c>
      <c r="AI58" s="34">
        <v>34734.819602654701</v>
      </c>
      <c r="AJ58" s="38">
        <f t="shared" si="42"/>
        <v>0</v>
      </c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spans="1:51" ht="15.75" customHeight="1" x14ac:dyDescent="0.25">
      <c r="A59" s="3">
        <f t="shared" ref="A59:C59" si="44">(A57/A58)*100</f>
        <v>25.199982300884937</v>
      </c>
      <c r="B59" s="3">
        <f t="shared" si="44"/>
        <v>20.000029498525059</v>
      </c>
      <c r="C59" s="3">
        <f t="shared" si="44"/>
        <v>6.0000088495575179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 t="s">
        <v>123</v>
      </c>
      <c r="P59" s="26">
        <f>W49</f>
        <v>-5163.7274692533001</v>
      </c>
      <c r="Q59" s="3" t="s">
        <v>3</v>
      </c>
      <c r="R59" s="50">
        <f t="shared" si="40"/>
        <v>-2.3471488496605911E-2</v>
      </c>
      <c r="S59" s="3" t="s">
        <v>4</v>
      </c>
      <c r="T59" s="3"/>
      <c r="U59" s="3"/>
      <c r="V59" s="57"/>
      <c r="W59" s="3"/>
      <c r="X59" s="7"/>
      <c r="Y59" s="7"/>
      <c r="Z59" s="57"/>
      <c r="AA59" s="7"/>
      <c r="AB59" s="43">
        <v>0</v>
      </c>
      <c r="AC59" s="47">
        <f t="shared" si="37"/>
        <v>547.79999999999995</v>
      </c>
      <c r="AD59" s="45">
        <v>34734.819602654701</v>
      </c>
      <c r="AE59" s="46">
        <f t="shared" si="38"/>
        <v>0</v>
      </c>
      <c r="AF59" s="3"/>
      <c r="AG59" s="43">
        <v>0</v>
      </c>
      <c r="AH59" s="74">
        <f t="shared" si="41"/>
        <v>150</v>
      </c>
      <c r="AI59" s="45">
        <v>34734.819602654701</v>
      </c>
      <c r="AJ59" s="75">
        <f t="shared" si="42"/>
        <v>0</v>
      </c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spans="1:51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2" t="s">
        <v>2</v>
      </c>
      <c r="P60" s="4">
        <f>SUM(P55:P59)</f>
        <v>34734.819602654694</v>
      </c>
      <c r="Q60" s="2" t="s">
        <v>3</v>
      </c>
      <c r="R60" s="51">
        <f>SUM(R55:R59)</f>
        <v>0.15788554364843047</v>
      </c>
      <c r="S60" s="2" t="s">
        <v>4</v>
      </c>
      <c r="T60" s="2"/>
      <c r="U60" s="3"/>
      <c r="V60" s="57"/>
      <c r="W60" s="3"/>
      <c r="X60" s="7"/>
      <c r="Y60" s="7"/>
      <c r="Z60" s="57"/>
      <c r="AA60" s="7"/>
      <c r="AB60" s="31">
        <f t="shared" ref="AB60:AB64" si="45">AB59+10</f>
        <v>10</v>
      </c>
      <c r="AC60" s="35">
        <f t="shared" si="37"/>
        <v>602.58000000000004</v>
      </c>
      <c r="AD60" s="34">
        <v>35157.816242075431</v>
      </c>
      <c r="AE60" s="38">
        <f t="shared" si="38"/>
        <v>1.2177885023142623</v>
      </c>
      <c r="AF60" s="3"/>
      <c r="AG60" s="31">
        <f>AG59+20</f>
        <v>20</v>
      </c>
      <c r="AH60" s="35">
        <f t="shared" si="41"/>
        <v>180</v>
      </c>
      <c r="AI60" s="34">
        <v>34734.819602654701</v>
      </c>
      <c r="AJ60" s="38">
        <f t="shared" si="42"/>
        <v>0</v>
      </c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spans="1:51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57"/>
      <c r="W61" s="3"/>
      <c r="X61" s="7"/>
      <c r="Y61" s="7"/>
      <c r="Z61" s="57"/>
      <c r="AA61" s="7"/>
      <c r="AB61" s="31">
        <f t="shared" si="45"/>
        <v>20</v>
      </c>
      <c r="AC61" s="35">
        <f t="shared" si="37"/>
        <v>657.3599999999999</v>
      </c>
      <c r="AD61" s="34">
        <v>35580.812881496189</v>
      </c>
      <c r="AE61" s="38">
        <f t="shared" si="38"/>
        <v>2.4355770046286085</v>
      </c>
      <c r="AF61" s="3"/>
      <c r="AG61" s="31">
        <f t="shared" ref="AG61:AG64" si="46">AG60+20</f>
        <v>40</v>
      </c>
      <c r="AH61" s="35">
        <f t="shared" si="41"/>
        <v>210</v>
      </c>
      <c r="AI61" s="34">
        <v>34734.819602654701</v>
      </c>
      <c r="AJ61" s="38">
        <f t="shared" si="42"/>
        <v>0</v>
      </c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spans="1:51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57"/>
      <c r="W62" s="3"/>
      <c r="X62" s="7"/>
      <c r="Y62" s="7"/>
      <c r="Z62" s="57"/>
      <c r="AA62" s="7"/>
      <c r="AB62" s="31">
        <f t="shared" si="45"/>
        <v>30</v>
      </c>
      <c r="AC62" s="35">
        <f t="shared" si="37"/>
        <v>712.14</v>
      </c>
      <c r="AD62" s="34">
        <v>36003.809520916926</v>
      </c>
      <c r="AE62" s="38">
        <f t="shared" si="38"/>
        <v>3.6533655069428921</v>
      </c>
      <c r="AF62" s="3"/>
      <c r="AG62" s="31">
        <f t="shared" si="46"/>
        <v>60</v>
      </c>
      <c r="AH62" s="35">
        <f t="shared" si="41"/>
        <v>240</v>
      </c>
      <c r="AI62" s="34">
        <v>34734.819602654701</v>
      </c>
      <c r="AJ62" s="38">
        <f t="shared" si="42"/>
        <v>0</v>
      </c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spans="1:51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57"/>
      <c r="W63" s="3"/>
      <c r="X63" s="7"/>
      <c r="Y63" s="7"/>
      <c r="Z63" s="57"/>
      <c r="AA63" s="7"/>
      <c r="AB63" s="31">
        <f t="shared" si="45"/>
        <v>40</v>
      </c>
      <c r="AC63" s="35">
        <f t="shared" si="37"/>
        <v>766.91999999999985</v>
      </c>
      <c r="AD63" s="34">
        <v>36426.806160337685</v>
      </c>
      <c r="AE63" s="38">
        <f t="shared" si="38"/>
        <v>4.8711540092572374</v>
      </c>
      <c r="AF63" s="3"/>
      <c r="AG63" s="31">
        <f t="shared" si="46"/>
        <v>80</v>
      </c>
      <c r="AH63" s="35">
        <f t="shared" si="41"/>
        <v>270</v>
      </c>
      <c r="AI63" s="34">
        <v>34734.819602654701</v>
      </c>
      <c r="AJ63" s="38">
        <f t="shared" si="42"/>
        <v>0</v>
      </c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spans="1:51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57"/>
      <c r="W64" s="3"/>
      <c r="X64" s="7"/>
      <c r="Y64" s="7"/>
      <c r="Z64" s="57"/>
      <c r="AA64" s="7"/>
      <c r="AB64" s="31">
        <f t="shared" si="45"/>
        <v>50</v>
      </c>
      <c r="AC64" s="35">
        <f t="shared" si="37"/>
        <v>821.69999999999993</v>
      </c>
      <c r="AD64" s="34">
        <v>36849.802799758421</v>
      </c>
      <c r="AE64" s="38">
        <f t="shared" si="38"/>
        <v>6.0889425115715214</v>
      </c>
      <c r="AF64" s="3"/>
      <c r="AG64" s="31">
        <f t="shared" si="46"/>
        <v>100</v>
      </c>
      <c r="AH64" s="35">
        <f t="shared" si="41"/>
        <v>300</v>
      </c>
      <c r="AI64" s="34">
        <v>34734.819602654701</v>
      </c>
      <c r="AJ64" s="38">
        <f t="shared" si="42"/>
        <v>0</v>
      </c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spans="1:51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57"/>
      <c r="W65" s="3"/>
      <c r="X65" s="7"/>
      <c r="Y65" s="7"/>
      <c r="Z65" s="57"/>
      <c r="AA65" s="7"/>
      <c r="AB65" s="3"/>
      <c r="AC65" s="3"/>
      <c r="AD65" s="3"/>
      <c r="AE65" s="3"/>
      <c r="AF65" s="3"/>
      <c r="AG65" s="3"/>
      <c r="AH65" s="22"/>
      <c r="AI65" s="6"/>
      <c r="AJ65" s="58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spans="1:51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57"/>
      <c r="W66" s="3"/>
      <c r="X66" s="7"/>
      <c r="Y66" s="7"/>
      <c r="Z66" s="57"/>
      <c r="AA66" s="7"/>
      <c r="AB66" s="30" t="s">
        <v>184</v>
      </c>
      <c r="AC66" s="31"/>
      <c r="AD66" s="31"/>
      <c r="AE66" s="31"/>
      <c r="AF66" s="3"/>
      <c r="AG66" s="3"/>
      <c r="AH66" s="22"/>
      <c r="AI66" s="6"/>
      <c r="AJ66" s="58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spans="1:51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57"/>
      <c r="W67" s="3"/>
      <c r="X67" s="7"/>
      <c r="Y67" s="7"/>
      <c r="Z67" s="57"/>
      <c r="AA67" s="7"/>
      <c r="AB67" s="31" t="s">
        <v>79</v>
      </c>
      <c r="AC67" s="31" t="s">
        <v>184</v>
      </c>
      <c r="AD67" s="31" t="s">
        <v>23</v>
      </c>
      <c r="AE67" s="31" t="s">
        <v>81</v>
      </c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spans="1:51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57"/>
      <c r="W68" s="3"/>
      <c r="X68" s="7"/>
      <c r="Y68" s="7"/>
      <c r="Z68" s="57"/>
      <c r="AA68" s="7"/>
      <c r="AB68" s="31" t="s">
        <v>84</v>
      </c>
      <c r="AC68" s="97">
        <v>0.14000000000000001</v>
      </c>
      <c r="AD68" s="34">
        <f>X49</f>
        <v>34734.819602654701</v>
      </c>
      <c r="AE68" s="31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spans="1:51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60"/>
      <c r="Y69" s="60"/>
      <c r="Z69" s="3"/>
      <c r="AA69" s="60"/>
      <c r="AB69" s="31">
        <f t="shared" ref="AB69:AB73" si="47">AB70-10</f>
        <v>-50</v>
      </c>
      <c r="AC69" s="33">
        <f>$AC$68*(1-(AB69/100))</f>
        <v>0.21000000000000002</v>
      </c>
      <c r="AD69" s="34">
        <f t="dataTable" ref="AD69:AD79" dt2D="0" dtr="0" r1="J18" ca="1"/>
        <v>35590.425019494432</v>
      </c>
      <c r="AE69" s="38">
        <f>100*((AD69-$AD$74)/$AD$74)</f>
        <v>2.4632499222029627</v>
      </c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spans="1:51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1">
        <f t="shared" si="47"/>
        <v>-40</v>
      </c>
      <c r="AC70" s="33">
        <f t="shared" ref="AC70:AC73" si="48">$AC$68*(1-(AB70/100))</f>
        <v>0.19600000000000001</v>
      </c>
      <c r="AD70" s="34">
        <v>35419.303936126482</v>
      </c>
      <c r="AE70" s="38">
        <f t="shared" ref="AE70:AE79" si="49">100*((AD70-$AD$74)/$AD$74)</f>
        <v>1.9705999377623578</v>
      </c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spans="1:51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1">
        <f t="shared" si="47"/>
        <v>-30</v>
      </c>
      <c r="AC71" s="33">
        <f t="shared" si="48"/>
        <v>0.18200000000000002</v>
      </c>
      <c r="AD71" s="34">
        <v>35248.182852758546</v>
      </c>
      <c r="AE71" s="38">
        <f t="shared" si="49"/>
        <v>1.4779499533217944</v>
      </c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spans="1:51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1">
        <f t="shared" si="47"/>
        <v>-20</v>
      </c>
      <c r="AC72" s="33">
        <f t="shared" si="48"/>
        <v>0.16800000000000001</v>
      </c>
      <c r="AD72" s="34">
        <v>35077.061769390595</v>
      </c>
      <c r="AE72" s="38">
        <f t="shared" si="49"/>
        <v>0.9852999688811892</v>
      </c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spans="1:51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1">
        <f t="shared" si="47"/>
        <v>-10</v>
      </c>
      <c r="AC73" s="33">
        <f t="shared" si="48"/>
        <v>0.15400000000000003</v>
      </c>
      <c r="AD73" s="34">
        <v>34905.940686022637</v>
      </c>
      <c r="AE73" s="38">
        <f t="shared" si="49"/>
        <v>0.49264998444056324</v>
      </c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spans="1:51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43">
        <v>0</v>
      </c>
      <c r="AC74" s="93">
        <f t="shared" ref="AC74" si="50">$AC$68*(1+(AB74/100))</f>
        <v>0.14000000000000001</v>
      </c>
      <c r="AD74" s="45">
        <v>34734.819602654701</v>
      </c>
      <c r="AE74" s="75">
        <f t="shared" si="49"/>
        <v>0</v>
      </c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spans="1:51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1">
        <f t="shared" ref="AB75:AB79" si="51">AB74+10</f>
        <v>10</v>
      </c>
      <c r="AC75" s="33">
        <f t="shared" ref="AC75:AC79" si="52">$AC$68*(1-(AB75/100))</f>
        <v>0.12600000000000003</v>
      </c>
      <c r="AD75" s="34">
        <v>34563.698519286758</v>
      </c>
      <c r="AE75" s="38">
        <f t="shared" si="49"/>
        <v>-0.49264998444058411</v>
      </c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spans="1:51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1">
        <f t="shared" si="51"/>
        <v>20</v>
      </c>
      <c r="AC76" s="33">
        <f t="shared" si="52"/>
        <v>0.11200000000000002</v>
      </c>
      <c r="AD76" s="34">
        <v>34392.5774359188</v>
      </c>
      <c r="AE76" s="38">
        <f t="shared" si="49"/>
        <v>-0.98529996888121019</v>
      </c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spans="1:51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1">
        <f t="shared" si="51"/>
        <v>30</v>
      </c>
      <c r="AC77" s="33">
        <f t="shared" si="52"/>
        <v>9.8000000000000004E-2</v>
      </c>
      <c r="AD77" s="34">
        <v>34221.456352550871</v>
      </c>
      <c r="AE77" s="38">
        <f t="shared" si="49"/>
        <v>-1.4779499533217524</v>
      </c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spans="1:51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1">
        <f t="shared" si="51"/>
        <v>40</v>
      </c>
      <c r="AC78" s="33">
        <f t="shared" si="52"/>
        <v>8.4000000000000005E-2</v>
      </c>
      <c r="AD78" s="34">
        <v>34050.33526918292</v>
      </c>
      <c r="AE78" s="38">
        <f t="shared" si="49"/>
        <v>-1.9705999377623578</v>
      </c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spans="1:51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1">
        <f t="shared" si="51"/>
        <v>50</v>
      </c>
      <c r="AC79" s="33">
        <f t="shared" si="52"/>
        <v>7.0000000000000007E-2</v>
      </c>
      <c r="AD79" s="34">
        <v>33879.214185814963</v>
      </c>
      <c r="AE79" s="38">
        <f t="shared" si="49"/>
        <v>-2.4632499222029836</v>
      </c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spans="1:51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spans="1:51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spans="1:51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spans="1:51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spans="1:51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spans="1:51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  <row r="86" spans="1:51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</row>
    <row r="87" spans="1:51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</row>
    <row r="88" spans="1:51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</row>
    <row r="89" spans="1:51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</row>
    <row r="90" spans="1:51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</row>
    <row r="91" spans="1:51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</row>
    <row r="92" spans="1:51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</row>
    <row r="93" spans="1:51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</row>
    <row r="94" spans="1:51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</row>
    <row r="95" spans="1:51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</row>
    <row r="96" spans="1:51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</row>
    <row r="97" spans="1:51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</row>
    <row r="98" spans="1:51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</row>
    <row r="99" spans="1:51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</row>
    <row r="100" spans="1:51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</row>
    <row r="101" spans="1:51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</row>
    <row r="102" spans="1:51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</row>
    <row r="103" spans="1:51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spans="1:51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spans="1:51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spans="1:51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spans="1:51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spans="1:51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spans="1:51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spans="1:51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spans="1:51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</row>
    <row r="112" spans="1:51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</row>
    <row r="113" spans="1:51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</row>
    <row r="114" spans="1:51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</row>
    <row r="115" spans="1:51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</row>
    <row r="116" spans="1:51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</row>
    <row r="117" spans="1:51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</row>
    <row r="118" spans="1:51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</row>
    <row r="119" spans="1:51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</row>
    <row r="120" spans="1:51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</row>
    <row r="121" spans="1:51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</row>
    <row r="122" spans="1:51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</row>
    <row r="123" spans="1:51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</row>
    <row r="124" spans="1:51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</row>
    <row r="125" spans="1:51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</row>
    <row r="126" spans="1:51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</row>
    <row r="127" spans="1:51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</row>
    <row r="128" spans="1:51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</row>
    <row r="129" spans="1:51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</row>
    <row r="130" spans="1:51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</row>
    <row r="131" spans="1:51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</row>
    <row r="132" spans="1:51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</row>
    <row r="133" spans="1:51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</row>
    <row r="134" spans="1:51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</row>
    <row r="135" spans="1:51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</row>
    <row r="136" spans="1:51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</row>
    <row r="137" spans="1:51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</row>
    <row r="138" spans="1:51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</row>
    <row r="139" spans="1:51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</row>
    <row r="140" spans="1:51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</row>
    <row r="141" spans="1:51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</row>
    <row r="142" spans="1:51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</row>
    <row r="143" spans="1:51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</row>
    <row r="144" spans="1:51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</row>
    <row r="145" spans="1:51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</row>
    <row r="146" spans="1:51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</row>
    <row r="147" spans="1:51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</row>
    <row r="148" spans="1:51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</row>
    <row r="149" spans="1:51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</row>
    <row r="150" spans="1:51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</row>
    <row r="151" spans="1:51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</row>
    <row r="152" spans="1:51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</row>
    <row r="153" spans="1:51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</row>
    <row r="154" spans="1:51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</row>
    <row r="155" spans="1:51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</row>
    <row r="156" spans="1:51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</row>
    <row r="157" spans="1:51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</row>
    <row r="158" spans="1:51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</row>
    <row r="159" spans="1:51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</row>
    <row r="160" spans="1:51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</row>
    <row r="161" spans="1:51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</row>
    <row r="162" spans="1:51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</row>
    <row r="163" spans="1:51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</row>
    <row r="164" spans="1:51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</row>
    <row r="165" spans="1:51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</row>
    <row r="166" spans="1:51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</row>
    <row r="167" spans="1:51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</row>
    <row r="168" spans="1:51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</row>
    <row r="169" spans="1:51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</row>
    <row r="170" spans="1:51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</row>
    <row r="171" spans="1:51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</row>
    <row r="172" spans="1:51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</row>
    <row r="173" spans="1:51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</row>
    <row r="174" spans="1:51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</row>
    <row r="175" spans="1:51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</row>
    <row r="176" spans="1:51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</row>
    <row r="177" spans="1:51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</row>
    <row r="178" spans="1:51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</row>
    <row r="179" spans="1:51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</row>
    <row r="180" spans="1:51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</row>
    <row r="181" spans="1:51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</row>
    <row r="182" spans="1:51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</row>
    <row r="183" spans="1:51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</row>
    <row r="184" spans="1:51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</row>
    <row r="185" spans="1:51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</row>
    <row r="186" spans="1:51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</row>
    <row r="187" spans="1:51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</row>
    <row r="188" spans="1:51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</row>
    <row r="189" spans="1:51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</row>
    <row r="190" spans="1:51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</row>
    <row r="191" spans="1:51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</row>
    <row r="192" spans="1:51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</row>
    <row r="193" spans="1:51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</row>
    <row r="194" spans="1:51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</row>
    <row r="195" spans="1:51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</row>
    <row r="196" spans="1:51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</row>
    <row r="197" spans="1:51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</row>
    <row r="198" spans="1:51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</row>
    <row r="199" spans="1:51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</row>
    <row r="200" spans="1:51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</row>
    <row r="201" spans="1:51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</row>
    <row r="202" spans="1:51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</row>
    <row r="203" spans="1:51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</row>
    <row r="204" spans="1:51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</row>
    <row r="205" spans="1:51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</row>
    <row r="206" spans="1:51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</row>
    <row r="207" spans="1:51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</row>
    <row r="208" spans="1:51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</row>
    <row r="209" spans="1:51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</row>
    <row r="210" spans="1:51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</row>
    <row r="211" spans="1:51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</row>
    <row r="212" spans="1:51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</row>
    <row r="213" spans="1:51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</row>
    <row r="214" spans="1:51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</row>
    <row r="215" spans="1:51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</row>
    <row r="216" spans="1:51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</row>
    <row r="217" spans="1:51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</row>
    <row r="218" spans="1:51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</row>
    <row r="219" spans="1:51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</row>
    <row r="220" spans="1:51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</row>
    <row r="221" spans="1:51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</row>
    <row r="222" spans="1:51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</row>
    <row r="223" spans="1:51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</row>
    <row r="224" spans="1:51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</row>
    <row r="225" spans="1:51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</row>
    <row r="226" spans="1:51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</row>
    <row r="227" spans="1:51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</row>
    <row r="228" spans="1:51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</row>
    <row r="229" spans="1:51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</row>
    <row r="230" spans="1:51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</row>
    <row r="231" spans="1:51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</row>
    <row r="232" spans="1:51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</row>
    <row r="233" spans="1:51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</row>
    <row r="234" spans="1:51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</row>
    <row r="235" spans="1:51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</row>
    <row r="236" spans="1:51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</row>
    <row r="237" spans="1:51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</row>
    <row r="238" spans="1:51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</row>
    <row r="239" spans="1:51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</row>
    <row r="240" spans="1:51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</row>
    <row r="241" spans="1:51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</row>
    <row r="242" spans="1:51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</row>
    <row r="243" spans="1:51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</row>
    <row r="244" spans="1:51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</row>
    <row r="245" spans="1:51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</row>
    <row r="246" spans="1:51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</row>
    <row r="247" spans="1:51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</row>
    <row r="248" spans="1:51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</row>
    <row r="249" spans="1:51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</row>
    <row r="250" spans="1:51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</row>
    <row r="251" spans="1:51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</row>
    <row r="252" spans="1:51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</row>
    <row r="253" spans="1:51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</row>
    <row r="254" spans="1:51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</row>
    <row r="255" spans="1:51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</row>
    <row r="256" spans="1:51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</row>
    <row r="257" spans="1:51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</row>
    <row r="258" spans="1:51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</row>
    <row r="259" spans="1:51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</row>
    <row r="260" spans="1:51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</row>
    <row r="261" spans="1:51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</row>
    <row r="262" spans="1:51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</row>
    <row r="263" spans="1:51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</row>
    <row r="264" spans="1:51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</row>
    <row r="265" spans="1:51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</row>
    <row r="266" spans="1:51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</row>
    <row r="267" spans="1:51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</row>
    <row r="268" spans="1:51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</row>
    <row r="269" spans="1:51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</row>
    <row r="270" spans="1:51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</row>
    <row r="271" spans="1:51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</row>
    <row r="272" spans="1:51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</row>
    <row r="273" spans="1:51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</row>
    <row r="274" spans="1:51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</row>
    <row r="275" spans="1:51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</row>
    <row r="276" spans="1:51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</row>
    <row r="277" spans="1:51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</row>
    <row r="278" spans="1:51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</row>
    <row r="279" spans="1:51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</row>
    <row r="280" spans="1:51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</row>
    <row r="281" spans="1:51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</row>
    <row r="282" spans="1:51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</row>
    <row r="283" spans="1:51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</row>
    <row r="284" spans="1:51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</row>
    <row r="285" spans="1:51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</row>
    <row r="286" spans="1:51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</row>
    <row r="287" spans="1:51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</row>
    <row r="288" spans="1:51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</row>
    <row r="289" spans="1:51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</row>
    <row r="290" spans="1:51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</row>
    <row r="291" spans="1:51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</row>
    <row r="292" spans="1:51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</row>
    <row r="293" spans="1:51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</row>
    <row r="294" spans="1:51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</row>
    <row r="295" spans="1:51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</row>
    <row r="296" spans="1:51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</row>
    <row r="297" spans="1:51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</row>
    <row r="298" spans="1:51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</row>
    <row r="299" spans="1:51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</row>
    <row r="300" spans="1:51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</row>
    <row r="301" spans="1:51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</row>
    <row r="302" spans="1:51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</row>
    <row r="303" spans="1:51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</row>
    <row r="304" spans="1:51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</row>
    <row r="305" spans="1:51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</row>
    <row r="306" spans="1:51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</row>
    <row r="307" spans="1:51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</row>
    <row r="308" spans="1:51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</row>
    <row r="309" spans="1:51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</row>
    <row r="310" spans="1:51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</row>
    <row r="311" spans="1:51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</row>
    <row r="312" spans="1:51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</row>
    <row r="313" spans="1:51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</row>
    <row r="314" spans="1:51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</row>
    <row r="315" spans="1:51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</row>
    <row r="316" spans="1:51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</row>
    <row r="317" spans="1:51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</row>
    <row r="318" spans="1:51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</row>
    <row r="319" spans="1:51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</row>
    <row r="320" spans="1:51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</row>
    <row r="321" spans="1:51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</row>
    <row r="322" spans="1:51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</row>
    <row r="323" spans="1:51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</row>
    <row r="324" spans="1:51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</row>
    <row r="325" spans="1:51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</row>
    <row r="326" spans="1:51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</row>
    <row r="327" spans="1:51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</row>
    <row r="328" spans="1:51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</row>
    <row r="329" spans="1:51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</row>
    <row r="330" spans="1:51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</row>
    <row r="331" spans="1:51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</row>
    <row r="332" spans="1:51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</row>
    <row r="333" spans="1:51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</row>
    <row r="334" spans="1:51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</row>
    <row r="335" spans="1:51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</row>
    <row r="336" spans="1:51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</row>
    <row r="337" spans="1:51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</row>
    <row r="338" spans="1:51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</row>
    <row r="339" spans="1:51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</row>
    <row r="340" spans="1:51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</row>
    <row r="341" spans="1:51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</row>
    <row r="342" spans="1:51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</row>
    <row r="343" spans="1:51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</row>
    <row r="344" spans="1:51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</row>
    <row r="345" spans="1:51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</row>
    <row r="346" spans="1:51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</row>
    <row r="347" spans="1:51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</row>
    <row r="348" spans="1:51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</row>
    <row r="349" spans="1:51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</row>
    <row r="350" spans="1:51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</row>
    <row r="351" spans="1:51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</row>
    <row r="352" spans="1:51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</row>
    <row r="353" spans="1:51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</row>
    <row r="354" spans="1:51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</row>
    <row r="355" spans="1:51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</row>
    <row r="356" spans="1:51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</row>
    <row r="357" spans="1:51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</row>
    <row r="358" spans="1:51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</row>
    <row r="359" spans="1:51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</row>
    <row r="360" spans="1:51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</row>
    <row r="361" spans="1:51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</row>
    <row r="362" spans="1:51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</row>
    <row r="363" spans="1:51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</row>
    <row r="364" spans="1:51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</row>
    <row r="365" spans="1:51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</row>
    <row r="366" spans="1:51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</row>
    <row r="367" spans="1:51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</row>
    <row r="368" spans="1:51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</row>
    <row r="369" spans="1:51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</row>
    <row r="370" spans="1:51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</row>
    <row r="371" spans="1:51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</row>
    <row r="372" spans="1:51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</row>
    <row r="373" spans="1:51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</row>
    <row r="374" spans="1:51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</row>
    <row r="375" spans="1:51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</row>
    <row r="376" spans="1:51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</row>
    <row r="377" spans="1:51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</row>
    <row r="378" spans="1:51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</row>
    <row r="379" spans="1:51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</row>
    <row r="380" spans="1:51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</row>
    <row r="381" spans="1:51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</row>
    <row r="382" spans="1:51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</row>
    <row r="383" spans="1:51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</row>
    <row r="384" spans="1:51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</row>
    <row r="385" spans="1:51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</row>
    <row r="386" spans="1:51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</row>
    <row r="387" spans="1:51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</row>
    <row r="388" spans="1:51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</row>
    <row r="389" spans="1:51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</row>
    <row r="390" spans="1:51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</row>
    <row r="391" spans="1:51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</row>
    <row r="392" spans="1:51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</row>
    <row r="393" spans="1:51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</row>
    <row r="394" spans="1:51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</row>
    <row r="395" spans="1:51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</row>
    <row r="396" spans="1:51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</row>
    <row r="397" spans="1:51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</row>
    <row r="398" spans="1:51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</row>
    <row r="399" spans="1:51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</row>
    <row r="400" spans="1:51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</row>
    <row r="401" spans="1:51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</row>
    <row r="402" spans="1:51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</row>
    <row r="403" spans="1:51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</row>
    <row r="404" spans="1:51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</row>
    <row r="405" spans="1:51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</row>
    <row r="406" spans="1:51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</row>
    <row r="407" spans="1:51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</row>
    <row r="408" spans="1:51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</row>
    <row r="409" spans="1:51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</row>
    <row r="410" spans="1:51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</row>
    <row r="411" spans="1:51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</row>
    <row r="412" spans="1:51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</row>
    <row r="413" spans="1:51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</row>
    <row r="414" spans="1:51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</row>
    <row r="415" spans="1:51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</row>
    <row r="416" spans="1:51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</row>
    <row r="417" spans="1:51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</row>
    <row r="418" spans="1:51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</row>
    <row r="419" spans="1:51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</row>
    <row r="420" spans="1:51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</row>
    <row r="421" spans="1:51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</row>
    <row r="422" spans="1:51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</row>
    <row r="423" spans="1:51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</row>
    <row r="424" spans="1:51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</row>
    <row r="425" spans="1:51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</row>
    <row r="426" spans="1:51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</row>
    <row r="427" spans="1:51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</row>
    <row r="428" spans="1:51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</row>
    <row r="429" spans="1:51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</row>
    <row r="430" spans="1:51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</row>
    <row r="431" spans="1:51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</row>
    <row r="432" spans="1:51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</row>
    <row r="433" spans="1:51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</row>
    <row r="434" spans="1:51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</row>
    <row r="435" spans="1:51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</row>
    <row r="436" spans="1:51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</row>
    <row r="437" spans="1:51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</row>
    <row r="438" spans="1:51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</row>
    <row r="439" spans="1:51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</row>
    <row r="440" spans="1:51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</row>
    <row r="441" spans="1:51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</row>
    <row r="442" spans="1:51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</row>
    <row r="443" spans="1:51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</row>
    <row r="444" spans="1:51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</row>
    <row r="445" spans="1:51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</row>
    <row r="446" spans="1:51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</row>
    <row r="447" spans="1:51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</row>
    <row r="448" spans="1:51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</row>
    <row r="449" spans="1:51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</row>
    <row r="450" spans="1:51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</row>
    <row r="451" spans="1:51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</row>
    <row r="452" spans="1:51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</row>
    <row r="453" spans="1:51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</row>
    <row r="454" spans="1:51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</row>
    <row r="455" spans="1:51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</row>
    <row r="456" spans="1:51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</row>
    <row r="457" spans="1:51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</row>
    <row r="458" spans="1:51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</row>
    <row r="459" spans="1:51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</row>
    <row r="460" spans="1:51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</row>
    <row r="461" spans="1:51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</row>
    <row r="462" spans="1:51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</row>
    <row r="463" spans="1:51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</row>
    <row r="464" spans="1:51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</row>
    <row r="465" spans="1:51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</row>
    <row r="466" spans="1:51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</row>
    <row r="467" spans="1:51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</row>
    <row r="468" spans="1:51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</row>
    <row r="469" spans="1:51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</row>
    <row r="470" spans="1:51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</row>
    <row r="471" spans="1:51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</row>
    <row r="472" spans="1:51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</row>
    <row r="473" spans="1:51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</row>
    <row r="474" spans="1:51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</row>
    <row r="475" spans="1:51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</row>
    <row r="476" spans="1:51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</row>
    <row r="477" spans="1:51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</row>
    <row r="478" spans="1:51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</row>
    <row r="479" spans="1:51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</row>
    <row r="480" spans="1:51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</row>
    <row r="481" spans="1:51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</row>
    <row r="482" spans="1:51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</row>
    <row r="483" spans="1:51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</row>
    <row r="484" spans="1:51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</row>
    <row r="485" spans="1:51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</row>
    <row r="486" spans="1:51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</row>
    <row r="487" spans="1:51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</row>
    <row r="488" spans="1:51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</row>
    <row r="489" spans="1:51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</row>
    <row r="490" spans="1:51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</row>
    <row r="491" spans="1:51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</row>
    <row r="492" spans="1:51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</row>
    <row r="493" spans="1:51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</row>
    <row r="494" spans="1:51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</row>
    <row r="495" spans="1:51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</row>
    <row r="496" spans="1:51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</row>
    <row r="497" spans="1:51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</row>
    <row r="498" spans="1:51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</row>
    <row r="499" spans="1:51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</row>
    <row r="500" spans="1:51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</row>
    <row r="501" spans="1:51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</row>
    <row r="502" spans="1:51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</row>
    <row r="503" spans="1:51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</row>
    <row r="504" spans="1:51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</row>
    <row r="505" spans="1:51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</row>
    <row r="506" spans="1:51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</row>
    <row r="507" spans="1:51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</row>
    <row r="508" spans="1:51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</row>
    <row r="509" spans="1:51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</row>
    <row r="510" spans="1:51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</row>
    <row r="511" spans="1:51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</row>
    <row r="512" spans="1:51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</row>
    <row r="513" spans="1:51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</row>
    <row r="514" spans="1:51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</row>
    <row r="515" spans="1:51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</row>
    <row r="516" spans="1:51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</row>
    <row r="517" spans="1:51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</row>
    <row r="518" spans="1:51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</row>
    <row r="519" spans="1:51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</row>
    <row r="520" spans="1:51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</row>
    <row r="521" spans="1:51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</row>
    <row r="522" spans="1:51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</row>
    <row r="523" spans="1:51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</row>
    <row r="524" spans="1:51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</row>
    <row r="525" spans="1:51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</row>
    <row r="526" spans="1:51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</row>
    <row r="527" spans="1:51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</row>
    <row r="528" spans="1:51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</row>
    <row r="529" spans="1:51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</row>
    <row r="530" spans="1:51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</row>
    <row r="531" spans="1:51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</row>
    <row r="532" spans="1:51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</row>
    <row r="533" spans="1:51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</row>
    <row r="534" spans="1:51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</row>
    <row r="535" spans="1:51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</row>
    <row r="536" spans="1:51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</row>
    <row r="537" spans="1:51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</row>
    <row r="538" spans="1:51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</row>
    <row r="539" spans="1:51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</row>
    <row r="540" spans="1:51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</row>
    <row r="541" spans="1:51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</row>
    <row r="542" spans="1:51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</row>
    <row r="543" spans="1:51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</row>
    <row r="544" spans="1:51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</row>
    <row r="545" spans="1:51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</row>
    <row r="546" spans="1:51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</row>
    <row r="547" spans="1:51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</row>
    <row r="548" spans="1:51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</row>
    <row r="549" spans="1:51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</row>
    <row r="550" spans="1:51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</row>
    <row r="551" spans="1:51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</row>
    <row r="552" spans="1:51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</row>
    <row r="553" spans="1:51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</row>
    <row r="554" spans="1:51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</row>
    <row r="555" spans="1:51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</row>
    <row r="556" spans="1:51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</row>
    <row r="557" spans="1:51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</row>
    <row r="558" spans="1:51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</row>
    <row r="559" spans="1:51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</row>
    <row r="560" spans="1:51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</row>
    <row r="561" spans="1:51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</row>
    <row r="562" spans="1:51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</row>
    <row r="563" spans="1:51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</row>
    <row r="564" spans="1:51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</row>
    <row r="565" spans="1:51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</row>
    <row r="566" spans="1:51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</row>
    <row r="567" spans="1:51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</row>
    <row r="568" spans="1:51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</row>
    <row r="569" spans="1:51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</row>
    <row r="570" spans="1:51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</row>
    <row r="571" spans="1:51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</row>
    <row r="572" spans="1:51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</row>
    <row r="573" spans="1:51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</row>
    <row r="574" spans="1:51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</row>
    <row r="575" spans="1:51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</row>
    <row r="576" spans="1:51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</row>
    <row r="577" spans="1:51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</row>
    <row r="578" spans="1:51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</row>
    <row r="579" spans="1:51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</row>
    <row r="580" spans="1:51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</row>
    <row r="581" spans="1:51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</row>
    <row r="582" spans="1:51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</row>
    <row r="583" spans="1:51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</row>
    <row r="584" spans="1:51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</row>
    <row r="585" spans="1:51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</row>
    <row r="586" spans="1:51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</row>
    <row r="587" spans="1:51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</row>
    <row r="588" spans="1:51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</row>
    <row r="589" spans="1:51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</row>
    <row r="590" spans="1:51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</row>
    <row r="591" spans="1:51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</row>
    <row r="592" spans="1:51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</row>
    <row r="593" spans="1:51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</row>
    <row r="594" spans="1:51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</row>
    <row r="595" spans="1:51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</row>
    <row r="596" spans="1:51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</row>
    <row r="597" spans="1:51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</row>
    <row r="598" spans="1:51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</row>
    <row r="599" spans="1:51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</row>
    <row r="600" spans="1:51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</row>
    <row r="601" spans="1:51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</row>
    <row r="602" spans="1:51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</row>
    <row r="603" spans="1:51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</row>
    <row r="604" spans="1:51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</row>
    <row r="605" spans="1:51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</row>
    <row r="606" spans="1:51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</row>
    <row r="607" spans="1:51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</row>
    <row r="608" spans="1:51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</row>
    <row r="609" spans="1:51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</row>
    <row r="610" spans="1:51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</row>
    <row r="611" spans="1:51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</row>
    <row r="612" spans="1:51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</row>
    <row r="613" spans="1:51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</row>
    <row r="614" spans="1:51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</row>
    <row r="615" spans="1:51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</row>
    <row r="616" spans="1:51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</row>
    <row r="617" spans="1:51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</row>
    <row r="618" spans="1:51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</row>
    <row r="619" spans="1:51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</row>
    <row r="620" spans="1:51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</row>
    <row r="621" spans="1:51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</row>
    <row r="622" spans="1:51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</row>
    <row r="623" spans="1:51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</row>
    <row r="624" spans="1:51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</row>
    <row r="625" spans="1:51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</row>
    <row r="626" spans="1:51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</row>
    <row r="627" spans="1:51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</row>
    <row r="628" spans="1:51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</row>
    <row r="629" spans="1:51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</row>
    <row r="630" spans="1:51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</row>
    <row r="631" spans="1:51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</row>
    <row r="632" spans="1:51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</row>
    <row r="633" spans="1:51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</row>
    <row r="634" spans="1:51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</row>
    <row r="635" spans="1:51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</row>
    <row r="636" spans="1:51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</row>
    <row r="637" spans="1:51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</row>
    <row r="638" spans="1:51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</row>
    <row r="639" spans="1:51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</row>
    <row r="640" spans="1:51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</row>
    <row r="641" spans="1:51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</row>
    <row r="642" spans="1:51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</row>
    <row r="643" spans="1:51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</row>
    <row r="644" spans="1:51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</row>
    <row r="645" spans="1:51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</row>
    <row r="646" spans="1:51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</row>
    <row r="647" spans="1:51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</row>
    <row r="648" spans="1:51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</row>
    <row r="649" spans="1:51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</row>
    <row r="650" spans="1:51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</row>
    <row r="651" spans="1:51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</row>
    <row r="652" spans="1:51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</row>
    <row r="653" spans="1:51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</row>
    <row r="654" spans="1:51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</row>
    <row r="655" spans="1:51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</row>
    <row r="656" spans="1:51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</row>
    <row r="657" spans="1:51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</row>
    <row r="658" spans="1:51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</row>
    <row r="659" spans="1:51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</row>
    <row r="660" spans="1:51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</row>
    <row r="661" spans="1:51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</row>
    <row r="662" spans="1:51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</row>
    <row r="663" spans="1:51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</row>
    <row r="664" spans="1:51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</row>
    <row r="665" spans="1:51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</row>
    <row r="666" spans="1:51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</row>
    <row r="667" spans="1:51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</row>
    <row r="668" spans="1:51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</row>
    <row r="669" spans="1:51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</row>
    <row r="670" spans="1:51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</row>
    <row r="671" spans="1:51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</row>
    <row r="672" spans="1:51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</row>
    <row r="673" spans="1:51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</row>
    <row r="674" spans="1:51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</row>
    <row r="675" spans="1:51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</row>
    <row r="676" spans="1:51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</row>
    <row r="677" spans="1:51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</row>
    <row r="678" spans="1:51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</row>
    <row r="679" spans="1:51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</row>
    <row r="680" spans="1:51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</row>
    <row r="681" spans="1:51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</row>
    <row r="682" spans="1:51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</row>
    <row r="683" spans="1:51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</row>
    <row r="684" spans="1:51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</row>
    <row r="685" spans="1:51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</row>
    <row r="686" spans="1:51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</row>
    <row r="687" spans="1:51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</row>
    <row r="688" spans="1:51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</row>
    <row r="689" spans="1:51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</row>
    <row r="690" spans="1:51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</row>
    <row r="691" spans="1:51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</row>
    <row r="692" spans="1:51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</row>
    <row r="693" spans="1:51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</row>
    <row r="694" spans="1:51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</row>
    <row r="695" spans="1:51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</row>
    <row r="696" spans="1:51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</row>
    <row r="697" spans="1:51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</row>
    <row r="698" spans="1:51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</row>
    <row r="699" spans="1:51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</row>
    <row r="700" spans="1:51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</row>
    <row r="701" spans="1:51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</row>
    <row r="702" spans="1:51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</row>
    <row r="703" spans="1:51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</row>
    <row r="704" spans="1:51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</row>
    <row r="705" spans="1:51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</row>
    <row r="706" spans="1:51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</row>
    <row r="707" spans="1:51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</row>
    <row r="708" spans="1:51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</row>
    <row r="709" spans="1:51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</row>
    <row r="710" spans="1:51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</row>
    <row r="711" spans="1:51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</row>
    <row r="712" spans="1:51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</row>
    <row r="713" spans="1:51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</row>
    <row r="714" spans="1:51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</row>
    <row r="715" spans="1:51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</row>
    <row r="716" spans="1:51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</row>
    <row r="717" spans="1:51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</row>
    <row r="718" spans="1:51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</row>
    <row r="719" spans="1:51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</row>
    <row r="720" spans="1:51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</row>
    <row r="721" spans="1:51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</row>
    <row r="722" spans="1:51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</row>
    <row r="723" spans="1:51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</row>
    <row r="724" spans="1:51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</row>
    <row r="725" spans="1:51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</row>
    <row r="726" spans="1:51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</row>
    <row r="727" spans="1:51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</row>
    <row r="728" spans="1:51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</row>
    <row r="729" spans="1:51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</row>
    <row r="730" spans="1:51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</row>
    <row r="731" spans="1:51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</row>
    <row r="732" spans="1:51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</row>
    <row r="733" spans="1:51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</row>
    <row r="734" spans="1:51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</row>
    <row r="735" spans="1:51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</row>
    <row r="736" spans="1:51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</row>
    <row r="737" spans="1:51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</row>
    <row r="738" spans="1:51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</row>
    <row r="739" spans="1:51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</row>
    <row r="740" spans="1:51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</row>
    <row r="741" spans="1:51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</row>
    <row r="742" spans="1:51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</row>
    <row r="743" spans="1:51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</row>
    <row r="744" spans="1:51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</row>
    <row r="745" spans="1:51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</row>
    <row r="746" spans="1:51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</row>
    <row r="747" spans="1:51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</row>
    <row r="748" spans="1:51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</row>
    <row r="749" spans="1:51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</row>
    <row r="750" spans="1:51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</row>
    <row r="751" spans="1:51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</row>
    <row r="752" spans="1:51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</row>
    <row r="753" spans="1:51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</row>
    <row r="754" spans="1:51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</row>
    <row r="755" spans="1:51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</row>
    <row r="756" spans="1:51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</row>
    <row r="757" spans="1:51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</row>
    <row r="758" spans="1:51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</row>
    <row r="759" spans="1:51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</row>
    <row r="760" spans="1:51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</row>
    <row r="761" spans="1:51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</row>
    <row r="762" spans="1:51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</row>
    <row r="763" spans="1:51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</row>
    <row r="764" spans="1:51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</row>
    <row r="765" spans="1:51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</row>
    <row r="766" spans="1:51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</row>
    <row r="767" spans="1:51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</row>
    <row r="768" spans="1:51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</row>
    <row r="769" spans="1:51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</row>
    <row r="770" spans="1:51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</row>
    <row r="771" spans="1:51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</row>
    <row r="772" spans="1:51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</row>
    <row r="773" spans="1:51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</row>
    <row r="774" spans="1:51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</row>
    <row r="775" spans="1:51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</row>
    <row r="776" spans="1:51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</row>
    <row r="777" spans="1:51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</row>
    <row r="778" spans="1:51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</row>
    <row r="779" spans="1:51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</row>
    <row r="780" spans="1:51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</row>
    <row r="781" spans="1:51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</row>
    <row r="782" spans="1:51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</row>
    <row r="783" spans="1:51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</row>
    <row r="784" spans="1:51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</row>
    <row r="785" spans="1:51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</row>
    <row r="786" spans="1:51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</row>
    <row r="787" spans="1:51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</row>
    <row r="788" spans="1:51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</row>
    <row r="789" spans="1:51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</row>
    <row r="790" spans="1:51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</row>
    <row r="791" spans="1:51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</row>
    <row r="792" spans="1:51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</row>
    <row r="793" spans="1:51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</row>
    <row r="794" spans="1:51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</row>
    <row r="795" spans="1:51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</row>
    <row r="796" spans="1:51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</row>
    <row r="797" spans="1:51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</row>
    <row r="798" spans="1:51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</row>
    <row r="799" spans="1:51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</row>
    <row r="800" spans="1:51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</row>
    <row r="801" spans="1:51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</row>
    <row r="802" spans="1:51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</row>
    <row r="803" spans="1:51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</row>
    <row r="804" spans="1:51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</row>
    <row r="805" spans="1:51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</row>
    <row r="806" spans="1:51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</row>
    <row r="807" spans="1:51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</row>
    <row r="808" spans="1:51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</row>
    <row r="809" spans="1:51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</row>
    <row r="810" spans="1:51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</row>
    <row r="811" spans="1:51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</row>
    <row r="812" spans="1:51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</row>
    <row r="813" spans="1:51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</row>
    <row r="814" spans="1:51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</row>
    <row r="815" spans="1:51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</row>
    <row r="816" spans="1:51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</row>
    <row r="817" spans="1:51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</row>
    <row r="818" spans="1:51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</row>
    <row r="819" spans="1:51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</row>
    <row r="820" spans="1:51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</row>
    <row r="821" spans="1:51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</row>
    <row r="822" spans="1:51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</row>
    <row r="823" spans="1:51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</row>
    <row r="824" spans="1:51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</row>
    <row r="825" spans="1:51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</row>
    <row r="826" spans="1:51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</row>
    <row r="827" spans="1:51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</row>
    <row r="828" spans="1:51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</row>
    <row r="829" spans="1:51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</row>
    <row r="830" spans="1:51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</row>
    <row r="831" spans="1:51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</row>
    <row r="832" spans="1:51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</row>
    <row r="833" spans="1:51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</row>
    <row r="834" spans="1:51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</row>
    <row r="835" spans="1:51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</row>
    <row r="836" spans="1:51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</row>
    <row r="837" spans="1:51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</row>
    <row r="838" spans="1:51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</row>
    <row r="839" spans="1:51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</row>
    <row r="840" spans="1:51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</row>
    <row r="841" spans="1:51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</row>
    <row r="842" spans="1:51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</row>
    <row r="843" spans="1:51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</row>
    <row r="844" spans="1:51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</row>
    <row r="845" spans="1:51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</row>
    <row r="846" spans="1:51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</row>
    <row r="847" spans="1:51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</row>
    <row r="848" spans="1:51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</row>
    <row r="849" spans="1:51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</row>
    <row r="850" spans="1:51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</row>
    <row r="851" spans="1:51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</row>
    <row r="852" spans="1:51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</row>
    <row r="853" spans="1:51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</row>
    <row r="854" spans="1:51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</row>
    <row r="855" spans="1:51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</row>
    <row r="856" spans="1:51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</row>
    <row r="857" spans="1:51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</row>
    <row r="858" spans="1:51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</row>
    <row r="859" spans="1:51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</row>
    <row r="860" spans="1:51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</row>
    <row r="861" spans="1:51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</row>
    <row r="862" spans="1:51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</row>
    <row r="863" spans="1:51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</row>
    <row r="864" spans="1:51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</row>
    <row r="865" spans="1:51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</row>
    <row r="866" spans="1:51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</row>
    <row r="867" spans="1:51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</row>
    <row r="868" spans="1:51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</row>
    <row r="869" spans="1:51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</row>
    <row r="870" spans="1:51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</row>
    <row r="871" spans="1:51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</row>
    <row r="872" spans="1:51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</row>
    <row r="873" spans="1:51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</row>
    <row r="874" spans="1:51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</row>
    <row r="875" spans="1:51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</row>
    <row r="876" spans="1:51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</row>
    <row r="877" spans="1:51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</row>
    <row r="878" spans="1:51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</row>
    <row r="879" spans="1:51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</row>
    <row r="880" spans="1:51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</row>
    <row r="881" spans="1:51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</row>
    <row r="882" spans="1:51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</row>
    <row r="883" spans="1:51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</row>
    <row r="884" spans="1:51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</row>
    <row r="885" spans="1:51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</row>
    <row r="886" spans="1:51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</row>
    <row r="887" spans="1:51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</row>
    <row r="888" spans="1:51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</row>
    <row r="889" spans="1:51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</row>
    <row r="890" spans="1:51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</row>
    <row r="891" spans="1:51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</row>
    <row r="892" spans="1:51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</row>
    <row r="893" spans="1:51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</row>
    <row r="894" spans="1:51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</row>
    <row r="895" spans="1:51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</row>
    <row r="896" spans="1:51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</row>
    <row r="897" spans="1:51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</row>
    <row r="898" spans="1:51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</row>
    <row r="899" spans="1:51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</row>
    <row r="900" spans="1:51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</row>
    <row r="901" spans="1:51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</row>
    <row r="902" spans="1:51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</row>
    <row r="903" spans="1:51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</row>
    <row r="904" spans="1:51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</row>
    <row r="905" spans="1:51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</row>
    <row r="906" spans="1:51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</row>
    <row r="907" spans="1:51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</row>
    <row r="908" spans="1:51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</row>
    <row r="909" spans="1:51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</row>
    <row r="910" spans="1:51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</row>
    <row r="911" spans="1:51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</row>
    <row r="912" spans="1:51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</row>
    <row r="913" spans="1:51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</row>
    <row r="914" spans="1:51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</row>
    <row r="915" spans="1:51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</row>
    <row r="916" spans="1:51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</row>
    <row r="917" spans="1:51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</row>
    <row r="918" spans="1:51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</row>
    <row r="919" spans="1:51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</row>
    <row r="920" spans="1:51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</row>
    <row r="921" spans="1:51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</row>
    <row r="922" spans="1:51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</row>
    <row r="923" spans="1:51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</row>
    <row r="924" spans="1:51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</row>
    <row r="925" spans="1:51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</row>
    <row r="926" spans="1:51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</row>
    <row r="927" spans="1:51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</row>
    <row r="928" spans="1:51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</row>
    <row r="929" spans="1:51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</row>
    <row r="930" spans="1:51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</row>
    <row r="931" spans="1:51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</row>
    <row r="932" spans="1:51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</row>
    <row r="933" spans="1:51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</row>
    <row r="934" spans="1:51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</row>
    <row r="935" spans="1:51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</row>
    <row r="936" spans="1:51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</row>
    <row r="937" spans="1:51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</row>
    <row r="938" spans="1:51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</row>
    <row r="939" spans="1:51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</row>
    <row r="940" spans="1:51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</row>
    <row r="941" spans="1:51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</row>
    <row r="942" spans="1:51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</row>
    <row r="943" spans="1:51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</row>
    <row r="944" spans="1:51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</row>
    <row r="945" spans="1:51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</row>
    <row r="946" spans="1:51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</row>
    <row r="947" spans="1:51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</row>
    <row r="948" spans="1:51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</row>
    <row r="949" spans="1:51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</row>
    <row r="950" spans="1:51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</row>
    <row r="951" spans="1:51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</row>
    <row r="952" spans="1:51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</row>
    <row r="953" spans="1:51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</row>
    <row r="954" spans="1:51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</row>
    <row r="955" spans="1:51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</row>
    <row r="956" spans="1:51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</row>
    <row r="957" spans="1:51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</row>
    <row r="958" spans="1:51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</row>
    <row r="959" spans="1:51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</row>
    <row r="960" spans="1:51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</row>
    <row r="961" spans="1:51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</row>
    <row r="962" spans="1:51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</row>
    <row r="963" spans="1:51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</row>
    <row r="964" spans="1:51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</row>
    <row r="965" spans="1:51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</row>
    <row r="966" spans="1:51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</row>
    <row r="967" spans="1:51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</row>
    <row r="968" spans="1:51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</row>
    <row r="969" spans="1:51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</row>
    <row r="970" spans="1:51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</row>
    <row r="971" spans="1:51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</row>
    <row r="972" spans="1:51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</row>
    <row r="973" spans="1:51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</row>
    <row r="974" spans="1:51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</row>
    <row r="975" spans="1:51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</row>
    <row r="976" spans="1:51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</row>
    <row r="977" spans="1:51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</row>
    <row r="978" spans="1:51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</row>
    <row r="979" spans="1:51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</row>
    <row r="980" spans="1:51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</row>
    <row r="981" spans="1:51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</row>
    <row r="982" spans="1:51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</row>
    <row r="983" spans="1:51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</row>
    <row r="984" spans="1:51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</row>
    <row r="985" spans="1:51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</row>
    <row r="986" spans="1:51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</row>
    <row r="987" spans="1:51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</row>
    <row r="988" spans="1:51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</row>
    <row r="989" spans="1:51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</row>
    <row r="990" spans="1:51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</row>
    <row r="991" spans="1:51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</row>
    <row r="992" spans="1:51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</row>
    <row r="993" spans="1:51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</row>
    <row r="994" spans="1:51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</row>
    <row r="995" spans="1:51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</row>
    <row r="996" spans="1:51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</row>
    <row r="997" spans="1:51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</row>
    <row r="998" spans="1:51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</row>
    <row r="999" spans="1:51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</row>
    <row r="1000" spans="1:51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</row>
  </sheetData>
  <dataValidations disablePrompts="1" count="1">
    <dataValidation type="list" allowBlank="1" showInputMessage="1" showErrorMessage="1" sqref="J24" xr:uid="{9F90B1D9-EC2F-46E8-9304-D83FAC2B2F71}">
      <formula1>#REF!</formula1>
    </dataValidation>
  </dataValidations>
  <pageMargins left="0.7" right="0.7" top="0.75" bottom="0.75" header="0" footer="0"/>
  <pageSetup paperSize="9" orientation="portrait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/>
  </sheetPr>
  <dimension ref="A1:AO1000"/>
  <sheetViews>
    <sheetView zoomScale="67" zoomScaleNormal="100" workbookViewId="0">
      <selection activeCell="I8" sqref="I8"/>
    </sheetView>
  </sheetViews>
  <sheetFormatPr defaultColWidth="14.42578125" defaultRowHeight="15" customHeight="1" x14ac:dyDescent="0.25"/>
  <cols>
    <col min="1" max="1" width="52.7109375" customWidth="1"/>
    <col min="2" max="2" width="17.42578125" customWidth="1"/>
    <col min="3" max="3" width="16.28515625" customWidth="1"/>
    <col min="4" max="4" width="8.85546875" customWidth="1"/>
    <col min="5" max="5" width="48" customWidth="1"/>
    <col min="6" max="6" width="14.28515625" customWidth="1"/>
    <col min="7" max="7" width="8.85546875" customWidth="1"/>
    <col min="8" max="8" width="19.28515625" customWidth="1"/>
    <col min="9" max="9" width="52.85546875" bestFit="1" customWidth="1"/>
    <col min="10" max="10" width="17.4257812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16.42578125" customWidth="1"/>
    <col min="19" max="19" width="16" customWidth="1"/>
    <col min="20" max="20" width="22" customWidth="1"/>
    <col min="21" max="21" width="23.85546875" customWidth="1"/>
    <col min="22" max="22" width="12.7109375" customWidth="1"/>
    <col min="23" max="23" width="19.42578125" customWidth="1"/>
    <col min="24" max="24" width="13.42578125" customWidth="1"/>
    <col min="25" max="25" width="8.85546875" customWidth="1"/>
    <col min="26" max="26" width="20.140625" customWidth="1"/>
    <col min="27" max="27" width="25" customWidth="1"/>
    <col min="28" max="28" width="12.85546875" customWidth="1"/>
    <col min="29" max="29" width="19" customWidth="1"/>
    <col min="30" max="30" width="4.7109375" customWidth="1"/>
    <col min="31" max="31" width="20.140625" customWidth="1"/>
    <col min="32" max="32" width="19.28515625" customWidth="1"/>
    <col min="33" max="33" width="11.28515625" customWidth="1"/>
    <col min="34" max="34" width="17.85546875" customWidth="1"/>
  </cols>
  <sheetData>
    <row r="1" spans="1:34" x14ac:dyDescent="0.25">
      <c r="A1" s="2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25">
      <c r="A2" s="2" t="s">
        <v>2</v>
      </c>
      <c r="B2" s="4">
        <f>U49</f>
        <v>26325.992338034968</v>
      </c>
      <c r="C2" s="2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x14ac:dyDescent="0.25">
      <c r="A3" s="3"/>
      <c r="B3" s="5">
        <f>B2/F41</f>
        <v>0.11966360153652258</v>
      </c>
      <c r="C3" s="2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x14ac:dyDescent="0.25">
      <c r="A4" s="2" t="s">
        <v>5</v>
      </c>
      <c r="B4" s="3"/>
      <c r="C4" s="3"/>
      <c r="D4" s="3"/>
      <c r="E4" s="3"/>
      <c r="F4" s="3"/>
      <c r="G4" s="3"/>
      <c r="H4" s="3"/>
      <c r="I4" s="3"/>
      <c r="J4" s="8"/>
      <c r="K4" s="3"/>
      <c r="L4" s="3"/>
      <c r="M4" s="3"/>
      <c r="N4" s="2" t="s">
        <v>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2" t="s">
        <v>7</v>
      </c>
      <c r="AA4" s="3"/>
      <c r="AB4" s="3"/>
      <c r="AC4" s="3"/>
      <c r="AD4" s="3"/>
      <c r="AE4" s="3"/>
      <c r="AF4" s="3"/>
      <c r="AG4" s="3"/>
      <c r="AH4" s="3"/>
    </row>
    <row r="5" spans="1:34" x14ac:dyDescent="0.25">
      <c r="A5" s="3" t="s">
        <v>8</v>
      </c>
      <c r="B5" s="6">
        <v>10</v>
      </c>
      <c r="C5" s="3" t="s">
        <v>9</v>
      </c>
      <c r="D5" s="3"/>
      <c r="E5" s="3"/>
      <c r="F5" s="3"/>
      <c r="G5" s="3"/>
      <c r="H5" s="3"/>
      <c r="I5" s="3"/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25">
      <c r="A6" s="3"/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10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x14ac:dyDescent="0.25">
      <c r="A7" s="9" t="s">
        <v>11</v>
      </c>
      <c r="B7" s="10"/>
      <c r="C7" s="10"/>
      <c r="D7" s="10"/>
      <c r="E7" s="10"/>
      <c r="F7" s="10"/>
      <c r="G7" s="10"/>
      <c r="H7" s="11"/>
      <c r="I7" s="12" t="s">
        <v>12</v>
      </c>
      <c r="J7" s="10"/>
      <c r="K7" s="10"/>
      <c r="L7" s="11"/>
      <c r="M7" s="3"/>
      <c r="N7" s="13" t="s">
        <v>13</v>
      </c>
      <c r="O7" s="13" t="s">
        <v>14</v>
      </c>
      <c r="P7" s="13" t="s">
        <v>15</v>
      </c>
      <c r="Q7" s="13" t="s">
        <v>124</v>
      </c>
      <c r="R7" s="13" t="s">
        <v>125</v>
      </c>
      <c r="S7" s="13" t="s">
        <v>19</v>
      </c>
      <c r="T7" s="13" t="s">
        <v>22</v>
      </c>
      <c r="U7" s="14" t="s">
        <v>23</v>
      </c>
      <c r="V7" s="2"/>
      <c r="W7" s="3" t="s">
        <v>24</v>
      </c>
      <c r="X7" s="3"/>
      <c r="Y7" s="3"/>
      <c r="Z7" s="3" t="s">
        <v>25</v>
      </c>
      <c r="AA7" s="3"/>
      <c r="AB7" s="3"/>
      <c r="AC7" s="3"/>
      <c r="AD7" s="3"/>
      <c r="AE7" s="3"/>
      <c r="AF7" s="3"/>
      <c r="AG7" s="3"/>
      <c r="AH7" s="3"/>
    </row>
    <row r="8" spans="1:34" x14ac:dyDescent="0.25">
      <c r="A8" s="15" t="s">
        <v>26</v>
      </c>
      <c r="B8" s="16">
        <v>2100</v>
      </c>
      <c r="C8" s="3" t="s">
        <v>27</v>
      </c>
      <c r="D8" s="3"/>
      <c r="E8" s="3"/>
      <c r="F8" s="3"/>
      <c r="G8" s="3"/>
      <c r="H8" s="17"/>
      <c r="I8" s="18" t="s">
        <v>185</v>
      </c>
      <c r="J8" s="6">
        <v>9754838.7096774187</v>
      </c>
      <c r="K8" s="3" t="s">
        <v>29</v>
      </c>
      <c r="L8" s="17"/>
      <c r="M8" s="3"/>
      <c r="N8" s="13">
        <v>0</v>
      </c>
      <c r="O8" s="19">
        <f>F31</f>
        <v>2085.4451612903226</v>
      </c>
      <c r="P8" s="13"/>
      <c r="Q8" s="13"/>
      <c r="R8" s="13"/>
      <c r="S8" s="13"/>
      <c r="T8" s="13"/>
      <c r="U8" s="20">
        <f t="shared" ref="U8:U48" si="0">SUM(O8:T8)</f>
        <v>2085.4451612903226</v>
      </c>
      <c r="V8" s="4"/>
      <c r="W8" s="6"/>
      <c r="X8" s="3"/>
      <c r="Y8" s="3"/>
      <c r="Z8" s="3" t="s">
        <v>165</v>
      </c>
      <c r="AA8" s="21">
        <f>F36</f>
        <v>1.0952380952380953</v>
      </c>
      <c r="AB8" s="3" t="s">
        <v>127</v>
      </c>
      <c r="AC8" s="3">
        <v>0.43870967741935485</v>
      </c>
      <c r="AD8" s="3"/>
      <c r="AE8" s="3"/>
      <c r="AF8" s="3"/>
      <c r="AG8" s="3"/>
      <c r="AH8" s="3"/>
    </row>
    <row r="9" spans="1:34" x14ac:dyDescent="0.25">
      <c r="A9" s="15"/>
      <c r="B9" s="3"/>
      <c r="C9" s="3"/>
      <c r="D9" s="3"/>
      <c r="E9" s="3"/>
      <c r="F9" s="22"/>
      <c r="G9" s="3"/>
      <c r="H9" s="17"/>
      <c r="I9" s="18" t="s">
        <v>32</v>
      </c>
      <c r="J9" s="6">
        <v>1970</v>
      </c>
      <c r="K9" s="3" t="s">
        <v>33</v>
      </c>
      <c r="L9" s="17"/>
      <c r="M9" s="3"/>
      <c r="N9" s="13">
        <v>1</v>
      </c>
      <c r="O9" s="13"/>
      <c r="P9" s="23">
        <f t="shared" ref="P9:P48" si="1">IF(N9&gt;0,IF(N9&lt;=$J$15,(($F$32+$F$33)/$J$15)/((1+($F$11/100))^N9),0),0)</f>
        <v>1390.2967741935483</v>
      </c>
      <c r="Q9" s="24">
        <f t="shared" ref="Q9:Q48" si="2">IF(N9&gt;0,($F$38*((1+($F$14/100))^(N9-1)))/((1+($F$11/100))^N9),0)</f>
        <v>1663.7188208616781</v>
      </c>
      <c r="R9" s="24">
        <f t="shared" ref="R9:R48" si="3">IF(N9&gt;0,$J$31/((1+($F$11/100))^N9),0)</f>
        <v>662.21809670104597</v>
      </c>
      <c r="S9" s="24">
        <f t="shared" ref="S9:S48" si="4">IF(N9&gt;0,($J$43)/((1+($F$11/100))^N9),0)</f>
        <v>0</v>
      </c>
      <c r="T9" s="23">
        <f t="shared" ref="T9:T48" si="5">IF(N9=$B$5,((((1-$J$12/100)^N9)*$B$44)/((1+($F$11/100))^N9))*-1,0)</f>
        <v>0</v>
      </c>
      <c r="U9" s="20">
        <f t="shared" si="0"/>
        <v>3716.233691756272</v>
      </c>
      <c r="V9" s="4"/>
      <c r="W9" s="6">
        <f t="shared" ref="W9:W48" si="6">IF(N9&gt;0,((((1-$J$12/100)^N9)*$B$44/((1+($F$11/100))^N9))),0)</f>
        <v>4521.8211981566819</v>
      </c>
      <c r="X9" s="3"/>
      <c r="Y9" s="3"/>
      <c r="Z9" s="3" t="s">
        <v>169</v>
      </c>
      <c r="AA9" s="26">
        <f>B47</f>
        <v>6951.4838709677424</v>
      </c>
      <c r="AB9" s="3" t="s">
        <v>3</v>
      </c>
      <c r="AC9" s="3">
        <v>101935.48387096774</v>
      </c>
      <c r="AD9" s="6"/>
      <c r="AE9" s="3"/>
      <c r="AF9" s="3"/>
      <c r="AG9" s="3"/>
      <c r="AH9" s="3"/>
    </row>
    <row r="10" spans="1:34" x14ac:dyDescent="0.25">
      <c r="A10" s="25" t="s">
        <v>35</v>
      </c>
      <c r="B10" s="3"/>
      <c r="C10" s="3"/>
      <c r="D10" s="3"/>
      <c r="E10" s="2" t="s">
        <v>36</v>
      </c>
      <c r="F10" s="3"/>
      <c r="G10" s="3"/>
      <c r="H10" s="17"/>
      <c r="I10" s="18" t="s">
        <v>128</v>
      </c>
      <c r="J10" s="28">
        <v>7.2499999999999995E-2</v>
      </c>
      <c r="K10" s="3" t="s">
        <v>129</v>
      </c>
      <c r="L10" s="17"/>
      <c r="M10" s="3"/>
      <c r="N10" s="13">
        <f t="shared" ref="N10:N48" si="7">IF((N9+1)&gt;$B$5,,IF(N9=0,,N9+1))</f>
        <v>2</v>
      </c>
      <c r="O10" s="13"/>
      <c r="P10" s="23">
        <f t="shared" si="1"/>
        <v>1324.0921658986174</v>
      </c>
      <c r="Q10" s="24">
        <f t="shared" si="2"/>
        <v>1600.3390562574236</v>
      </c>
      <c r="R10" s="24">
        <f t="shared" si="3"/>
        <v>630.6839016200438</v>
      </c>
      <c r="S10" s="24">
        <f t="shared" si="4"/>
        <v>0</v>
      </c>
      <c r="T10" s="23">
        <f t="shared" si="5"/>
        <v>0</v>
      </c>
      <c r="U10" s="20">
        <f t="shared" si="0"/>
        <v>3555.1151237760851</v>
      </c>
      <c r="V10" s="4"/>
      <c r="W10" s="6">
        <f t="shared" si="6"/>
        <v>4001.596435549704</v>
      </c>
      <c r="X10" s="3"/>
      <c r="Y10" s="3"/>
      <c r="Z10" s="3" t="s">
        <v>42</v>
      </c>
      <c r="AA10" s="6">
        <f>F12</f>
        <v>22000</v>
      </c>
      <c r="AB10" s="3" t="s">
        <v>43</v>
      </c>
      <c r="AC10" s="3">
        <v>70353</v>
      </c>
      <c r="AD10" s="6"/>
      <c r="AE10" s="3"/>
      <c r="AF10" s="3"/>
      <c r="AG10" s="3"/>
      <c r="AH10" s="3"/>
    </row>
    <row r="11" spans="1:34" x14ac:dyDescent="0.25">
      <c r="A11" s="27" t="s">
        <v>141</v>
      </c>
      <c r="B11" s="3">
        <v>10</v>
      </c>
      <c r="C11" s="3" t="s">
        <v>38</v>
      </c>
      <c r="D11" s="3"/>
      <c r="E11" s="18" t="s">
        <v>39</v>
      </c>
      <c r="F11" s="3">
        <v>5</v>
      </c>
      <c r="G11" s="3" t="s">
        <v>38</v>
      </c>
      <c r="H11" s="17"/>
      <c r="I11" s="18" t="s">
        <v>57</v>
      </c>
      <c r="J11" s="3">
        <v>30</v>
      </c>
      <c r="K11" s="3" t="s">
        <v>58</v>
      </c>
      <c r="L11" s="17"/>
      <c r="M11" s="3"/>
      <c r="N11" s="13">
        <f t="shared" si="7"/>
        <v>3</v>
      </c>
      <c r="O11" s="13"/>
      <c r="P11" s="23">
        <f t="shared" si="1"/>
        <v>1261.0401579986831</v>
      </c>
      <c r="Q11" s="24">
        <f t="shared" si="2"/>
        <v>1539.3737588761883</v>
      </c>
      <c r="R11" s="24">
        <f t="shared" si="3"/>
        <v>600.65133487623211</v>
      </c>
      <c r="S11" s="24">
        <f t="shared" si="4"/>
        <v>0</v>
      </c>
      <c r="T11" s="23">
        <f t="shared" si="5"/>
        <v>0</v>
      </c>
      <c r="U11" s="20">
        <f t="shared" si="0"/>
        <v>3401.0652517511035</v>
      </c>
      <c r="V11" s="4"/>
      <c r="W11" s="6">
        <f t="shared" si="6"/>
        <v>3541.2222932502714</v>
      </c>
      <c r="X11" s="3"/>
      <c r="Y11" s="3"/>
      <c r="Z11" s="18" t="s">
        <v>48</v>
      </c>
      <c r="AA11" s="6">
        <f>J35</f>
        <v>695.2</v>
      </c>
      <c r="AB11" s="3" t="s">
        <v>49</v>
      </c>
      <c r="AC11" s="3">
        <v>19063.393548387096</v>
      </c>
      <c r="AD11" s="6"/>
      <c r="AE11" s="3"/>
      <c r="AF11" s="3"/>
      <c r="AG11" s="3"/>
      <c r="AH11" s="3"/>
    </row>
    <row r="12" spans="1:34" x14ac:dyDescent="0.25">
      <c r="A12" s="3" t="s">
        <v>44</v>
      </c>
      <c r="B12" s="3">
        <v>0</v>
      </c>
      <c r="C12" s="3" t="s">
        <v>38</v>
      </c>
      <c r="D12" s="3"/>
      <c r="E12" s="18" t="s">
        <v>45</v>
      </c>
      <c r="F12" s="6">
        <v>22000</v>
      </c>
      <c r="G12" s="3" t="s">
        <v>43</v>
      </c>
      <c r="H12" s="17"/>
      <c r="I12" s="18" t="s">
        <v>64</v>
      </c>
      <c r="J12" s="3">
        <v>7.08</v>
      </c>
      <c r="K12" s="3" t="s">
        <v>65</v>
      </c>
      <c r="L12" s="17"/>
      <c r="M12" s="3"/>
      <c r="N12" s="13">
        <f t="shared" si="7"/>
        <v>4</v>
      </c>
      <c r="O12" s="13"/>
      <c r="P12" s="23">
        <f t="shared" si="1"/>
        <v>1200.9906266654127</v>
      </c>
      <c r="Q12" s="24">
        <f t="shared" si="2"/>
        <v>1480.7309490142384</v>
      </c>
      <c r="R12" s="24">
        <f t="shared" si="3"/>
        <v>572.04889035831638</v>
      </c>
      <c r="S12" s="24">
        <f t="shared" si="4"/>
        <v>0</v>
      </c>
      <c r="T12" s="23">
        <f t="shared" si="5"/>
        <v>0</v>
      </c>
      <c r="U12" s="20">
        <f t="shared" si="0"/>
        <v>3253.7704660379677</v>
      </c>
      <c r="V12" s="4"/>
      <c r="W12" s="6">
        <f t="shared" si="6"/>
        <v>3133.8130998934785</v>
      </c>
      <c r="X12" s="3"/>
      <c r="Y12" s="3"/>
      <c r="Z12" s="95" t="s">
        <v>184</v>
      </c>
      <c r="AA12" s="96">
        <f>J10</f>
        <v>7.2499999999999995E-2</v>
      </c>
      <c r="AB12" s="95" t="s">
        <v>129</v>
      </c>
      <c r="AC12" s="3"/>
      <c r="AD12" s="6"/>
      <c r="AE12" s="3"/>
      <c r="AF12" s="3"/>
      <c r="AG12" s="3"/>
      <c r="AH12" s="3"/>
    </row>
    <row r="13" spans="1:34" x14ac:dyDescent="0.25">
      <c r="A13" s="3" t="s">
        <v>50</v>
      </c>
      <c r="B13" s="3">
        <v>5</v>
      </c>
      <c r="C13" s="3" t="s">
        <v>38</v>
      </c>
      <c r="D13" s="3"/>
      <c r="E13" s="18" t="s">
        <v>126</v>
      </c>
      <c r="F13" s="6">
        <v>2300</v>
      </c>
      <c r="G13" s="3" t="s">
        <v>130</v>
      </c>
      <c r="H13" s="17"/>
      <c r="I13" s="18"/>
      <c r="J13" s="6"/>
      <c r="K13" s="3"/>
      <c r="L13" s="17"/>
      <c r="M13" s="3"/>
      <c r="N13" s="13">
        <f t="shared" si="7"/>
        <v>5</v>
      </c>
      <c r="O13" s="13"/>
      <c r="P13" s="23">
        <f t="shared" si="1"/>
        <v>1143.8005968242023</v>
      </c>
      <c r="Q13" s="24">
        <f t="shared" si="2"/>
        <v>1424.3221509565531</v>
      </c>
      <c r="R13" s="24">
        <f t="shared" si="3"/>
        <v>544.80846700792029</v>
      </c>
      <c r="S13" s="24">
        <f t="shared" si="4"/>
        <v>0</v>
      </c>
      <c r="T13" s="23">
        <f t="shared" si="5"/>
        <v>0</v>
      </c>
      <c r="U13" s="20">
        <f t="shared" si="0"/>
        <v>3112.9312147886753</v>
      </c>
      <c r="V13" s="4"/>
      <c r="W13" s="6">
        <f t="shared" si="6"/>
        <v>2773.2753642104954</v>
      </c>
      <c r="X13" s="3"/>
      <c r="Y13" s="3"/>
      <c r="Z13" s="3"/>
      <c r="AA13" s="3"/>
      <c r="AB13" s="3"/>
      <c r="AC13" s="3"/>
      <c r="AD13" s="6"/>
      <c r="AE13" s="3"/>
      <c r="AF13" s="3"/>
      <c r="AG13" s="3"/>
      <c r="AH13" s="3"/>
    </row>
    <row r="14" spans="1:34" x14ac:dyDescent="0.25">
      <c r="A14" s="3" t="s">
        <v>54</v>
      </c>
      <c r="B14" s="3">
        <v>5</v>
      </c>
      <c r="C14" s="3" t="s">
        <v>38</v>
      </c>
      <c r="D14" s="3"/>
      <c r="E14" s="18" t="s">
        <v>131</v>
      </c>
      <c r="F14" s="3">
        <v>1</v>
      </c>
      <c r="G14" s="3" t="s">
        <v>56</v>
      </c>
      <c r="H14" s="17"/>
      <c r="I14" s="2" t="s">
        <v>78</v>
      </c>
      <c r="J14" s="3"/>
      <c r="K14" s="3"/>
      <c r="L14" s="17"/>
      <c r="M14" s="3"/>
      <c r="N14" s="13">
        <f t="shared" si="7"/>
        <v>6</v>
      </c>
      <c r="O14" s="13"/>
      <c r="P14" s="23">
        <f t="shared" si="1"/>
        <v>0</v>
      </c>
      <c r="Q14" s="24">
        <f t="shared" si="2"/>
        <v>1370.0622594915417</v>
      </c>
      <c r="R14" s="24">
        <f t="shared" si="3"/>
        <v>518.86520667420984</v>
      </c>
      <c r="S14" s="24">
        <f t="shared" si="4"/>
        <v>0</v>
      </c>
      <c r="T14" s="23">
        <f t="shared" si="5"/>
        <v>0</v>
      </c>
      <c r="U14" s="20">
        <f t="shared" si="0"/>
        <v>1888.9274661657514</v>
      </c>
      <c r="V14" s="4"/>
      <c r="W14" s="6">
        <f t="shared" si="6"/>
        <v>2454.21663659466</v>
      </c>
      <c r="X14" s="3"/>
      <c r="Y14" s="3"/>
      <c r="Z14" s="3"/>
      <c r="AA14" s="3"/>
      <c r="AB14" s="3"/>
      <c r="AC14" s="3"/>
      <c r="AD14" s="6"/>
      <c r="AE14" s="3"/>
      <c r="AF14" s="3"/>
      <c r="AG14" s="3"/>
      <c r="AH14" s="3"/>
    </row>
    <row r="15" spans="1:34" x14ac:dyDescent="0.25">
      <c r="A15" s="3" t="s">
        <v>59</v>
      </c>
      <c r="B15" s="3">
        <v>25</v>
      </c>
      <c r="C15" s="3" t="s">
        <v>38</v>
      </c>
      <c r="D15" s="3"/>
      <c r="E15" s="18" t="s">
        <v>167</v>
      </c>
      <c r="F15" s="3">
        <v>5.2</v>
      </c>
      <c r="G15" s="3" t="s">
        <v>56</v>
      </c>
      <c r="H15" s="17"/>
      <c r="I15" s="18" t="s">
        <v>83</v>
      </c>
      <c r="J15" s="3">
        <v>5</v>
      </c>
      <c r="K15" s="3" t="s">
        <v>58</v>
      </c>
      <c r="L15" s="17"/>
      <c r="M15" s="3"/>
      <c r="N15" s="13">
        <f t="shared" si="7"/>
        <v>7</v>
      </c>
      <c r="O15" s="13"/>
      <c r="P15" s="23">
        <f t="shared" si="1"/>
        <v>0</v>
      </c>
      <c r="Q15" s="24">
        <f t="shared" si="2"/>
        <v>1317.8694115109113</v>
      </c>
      <c r="R15" s="24">
        <f t="shared" si="3"/>
        <v>494.15733968972359</v>
      </c>
      <c r="S15" s="24">
        <f t="shared" si="4"/>
        <v>0</v>
      </c>
      <c r="T15" s="23">
        <f t="shared" si="5"/>
        <v>0</v>
      </c>
      <c r="U15" s="20">
        <f t="shared" si="0"/>
        <v>1812.0267512006349</v>
      </c>
      <c r="V15" s="4"/>
      <c r="W15" s="6">
        <f t="shared" si="6"/>
        <v>2171.8648559273879</v>
      </c>
      <c r="X15" s="3"/>
      <c r="Y15" s="3"/>
      <c r="Z15" s="3"/>
      <c r="AA15" s="3"/>
      <c r="AB15" s="3"/>
      <c r="AC15" s="3"/>
      <c r="AD15" s="6"/>
      <c r="AE15" s="3"/>
      <c r="AF15" s="3"/>
      <c r="AG15" s="3"/>
      <c r="AH15" s="3"/>
    </row>
    <row r="16" spans="1:34" x14ac:dyDescent="0.25">
      <c r="A16" s="27" t="s">
        <v>63</v>
      </c>
      <c r="B16" s="3">
        <v>0.5</v>
      </c>
      <c r="C16" s="3" t="s">
        <v>38</v>
      </c>
      <c r="D16" s="3"/>
      <c r="E16" s="18" t="s">
        <v>66</v>
      </c>
      <c r="F16" s="6">
        <v>0</v>
      </c>
      <c r="G16" s="3" t="s">
        <v>67</v>
      </c>
      <c r="H16" s="17"/>
      <c r="I16" s="18" t="s">
        <v>85</v>
      </c>
      <c r="J16" s="3">
        <v>30</v>
      </c>
      <c r="K16" s="3" t="s">
        <v>86</v>
      </c>
      <c r="L16" s="17"/>
      <c r="M16" s="3"/>
      <c r="N16" s="13">
        <f t="shared" si="7"/>
        <v>8</v>
      </c>
      <c r="O16" s="13"/>
      <c r="P16" s="23">
        <f t="shared" si="1"/>
        <v>0</v>
      </c>
      <c r="Q16" s="24">
        <f t="shared" si="2"/>
        <v>1267.6648625009716</v>
      </c>
      <c r="R16" s="24">
        <f t="shared" si="3"/>
        <v>470.62603779973682</v>
      </c>
      <c r="S16" s="24">
        <f t="shared" si="4"/>
        <v>0</v>
      </c>
      <c r="T16" s="23">
        <f t="shared" si="5"/>
        <v>0</v>
      </c>
      <c r="U16" s="20">
        <f t="shared" si="0"/>
        <v>1738.2909003007085</v>
      </c>
      <c r="V16" s="4"/>
      <c r="W16" s="6">
        <f t="shared" si="6"/>
        <v>1921.9969753597422</v>
      </c>
      <c r="X16" s="3"/>
      <c r="Y16" s="3"/>
      <c r="Z16" s="3"/>
      <c r="AA16" s="3"/>
      <c r="AB16" s="3"/>
      <c r="AC16" s="3"/>
      <c r="AD16" s="6"/>
      <c r="AE16" s="3"/>
      <c r="AF16" s="3"/>
      <c r="AG16" s="3"/>
      <c r="AH16" s="3"/>
    </row>
    <row r="17" spans="1:41" x14ac:dyDescent="0.25">
      <c r="A17" s="27" t="s">
        <v>168</v>
      </c>
      <c r="B17" s="3">
        <v>1</v>
      </c>
      <c r="C17" s="3" t="s">
        <v>38</v>
      </c>
      <c r="D17" s="3"/>
      <c r="E17" s="18" t="s">
        <v>70</v>
      </c>
      <c r="F17" s="61">
        <v>0</v>
      </c>
      <c r="G17" s="3" t="s">
        <v>38</v>
      </c>
      <c r="H17" s="17"/>
      <c r="I17" s="3"/>
      <c r="J17" s="3"/>
      <c r="K17" s="3"/>
      <c r="L17" s="17"/>
      <c r="M17" s="3"/>
      <c r="N17" s="13">
        <f t="shared" si="7"/>
        <v>9</v>
      </c>
      <c r="O17" s="13"/>
      <c r="P17" s="23">
        <f t="shared" si="1"/>
        <v>0</v>
      </c>
      <c r="Q17" s="24">
        <f t="shared" si="2"/>
        <v>1219.3728677390302</v>
      </c>
      <c r="R17" s="24">
        <f t="shared" si="3"/>
        <v>448.21527409498742</v>
      </c>
      <c r="S17" s="24">
        <f t="shared" si="4"/>
        <v>0</v>
      </c>
      <c r="T17" s="23">
        <f t="shared" si="5"/>
        <v>0</v>
      </c>
      <c r="U17" s="20">
        <f t="shared" si="0"/>
        <v>1667.5881418340177</v>
      </c>
      <c r="V17" s="4"/>
      <c r="W17" s="6">
        <f t="shared" si="6"/>
        <v>1700.8757995278784</v>
      </c>
      <c r="X17" s="3"/>
      <c r="Y17" s="3"/>
      <c r="Z17" s="3"/>
      <c r="AA17" s="3"/>
      <c r="AB17" s="3"/>
      <c r="AC17" s="3"/>
      <c r="AD17" s="6"/>
      <c r="AE17" s="3"/>
      <c r="AF17" s="3"/>
      <c r="AG17" s="3"/>
      <c r="AH17" s="3"/>
    </row>
    <row r="18" spans="1:41" x14ac:dyDescent="0.25">
      <c r="A18" s="18" t="s">
        <v>69</v>
      </c>
      <c r="B18" s="3">
        <v>0</v>
      </c>
      <c r="C18" s="3" t="s">
        <v>38</v>
      </c>
      <c r="D18" s="3"/>
      <c r="E18" s="18" t="s">
        <v>73</v>
      </c>
      <c r="F18" s="3">
        <v>0</v>
      </c>
      <c r="G18" s="3" t="s">
        <v>61</v>
      </c>
      <c r="H18" s="17"/>
      <c r="I18" s="18"/>
      <c r="J18" s="3"/>
      <c r="K18" s="3"/>
      <c r="L18" s="17"/>
      <c r="M18" s="3"/>
      <c r="N18" s="13">
        <f t="shared" si="7"/>
        <v>10</v>
      </c>
      <c r="O18" s="13"/>
      <c r="P18" s="23">
        <f t="shared" si="1"/>
        <v>0</v>
      </c>
      <c r="Q18" s="24">
        <f t="shared" si="2"/>
        <v>1172.9205680156385</v>
      </c>
      <c r="R18" s="24">
        <f t="shared" si="3"/>
        <v>426.87168961427375</v>
      </c>
      <c r="S18" s="24">
        <f t="shared" si="4"/>
        <v>0</v>
      </c>
      <c r="T18" s="23">
        <f t="shared" si="5"/>
        <v>-1505.1940884964808</v>
      </c>
      <c r="U18" s="20">
        <f t="shared" si="0"/>
        <v>94.598169133431384</v>
      </c>
      <c r="V18" s="4"/>
      <c r="W18" s="6">
        <f t="shared" si="6"/>
        <v>1505.1940884964808</v>
      </c>
      <c r="X18" s="3"/>
      <c r="Y18" s="3"/>
      <c r="Z18" s="3"/>
      <c r="AA18" s="3"/>
      <c r="AB18" s="3"/>
      <c r="AC18" s="3"/>
      <c r="AD18" s="6"/>
      <c r="AE18" s="3"/>
      <c r="AF18" s="3"/>
      <c r="AG18" s="3"/>
      <c r="AH18" s="3"/>
    </row>
    <row r="19" spans="1:41" x14ac:dyDescent="0.25">
      <c r="A19" s="3"/>
      <c r="B19" s="3"/>
      <c r="C19" s="3"/>
      <c r="D19" s="3"/>
      <c r="E19" s="18" t="s">
        <v>48</v>
      </c>
      <c r="F19" s="28">
        <v>66.36</v>
      </c>
      <c r="G19" s="3" t="s">
        <v>76</v>
      </c>
      <c r="H19" s="17"/>
      <c r="I19" s="3"/>
      <c r="J19" s="3"/>
      <c r="K19" s="3"/>
      <c r="L19" s="17"/>
      <c r="M19" s="3"/>
      <c r="N19" s="13">
        <f t="shared" si="7"/>
        <v>0</v>
      </c>
      <c r="O19" s="13"/>
      <c r="P19" s="23">
        <f t="shared" si="1"/>
        <v>0</v>
      </c>
      <c r="Q19" s="24">
        <f t="shared" si="2"/>
        <v>0</v>
      </c>
      <c r="R19" s="24">
        <f t="shared" si="3"/>
        <v>0</v>
      </c>
      <c r="S19" s="24">
        <f t="shared" si="4"/>
        <v>0</v>
      </c>
      <c r="T19" s="23">
        <f t="shared" si="5"/>
        <v>0</v>
      </c>
      <c r="U19" s="20">
        <f t="shared" si="0"/>
        <v>0</v>
      </c>
      <c r="V19" s="4"/>
      <c r="W19" s="6">
        <f t="shared" si="6"/>
        <v>0</v>
      </c>
      <c r="X19" s="3"/>
      <c r="Y19" s="3"/>
      <c r="Z19" s="3"/>
      <c r="AA19" s="3"/>
      <c r="AB19" s="3"/>
      <c r="AC19" s="3"/>
      <c r="AD19" s="6"/>
      <c r="AE19" s="3"/>
      <c r="AF19" s="3"/>
      <c r="AG19" s="3"/>
      <c r="AH19" s="3"/>
    </row>
    <row r="20" spans="1:41" x14ac:dyDescent="0.25">
      <c r="A20" s="3"/>
      <c r="B20" s="3"/>
      <c r="C20" s="3"/>
      <c r="D20" s="3"/>
      <c r="E20" s="18" t="s">
        <v>77</v>
      </c>
      <c r="F20" s="3">
        <v>10</v>
      </c>
      <c r="G20" s="3" t="s">
        <v>65</v>
      </c>
      <c r="H20" s="17"/>
      <c r="I20" s="3"/>
      <c r="J20" s="3"/>
      <c r="K20" s="3"/>
      <c r="L20" s="17"/>
      <c r="M20" s="3"/>
      <c r="N20" s="13">
        <f t="shared" si="7"/>
        <v>0</v>
      </c>
      <c r="O20" s="13"/>
      <c r="P20" s="23">
        <f t="shared" si="1"/>
        <v>0</v>
      </c>
      <c r="Q20" s="24">
        <f t="shared" si="2"/>
        <v>0</v>
      </c>
      <c r="R20" s="24">
        <f t="shared" si="3"/>
        <v>0</v>
      </c>
      <c r="S20" s="24">
        <f t="shared" si="4"/>
        <v>0</v>
      </c>
      <c r="T20" s="23">
        <f t="shared" si="5"/>
        <v>0</v>
      </c>
      <c r="U20" s="20">
        <f t="shared" si="0"/>
        <v>0</v>
      </c>
      <c r="V20" s="4"/>
      <c r="W20" s="6">
        <f t="shared" si="6"/>
        <v>0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41" ht="15.75" customHeight="1" x14ac:dyDescent="0.25">
      <c r="A21" s="3"/>
      <c r="B21" s="3"/>
      <c r="C21" s="3"/>
      <c r="D21" s="3"/>
      <c r="E21" s="3"/>
      <c r="F21" s="8"/>
      <c r="G21" s="3"/>
      <c r="H21" s="17"/>
      <c r="I21" s="3"/>
      <c r="J21" s="3"/>
      <c r="K21" s="3"/>
      <c r="L21" s="17"/>
      <c r="M21" s="3"/>
      <c r="N21" s="13">
        <f t="shared" si="7"/>
        <v>0</v>
      </c>
      <c r="O21" s="13"/>
      <c r="P21" s="23">
        <f t="shared" si="1"/>
        <v>0</v>
      </c>
      <c r="Q21" s="24">
        <f t="shared" si="2"/>
        <v>0</v>
      </c>
      <c r="R21" s="24">
        <f t="shared" si="3"/>
        <v>0</v>
      </c>
      <c r="S21" s="24">
        <f t="shared" si="4"/>
        <v>0</v>
      </c>
      <c r="T21" s="23">
        <f t="shared" si="5"/>
        <v>0</v>
      </c>
      <c r="U21" s="20">
        <f t="shared" si="0"/>
        <v>0</v>
      </c>
      <c r="V21" s="4"/>
      <c r="W21" s="6">
        <f t="shared" si="6"/>
        <v>0</v>
      </c>
      <c r="X21" s="3"/>
      <c r="Y21" s="3"/>
      <c r="Z21" s="30" t="s">
        <v>126</v>
      </c>
      <c r="AA21" s="31"/>
      <c r="AB21" s="31"/>
      <c r="AC21" s="31"/>
      <c r="AD21" s="3"/>
      <c r="AE21" s="30" t="s">
        <v>28</v>
      </c>
      <c r="AF21" s="31"/>
      <c r="AG21" s="31"/>
      <c r="AH21" s="31"/>
      <c r="AJ21" s="89" t="s">
        <v>172</v>
      </c>
      <c r="AK21" s="89" t="s">
        <v>174</v>
      </c>
      <c r="AL21" s="89" t="s">
        <v>183</v>
      </c>
      <c r="AM21" s="89" t="s">
        <v>177</v>
      </c>
      <c r="AN21" s="89" t="s">
        <v>176</v>
      </c>
      <c r="AO21" s="94" t="str">
        <f>Z51</f>
        <v>Energy Efficiency</v>
      </c>
    </row>
    <row r="22" spans="1:41" ht="15.75" customHeight="1" x14ac:dyDescent="0.25">
      <c r="A22" s="3"/>
      <c r="B22" s="3"/>
      <c r="C22" s="3"/>
      <c r="D22" s="3"/>
      <c r="E22" s="3"/>
      <c r="F22" s="3"/>
      <c r="G22" s="3"/>
      <c r="H22" s="17"/>
      <c r="I22" s="3"/>
      <c r="J22" s="3"/>
      <c r="K22" s="3"/>
      <c r="L22" s="17"/>
      <c r="M22" s="3"/>
      <c r="N22" s="13">
        <f t="shared" si="7"/>
        <v>0</v>
      </c>
      <c r="O22" s="13"/>
      <c r="P22" s="23">
        <f t="shared" si="1"/>
        <v>0</v>
      </c>
      <c r="Q22" s="24">
        <f t="shared" si="2"/>
        <v>0</v>
      </c>
      <c r="R22" s="24">
        <f t="shared" si="3"/>
        <v>0</v>
      </c>
      <c r="S22" s="24">
        <f t="shared" si="4"/>
        <v>0</v>
      </c>
      <c r="T22" s="23">
        <f t="shared" si="5"/>
        <v>0</v>
      </c>
      <c r="U22" s="20">
        <f t="shared" si="0"/>
        <v>0</v>
      </c>
      <c r="V22" s="4"/>
      <c r="W22" s="6">
        <f t="shared" si="6"/>
        <v>0</v>
      </c>
      <c r="X22" s="3"/>
      <c r="Y22" s="3"/>
      <c r="Z22" s="31" t="s">
        <v>79</v>
      </c>
      <c r="AA22" s="31" t="s">
        <v>132</v>
      </c>
      <c r="AB22" s="31" t="s">
        <v>23</v>
      </c>
      <c r="AC22" s="31" t="s">
        <v>81</v>
      </c>
      <c r="AD22" s="3"/>
      <c r="AE22" s="31" t="s">
        <v>79</v>
      </c>
      <c r="AF22" s="31" t="s">
        <v>82</v>
      </c>
      <c r="AG22" s="31" t="s">
        <v>23</v>
      </c>
      <c r="AH22" s="31" t="s">
        <v>81</v>
      </c>
      <c r="AJ22" s="90">
        <v>-50</v>
      </c>
      <c r="AK22" s="91">
        <f>AH24</f>
        <v>-15.964574810588511</v>
      </c>
      <c r="AL22" s="91">
        <f>AC24</f>
        <v>-26.696761369401369</v>
      </c>
      <c r="AM22" s="92">
        <f t="shared" ref="AM22:AM32" si="8">AC39</f>
        <v>-10.195532335192413</v>
      </c>
      <c r="AN22" s="92">
        <f t="shared" ref="AN22:AN32" si="9">AH39</f>
        <v>-36.892293704593818</v>
      </c>
      <c r="AO22" s="58">
        <f>AC54</f>
        <v>26.696761369401383</v>
      </c>
    </row>
    <row r="23" spans="1:41" ht="15.75" customHeight="1" x14ac:dyDescent="0.25">
      <c r="A23" s="3"/>
      <c r="B23" s="3"/>
      <c r="C23" s="3"/>
      <c r="D23" s="3"/>
      <c r="E23" s="3"/>
      <c r="F23" s="3"/>
      <c r="G23" s="3"/>
      <c r="H23" s="17"/>
      <c r="I23" s="3"/>
      <c r="J23" s="3"/>
      <c r="K23" s="3"/>
      <c r="L23" s="17"/>
      <c r="M23" s="3"/>
      <c r="N23" s="13">
        <f t="shared" si="7"/>
        <v>0</v>
      </c>
      <c r="O23" s="13"/>
      <c r="P23" s="23">
        <f t="shared" si="1"/>
        <v>0</v>
      </c>
      <c r="Q23" s="24">
        <f t="shared" si="2"/>
        <v>0</v>
      </c>
      <c r="R23" s="24">
        <f t="shared" si="3"/>
        <v>0</v>
      </c>
      <c r="S23" s="24">
        <f t="shared" si="4"/>
        <v>0</v>
      </c>
      <c r="T23" s="23">
        <f t="shared" si="5"/>
        <v>0</v>
      </c>
      <c r="U23" s="20">
        <f t="shared" si="0"/>
        <v>0</v>
      </c>
      <c r="V23" s="4"/>
      <c r="W23" s="6">
        <f t="shared" si="6"/>
        <v>0</v>
      </c>
      <c r="X23" s="3"/>
      <c r="Y23" s="3"/>
      <c r="Z23" s="31" t="s">
        <v>133</v>
      </c>
      <c r="AA23" s="33">
        <v>1.0952380952380953</v>
      </c>
      <c r="AB23" s="34">
        <f>U49</f>
        <v>26325.992338034968</v>
      </c>
      <c r="AC23" s="31"/>
      <c r="AD23" s="3"/>
      <c r="AE23" s="31" t="s">
        <v>133</v>
      </c>
      <c r="AF23" s="35">
        <v>6951.4838709677424</v>
      </c>
      <c r="AG23" s="34">
        <f>U49</f>
        <v>26325.992338034968</v>
      </c>
      <c r="AH23" s="31"/>
      <c r="AJ23" s="90">
        <v>-40</v>
      </c>
      <c r="AK23" s="91">
        <f>AH25</f>
        <v>-12.771659848470804</v>
      </c>
      <c r="AL23" s="91">
        <f t="shared" ref="AL23:AL32" si="10">AC25</f>
        <v>-21.357409095521088</v>
      </c>
      <c r="AM23" s="92">
        <f t="shared" si="8"/>
        <v>-8.1564258681539332</v>
      </c>
      <c r="AN23" s="92">
        <f t="shared" si="9"/>
        <v>-29.513834963675063</v>
      </c>
      <c r="AO23" s="58">
        <f t="shared" ref="AO23:AO32" si="11">AC55</f>
        <v>21.357409095521113</v>
      </c>
    </row>
    <row r="24" spans="1:41" ht="15.75" customHeight="1" x14ac:dyDescent="0.25">
      <c r="A24" s="15"/>
      <c r="B24" s="3"/>
      <c r="C24" s="3"/>
      <c r="D24" s="3"/>
      <c r="E24" s="3"/>
      <c r="F24" s="3"/>
      <c r="G24" s="3"/>
      <c r="H24" s="17"/>
      <c r="I24" s="3"/>
      <c r="J24" s="3"/>
      <c r="K24" s="3"/>
      <c r="L24" s="17"/>
      <c r="M24" s="3"/>
      <c r="N24" s="13">
        <f t="shared" si="7"/>
        <v>0</v>
      </c>
      <c r="O24" s="13"/>
      <c r="P24" s="23">
        <f t="shared" si="1"/>
        <v>0</v>
      </c>
      <c r="Q24" s="24">
        <f t="shared" si="2"/>
        <v>0</v>
      </c>
      <c r="R24" s="24">
        <f t="shared" si="3"/>
        <v>0</v>
      </c>
      <c r="S24" s="24">
        <f t="shared" si="4"/>
        <v>0</v>
      </c>
      <c r="T24" s="23">
        <f t="shared" si="5"/>
        <v>0</v>
      </c>
      <c r="U24" s="20">
        <f t="shared" si="0"/>
        <v>0</v>
      </c>
      <c r="V24" s="4"/>
      <c r="W24" s="6">
        <f t="shared" si="6"/>
        <v>0</v>
      </c>
      <c r="X24" s="3"/>
      <c r="Y24" s="3"/>
      <c r="Z24" s="31">
        <f t="shared" ref="Z24:Z28" si="12">Z25-10</f>
        <v>-50</v>
      </c>
      <c r="AA24" s="33">
        <f t="shared" ref="AA24:AA34" si="13">$AA$23*(1+(Z24/100))</f>
        <v>0.54761904761904767</v>
      </c>
      <c r="AB24" s="34">
        <f t="dataTable" ref="AB24:AB34" dt2D="0" dtr="0" r1="F36"/>
        <v>19297.804985422885</v>
      </c>
      <c r="AC24" s="38">
        <f t="shared" ref="AC24:AC34" si="14">100*((AB24-$AB$29)/$AB$29)</f>
        <v>-26.696761369401369</v>
      </c>
      <c r="AD24" s="3"/>
      <c r="AE24" s="31">
        <f t="shared" ref="AE24:AE28" si="15">AE25-10</f>
        <v>-50</v>
      </c>
      <c r="AF24" s="35">
        <f t="shared" ref="AF24:AF34" si="16">$AF$23*(1+(AE24/100))</f>
        <v>3475.7419354838712</v>
      </c>
      <c r="AG24" s="34">
        <f t="dataTable" ref="AG24:AG34" dt2D="0" dtr="0" r1="B47" ca="1"/>
        <v>22123.159596599577</v>
      </c>
      <c r="AH24" s="38">
        <f t="shared" ref="AH24:AH34" si="17">100*((AG24-$AG$29)/$AG$29)</f>
        <v>-15.964574810588511</v>
      </c>
      <c r="AJ24" s="90">
        <v>-30</v>
      </c>
      <c r="AK24" s="91">
        <f t="shared" ref="AK24:AK32" si="18">AH26</f>
        <v>-9.5787448863531015</v>
      </c>
      <c r="AL24" s="91">
        <f t="shared" si="10"/>
        <v>-16.018056821640819</v>
      </c>
      <c r="AM24" s="92">
        <f t="shared" si="8"/>
        <v>-6.1173194011154663</v>
      </c>
      <c r="AN24" s="92">
        <f t="shared" si="9"/>
        <v>-22.135376222756285</v>
      </c>
      <c r="AO24" s="58">
        <f t="shared" si="11"/>
        <v>16.018056821640847</v>
      </c>
    </row>
    <row r="25" spans="1:41" ht="15.75" customHeight="1" x14ac:dyDescent="0.25">
      <c r="A25" s="15"/>
      <c r="B25" s="3"/>
      <c r="C25" s="3"/>
      <c r="D25" s="3"/>
      <c r="E25" s="3"/>
      <c r="F25" s="3"/>
      <c r="G25" s="3"/>
      <c r="H25" s="17"/>
      <c r="I25" s="3"/>
      <c r="J25" s="3"/>
      <c r="K25" s="3"/>
      <c r="L25" s="17"/>
      <c r="M25" s="3"/>
      <c r="N25" s="13">
        <f t="shared" si="7"/>
        <v>0</v>
      </c>
      <c r="O25" s="13"/>
      <c r="P25" s="23">
        <f t="shared" si="1"/>
        <v>0</v>
      </c>
      <c r="Q25" s="24">
        <f t="shared" si="2"/>
        <v>0</v>
      </c>
      <c r="R25" s="24">
        <f t="shared" si="3"/>
        <v>0</v>
      </c>
      <c r="S25" s="24">
        <f t="shared" si="4"/>
        <v>0</v>
      </c>
      <c r="T25" s="23">
        <f t="shared" si="5"/>
        <v>0</v>
      </c>
      <c r="U25" s="20">
        <f t="shared" si="0"/>
        <v>0</v>
      </c>
      <c r="V25" s="4"/>
      <c r="W25" s="6">
        <f t="shared" si="6"/>
        <v>0</v>
      </c>
      <c r="X25" s="3"/>
      <c r="Y25" s="3"/>
      <c r="Z25" s="31">
        <f t="shared" si="12"/>
        <v>-40</v>
      </c>
      <c r="AA25" s="33">
        <f t="shared" si="13"/>
        <v>0.65714285714285714</v>
      </c>
      <c r="AB25" s="34">
        <v>20703.442455945304</v>
      </c>
      <c r="AC25" s="38">
        <f t="shared" si="14"/>
        <v>-21.357409095521088</v>
      </c>
      <c r="AD25" s="3"/>
      <c r="AE25" s="31">
        <f t="shared" si="15"/>
        <v>-40</v>
      </c>
      <c r="AF25" s="35">
        <f t="shared" si="16"/>
        <v>4170.8903225806453</v>
      </c>
      <c r="AG25" s="34">
        <v>22963.726144886656</v>
      </c>
      <c r="AH25" s="38">
        <f t="shared" si="17"/>
        <v>-12.771659848470804</v>
      </c>
      <c r="AJ25" s="90">
        <v>-20</v>
      </c>
      <c r="AK25" s="91">
        <f t="shared" si="18"/>
        <v>-6.3858299242353951</v>
      </c>
      <c r="AL25" s="91">
        <f t="shared" si="10"/>
        <v>-10.678704547760537</v>
      </c>
      <c r="AM25" s="92">
        <f t="shared" si="8"/>
        <v>-4.0782129340769728</v>
      </c>
      <c r="AN25" s="92">
        <f t="shared" si="9"/>
        <v>-14.756917481837522</v>
      </c>
      <c r="AO25" s="58">
        <f t="shared" si="11"/>
        <v>10.678704547760564</v>
      </c>
    </row>
    <row r="26" spans="1:41" ht="15.75" customHeight="1" x14ac:dyDescent="0.25">
      <c r="A26" s="40"/>
      <c r="B26" s="41"/>
      <c r="C26" s="41"/>
      <c r="D26" s="41"/>
      <c r="E26" s="41"/>
      <c r="F26" s="41"/>
      <c r="G26" s="41"/>
      <c r="H26" s="42"/>
      <c r="I26" s="41"/>
      <c r="J26" s="41"/>
      <c r="K26" s="41"/>
      <c r="L26" s="42"/>
      <c r="M26" s="3"/>
      <c r="N26" s="13">
        <f t="shared" si="7"/>
        <v>0</v>
      </c>
      <c r="O26" s="13"/>
      <c r="P26" s="23">
        <f t="shared" si="1"/>
        <v>0</v>
      </c>
      <c r="Q26" s="24">
        <f t="shared" si="2"/>
        <v>0</v>
      </c>
      <c r="R26" s="24">
        <f t="shared" si="3"/>
        <v>0</v>
      </c>
      <c r="S26" s="24">
        <f t="shared" si="4"/>
        <v>0</v>
      </c>
      <c r="T26" s="23">
        <f t="shared" si="5"/>
        <v>0</v>
      </c>
      <c r="U26" s="20">
        <f t="shared" si="0"/>
        <v>0</v>
      </c>
      <c r="V26" s="4"/>
      <c r="W26" s="6">
        <f t="shared" si="6"/>
        <v>0</v>
      </c>
      <c r="X26" s="3"/>
      <c r="Y26" s="3"/>
      <c r="Z26" s="31">
        <f t="shared" si="12"/>
        <v>-30</v>
      </c>
      <c r="AA26" s="33">
        <f t="shared" si="13"/>
        <v>0.76666666666666672</v>
      </c>
      <c r="AB26" s="34">
        <v>22109.079926467719</v>
      </c>
      <c r="AC26" s="38">
        <f t="shared" si="14"/>
        <v>-16.018056821640819</v>
      </c>
      <c r="AD26" s="3"/>
      <c r="AE26" s="31">
        <f t="shared" si="15"/>
        <v>-30</v>
      </c>
      <c r="AF26" s="35">
        <f t="shared" si="16"/>
        <v>4866.0387096774193</v>
      </c>
      <c r="AG26" s="34">
        <v>23804.292693173735</v>
      </c>
      <c r="AH26" s="38">
        <f t="shared" si="17"/>
        <v>-9.5787448863531015</v>
      </c>
      <c r="AJ26" s="90">
        <v>-10</v>
      </c>
      <c r="AK26" s="91">
        <f t="shared" si="18"/>
        <v>-3.1929149621176913</v>
      </c>
      <c r="AL26" s="91">
        <f t="shared" si="10"/>
        <v>-5.3393522738802686</v>
      </c>
      <c r="AM26" s="92">
        <f t="shared" si="8"/>
        <v>-2.0391064670384935</v>
      </c>
      <c r="AN26" s="92">
        <f t="shared" si="9"/>
        <v>-7.378458740918747</v>
      </c>
      <c r="AO26" s="58">
        <f t="shared" si="11"/>
        <v>5.3393522738802952</v>
      </c>
    </row>
    <row r="27" spans="1:41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6"/>
      <c r="K27" s="3"/>
      <c r="L27" s="3"/>
      <c r="M27" s="3"/>
      <c r="N27" s="13">
        <f t="shared" si="7"/>
        <v>0</v>
      </c>
      <c r="O27" s="13"/>
      <c r="P27" s="23">
        <f t="shared" si="1"/>
        <v>0</v>
      </c>
      <c r="Q27" s="24">
        <f t="shared" si="2"/>
        <v>0</v>
      </c>
      <c r="R27" s="24">
        <f t="shared" si="3"/>
        <v>0</v>
      </c>
      <c r="S27" s="24">
        <f t="shared" si="4"/>
        <v>0</v>
      </c>
      <c r="T27" s="23">
        <f t="shared" si="5"/>
        <v>0</v>
      </c>
      <c r="U27" s="20">
        <f t="shared" si="0"/>
        <v>0</v>
      </c>
      <c r="V27" s="4"/>
      <c r="W27" s="6">
        <f t="shared" si="6"/>
        <v>0</v>
      </c>
      <c r="X27" s="3"/>
      <c r="Y27" s="3"/>
      <c r="Z27" s="31">
        <f t="shared" si="12"/>
        <v>-20</v>
      </c>
      <c r="AA27" s="33">
        <f t="shared" si="13"/>
        <v>0.8761904761904763</v>
      </c>
      <c r="AB27" s="34">
        <v>23514.717396990138</v>
      </c>
      <c r="AC27" s="38">
        <f t="shared" si="14"/>
        <v>-10.678704547760537</v>
      </c>
      <c r="AD27" s="3"/>
      <c r="AE27" s="31">
        <f t="shared" si="15"/>
        <v>-20</v>
      </c>
      <c r="AF27" s="35">
        <f t="shared" si="16"/>
        <v>5561.1870967741943</v>
      </c>
      <c r="AG27" s="34">
        <v>24644.859241460814</v>
      </c>
      <c r="AH27" s="38">
        <f t="shared" si="17"/>
        <v>-6.3858299242353951</v>
      </c>
      <c r="AJ27" s="90">
        <v>0</v>
      </c>
      <c r="AK27" s="91">
        <f t="shared" si="18"/>
        <v>0</v>
      </c>
      <c r="AL27" s="91">
        <f t="shared" si="10"/>
        <v>0</v>
      </c>
      <c r="AM27" s="92">
        <f t="shared" si="8"/>
        <v>0</v>
      </c>
      <c r="AN27" s="92">
        <f t="shared" si="9"/>
        <v>0</v>
      </c>
      <c r="AO27" s="58">
        <f t="shared" si="11"/>
        <v>0</v>
      </c>
    </row>
    <row r="28" spans="1:41" ht="15.75" customHeight="1" x14ac:dyDescent="0.25">
      <c r="A28" s="2" t="s">
        <v>87</v>
      </c>
      <c r="B28" s="3"/>
      <c r="C28" s="3"/>
      <c r="D28" s="3"/>
      <c r="E28" s="3"/>
      <c r="F28" s="3"/>
      <c r="G28" s="3"/>
      <c r="H28" s="3"/>
      <c r="I28" s="3"/>
      <c r="J28" s="6"/>
      <c r="K28" s="3"/>
      <c r="L28" s="3"/>
      <c r="M28" s="3"/>
      <c r="N28" s="13">
        <f t="shared" si="7"/>
        <v>0</v>
      </c>
      <c r="O28" s="13"/>
      <c r="P28" s="23">
        <f t="shared" si="1"/>
        <v>0</v>
      </c>
      <c r="Q28" s="24">
        <f t="shared" si="2"/>
        <v>0</v>
      </c>
      <c r="R28" s="24">
        <f t="shared" si="3"/>
        <v>0</v>
      </c>
      <c r="S28" s="24">
        <f t="shared" si="4"/>
        <v>0</v>
      </c>
      <c r="T28" s="23">
        <f t="shared" si="5"/>
        <v>0</v>
      </c>
      <c r="U28" s="20">
        <f t="shared" si="0"/>
        <v>0</v>
      </c>
      <c r="V28" s="4"/>
      <c r="W28" s="6">
        <f t="shared" si="6"/>
        <v>0</v>
      </c>
      <c r="X28" s="3"/>
      <c r="Y28" s="3"/>
      <c r="Z28" s="31">
        <f t="shared" si="12"/>
        <v>-10</v>
      </c>
      <c r="AA28" s="33">
        <f t="shared" si="13"/>
        <v>0.98571428571428588</v>
      </c>
      <c r="AB28" s="34">
        <v>24920.354867512553</v>
      </c>
      <c r="AC28" s="38">
        <f t="shared" si="14"/>
        <v>-5.3393522738802686</v>
      </c>
      <c r="AD28" s="3"/>
      <c r="AE28" s="31">
        <f t="shared" si="15"/>
        <v>-10</v>
      </c>
      <c r="AF28" s="35">
        <f t="shared" si="16"/>
        <v>6256.3354838709683</v>
      </c>
      <c r="AG28" s="34">
        <v>25485.425789747893</v>
      </c>
      <c r="AH28" s="38">
        <f t="shared" si="17"/>
        <v>-3.1929149621176913</v>
      </c>
      <c r="AJ28" s="90">
        <v>10</v>
      </c>
      <c r="AK28" s="91">
        <f t="shared" si="18"/>
        <v>3.1929149621177184</v>
      </c>
      <c r="AL28" s="91">
        <f t="shared" si="10"/>
        <v>5.3393522738802952</v>
      </c>
      <c r="AM28" s="92">
        <f t="shared" si="8"/>
        <v>2.0391064670384935</v>
      </c>
      <c r="AN28" s="92">
        <f t="shared" si="9"/>
        <v>7.3784587409187754</v>
      </c>
      <c r="AO28" s="58">
        <f t="shared" si="11"/>
        <v>-5.3393522738802686</v>
      </c>
    </row>
    <row r="29" spans="1:41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6"/>
      <c r="K29" s="3"/>
      <c r="L29" s="3"/>
      <c r="M29" s="3"/>
      <c r="N29" s="13">
        <f t="shared" si="7"/>
        <v>0</v>
      </c>
      <c r="O29" s="13"/>
      <c r="P29" s="23">
        <f t="shared" si="1"/>
        <v>0</v>
      </c>
      <c r="Q29" s="24">
        <f t="shared" si="2"/>
        <v>0</v>
      </c>
      <c r="R29" s="24">
        <f t="shared" si="3"/>
        <v>0</v>
      </c>
      <c r="S29" s="24">
        <f t="shared" si="4"/>
        <v>0</v>
      </c>
      <c r="T29" s="23">
        <f t="shared" si="5"/>
        <v>0</v>
      </c>
      <c r="U29" s="20">
        <f t="shared" si="0"/>
        <v>0</v>
      </c>
      <c r="V29" s="4"/>
      <c r="W29" s="6">
        <f t="shared" si="6"/>
        <v>0</v>
      </c>
      <c r="X29" s="3"/>
      <c r="Y29" s="3"/>
      <c r="Z29" s="43">
        <v>0</v>
      </c>
      <c r="AA29" s="44">
        <f t="shared" si="13"/>
        <v>1.0952380952380953</v>
      </c>
      <c r="AB29" s="45">
        <v>26325.992338034968</v>
      </c>
      <c r="AC29" s="46">
        <f t="shared" si="14"/>
        <v>0</v>
      </c>
      <c r="AD29" s="3"/>
      <c r="AE29" s="43">
        <v>0</v>
      </c>
      <c r="AF29" s="47">
        <f t="shared" si="16"/>
        <v>6951.4838709677424</v>
      </c>
      <c r="AG29" s="45">
        <v>26325.992338034968</v>
      </c>
      <c r="AH29" s="46">
        <f t="shared" si="17"/>
        <v>0</v>
      </c>
      <c r="AJ29" s="90">
        <v>20</v>
      </c>
      <c r="AK29" s="91">
        <f t="shared" si="18"/>
        <v>6.3858299242354093</v>
      </c>
      <c r="AL29" s="91">
        <f t="shared" si="10"/>
        <v>10.678704547760564</v>
      </c>
      <c r="AM29" s="92">
        <f t="shared" si="8"/>
        <v>4.0782129340769595</v>
      </c>
      <c r="AN29" s="92">
        <f t="shared" si="9"/>
        <v>14.756917481837537</v>
      </c>
      <c r="AO29" s="58">
        <f t="shared" si="11"/>
        <v>-10.678704547760537</v>
      </c>
    </row>
    <row r="30" spans="1:41" ht="15.75" customHeight="1" x14ac:dyDescent="0.25">
      <c r="A30" s="9" t="s">
        <v>88</v>
      </c>
      <c r="B30" s="10"/>
      <c r="C30" s="10"/>
      <c r="D30" s="10"/>
      <c r="E30" s="12" t="s">
        <v>89</v>
      </c>
      <c r="F30" s="10"/>
      <c r="G30" s="10"/>
      <c r="H30" s="10"/>
      <c r="I30" s="12"/>
      <c r="J30" s="48"/>
      <c r="K30" s="10"/>
      <c r="L30" s="11"/>
      <c r="M30" s="3"/>
      <c r="N30" s="13">
        <f t="shared" si="7"/>
        <v>0</v>
      </c>
      <c r="O30" s="13"/>
      <c r="P30" s="23">
        <f t="shared" si="1"/>
        <v>0</v>
      </c>
      <c r="Q30" s="24">
        <f t="shared" si="2"/>
        <v>0</v>
      </c>
      <c r="R30" s="24">
        <f t="shared" si="3"/>
        <v>0</v>
      </c>
      <c r="S30" s="24">
        <f t="shared" si="4"/>
        <v>0</v>
      </c>
      <c r="T30" s="23">
        <f t="shared" si="5"/>
        <v>0</v>
      </c>
      <c r="U30" s="20">
        <f t="shared" si="0"/>
        <v>0</v>
      </c>
      <c r="V30" s="4"/>
      <c r="W30" s="6">
        <f t="shared" si="6"/>
        <v>0</v>
      </c>
      <c r="X30" s="3"/>
      <c r="Y30" s="3"/>
      <c r="Z30" s="31">
        <f t="shared" ref="Z30:Z34" si="19">Z29+10</f>
        <v>10</v>
      </c>
      <c r="AA30" s="33">
        <f t="shared" si="13"/>
        <v>1.2047619047619049</v>
      </c>
      <c r="AB30" s="34">
        <v>27731.629808557391</v>
      </c>
      <c r="AC30" s="38">
        <f t="shared" si="14"/>
        <v>5.3393522738802952</v>
      </c>
      <c r="AD30" s="3"/>
      <c r="AE30" s="31">
        <f t="shared" ref="AE30:AE34" si="20">AE29+10</f>
        <v>10</v>
      </c>
      <c r="AF30" s="35">
        <f t="shared" si="16"/>
        <v>7646.6322580645174</v>
      </c>
      <c r="AG30" s="34">
        <v>27166.558886322051</v>
      </c>
      <c r="AH30" s="38">
        <f t="shared" si="17"/>
        <v>3.1929149621177184</v>
      </c>
      <c r="AJ30" s="90">
        <v>30</v>
      </c>
      <c r="AK30" s="91">
        <f t="shared" si="18"/>
        <v>9.5787448863531139</v>
      </c>
      <c r="AL30" s="91">
        <f t="shared" si="10"/>
        <v>16.018056821640847</v>
      </c>
      <c r="AM30" s="92">
        <f t="shared" si="8"/>
        <v>6.1173194011154948</v>
      </c>
      <c r="AN30" s="92">
        <f t="shared" si="9"/>
        <v>22.1353762227563</v>
      </c>
      <c r="AO30" s="58">
        <f t="shared" si="11"/>
        <v>-16.018056821640819</v>
      </c>
    </row>
    <row r="31" spans="1:41" ht="15.75" customHeight="1" x14ac:dyDescent="0.25">
      <c r="A31" s="27" t="s">
        <v>141</v>
      </c>
      <c r="B31" s="6">
        <f t="shared" ref="B31:B32" si="21">IF(B11=0,0,-(B11/100)*$B$45)</f>
        <v>-695.14838709677429</v>
      </c>
      <c r="C31" s="3" t="s">
        <v>3</v>
      </c>
      <c r="D31" s="3"/>
      <c r="E31" s="18" t="s">
        <v>91</v>
      </c>
      <c r="F31" s="26">
        <f>(J16/100)*B47</f>
        <v>2085.4451612903226</v>
      </c>
      <c r="G31" s="3" t="s">
        <v>3</v>
      </c>
      <c r="H31" s="3"/>
      <c r="I31" s="2" t="s">
        <v>100</v>
      </c>
      <c r="J31" s="49">
        <f>SUM(J32:J35)</f>
        <v>695.3290015360983</v>
      </c>
      <c r="K31" s="2" t="s">
        <v>49</v>
      </c>
      <c r="L31" s="17"/>
      <c r="M31" s="3"/>
      <c r="N31" s="13">
        <f t="shared" si="7"/>
        <v>0</v>
      </c>
      <c r="O31" s="13"/>
      <c r="P31" s="23">
        <f t="shared" si="1"/>
        <v>0</v>
      </c>
      <c r="Q31" s="24">
        <f t="shared" si="2"/>
        <v>0</v>
      </c>
      <c r="R31" s="24">
        <f t="shared" si="3"/>
        <v>0</v>
      </c>
      <c r="S31" s="24">
        <f t="shared" si="4"/>
        <v>0</v>
      </c>
      <c r="T31" s="23">
        <f t="shared" si="5"/>
        <v>0</v>
      </c>
      <c r="U31" s="20">
        <f t="shared" si="0"/>
        <v>0</v>
      </c>
      <c r="V31" s="4"/>
      <c r="W31" s="6">
        <f t="shared" si="6"/>
        <v>0</v>
      </c>
      <c r="X31" s="3"/>
      <c r="Y31" s="3"/>
      <c r="Z31" s="31">
        <f t="shared" si="19"/>
        <v>20</v>
      </c>
      <c r="AA31" s="33">
        <f t="shared" si="13"/>
        <v>1.3142857142857143</v>
      </c>
      <c r="AB31" s="34">
        <v>29137.267279079806</v>
      </c>
      <c r="AC31" s="38">
        <f t="shared" si="14"/>
        <v>10.678704547760564</v>
      </c>
      <c r="AD31" s="3"/>
      <c r="AE31" s="31">
        <f t="shared" si="20"/>
        <v>20</v>
      </c>
      <c r="AF31" s="35">
        <f t="shared" si="16"/>
        <v>8341.7806451612905</v>
      </c>
      <c r="AG31" s="34">
        <v>28007.125434609126</v>
      </c>
      <c r="AH31" s="38">
        <f t="shared" si="17"/>
        <v>6.3858299242354093</v>
      </c>
      <c r="AJ31" s="90">
        <v>40</v>
      </c>
      <c r="AK31" s="91">
        <f t="shared" si="18"/>
        <v>12.771659848470819</v>
      </c>
      <c r="AL31" s="91">
        <f t="shared" si="10"/>
        <v>21.357409095521113</v>
      </c>
      <c r="AM31" s="92">
        <f t="shared" si="8"/>
        <v>8.1564258681539599</v>
      </c>
      <c r="AN31" s="92">
        <f t="shared" si="9"/>
        <v>29.513834963675034</v>
      </c>
      <c r="AO31" s="58">
        <f t="shared" si="11"/>
        <v>-21.357409095521088</v>
      </c>
    </row>
    <row r="32" spans="1:41" ht="15.75" customHeight="1" x14ac:dyDescent="0.25">
      <c r="A32" s="3" t="s">
        <v>44</v>
      </c>
      <c r="B32" s="6">
        <f t="shared" si="21"/>
        <v>0</v>
      </c>
      <c r="C32" s="3" t="s">
        <v>3</v>
      </c>
      <c r="D32" s="3"/>
      <c r="E32" s="18" t="s">
        <v>93</v>
      </c>
      <c r="F32" s="6">
        <f>B47-F31</f>
        <v>4866.0387096774193</v>
      </c>
      <c r="G32" s="3" t="s">
        <v>3</v>
      </c>
      <c r="H32" s="3"/>
      <c r="I32" s="18" t="s">
        <v>167</v>
      </c>
      <c r="J32" s="28">
        <f>((F15/100)*B44)/$B$8</f>
        <v>0.12652534562211984</v>
      </c>
      <c r="K32" s="3" t="s">
        <v>49</v>
      </c>
      <c r="L32" s="17"/>
      <c r="M32" s="3"/>
      <c r="N32" s="13">
        <f t="shared" si="7"/>
        <v>0</v>
      </c>
      <c r="O32" s="13"/>
      <c r="P32" s="23">
        <f t="shared" si="1"/>
        <v>0</v>
      </c>
      <c r="Q32" s="24">
        <f t="shared" si="2"/>
        <v>0</v>
      </c>
      <c r="R32" s="24">
        <f t="shared" si="3"/>
        <v>0</v>
      </c>
      <c r="S32" s="24">
        <f t="shared" si="4"/>
        <v>0</v>
      </c>
      <c r="T32" s="23">
        <f t="shared" si="5"/>
        <v>0</v>
      </c>
      <c r="U32" s="20">
        <f t="shared" si="0"/>
        <v>0</v>
      </c>
      <c r="V32" s="4"/>
      <c r="W32" s="6">
        <f t="shared" si="6"/>
        <v>0</v>
      </c>
      <c r="X32" s="3"/>
      <c r="Y32" s="3"/>
      <c r="Z32" s="31">
        <f t="shared" si="19"/>
        <v>30</v>
      </c>
      <c r="AA32" s="33">
        <f t="shared" si="13"/>
        <v>1.4238095238095241</v>
      </c>
      <c r="AB32" s="34">
        <v>30542.904749602225</v>
      </c>
      <c r="AC32" s="38">
        <f t="shared" si="14"/>
        <v>16.018056821640847</v>
      </c>
      <c r="AD32" s="3"/>
      <c r="AE32" s="31">
        <f t="shared" si="20"/>
        <v>30</v>
      </c>
      <c r="AF32" s="35">
        <f t="shared" si="16"/>
        <v>9036.9290322580655</v>
      </c>
      <c r="AG32" s="34">
        <v>28847.691982896205</v>
      </c>
      <c r="AH32" s="38">
        <f t="shared" si="17"/>
        <v>9.5787448863531139</v>
      </c>
      <c r="AJ32" s="90">
        <v>50</v>
      </c>
      <c r="AK32" s="91">
        <f t="shared" si="18"/>
        <v>15.964574810588525</v>
      </c>
      <c r="AL32" s="91">
        <f t="shared" si="10"/>
        <v>26.696761369401383</v>
      </c>
      <c r="AM32" s="92">
        <f t="shared" si="8"/>
        <v>10.195532335192453</v>
      </c>
      <c r="AN32" s="92">
        <f t="shared" si="9"/>
        <v>36.892293704593847</v>
      </c>
      <c r="AO32" s="58">
        <f t="shared" si="11"/>
        <v>-26.696761369401369</v>
      </c>
    </row>
    <row r="33" spans="1:34" ht="15.75" customHeight="1" x14ac:dyDescent="0.25">
      <c r="A33" s="3" t="s">
        <v>50</v>
      </c>
      <c r="B33" s="6">
        <f>IF(B13=0,0,(B13/100)*$B$44)</f>
        <v>255.48387096774195</v>
      </c>
      <c r="C33" s="3" t="s">
        <v>3</v>
      </c>
      <c r="D33" s="3"/>
      <c r="E33" s="18" t="s">
        <v>94</v>
      </c>
      <c r="F33" s="26">
        <f>F32*(F20/100)*J15</f>
        <v>2433.0193548387097</v>
      </c>
      <c r="G33" s="3" t="s">
        <v>3</v>
      </c>
      <c r="H33" s="3"/>
      <c r="I33" s="18" t="s">
        <v>73</v>
      </c>
      <c r="J33" s="28">
        <f>F18/$B$8</f>
        <v>0</v>
      </c>
      <c r="K33" s="3" t="s">
        <v>49</v>
      </c>
      <c r="L33" s="17"/>
      <c r="M33" s="3"/>
      <c r="N33" s="13">
        <f t="shared" si="7"/>
        <v>0</v>
      </c>
      <c r="O33" s="13"/>
      <c r="P33" s="23">
        <f t="shared" si="1"/>
        <v>0</v>
      </c>
      <c r="Q33" s="24">
        <f t="shared" si="2"/>
        <v>0</v>
      </c>
      <c r="R33" s="24">
        <f t="shared" si="3"/>
        <v>0</v>
      </c>
      <c r="S33" s="24">
        <f t="shared" si="4"/>
        <v>0</v>
      </c>
      <c r="T33" s="23">
        <f t="shared" si="5"/>
        <v>0</v>
      </c>
      <c r="U33" s="20">
        <f t="shared" si="0"/>
        <v>0</v>
      </c>
      <c r="V33" s="4"/>
      <c r="W33" s="6">
        <f t="shared" si="6"/>
        <v>0</v>
      </c>
      <c r="X33" s="3"/>
      <c r="Y33" s="3"/>
      <c r="Z33" s="31">
        <f t="shared" si="19"/>
        <v>40</v>
      </c>
      <c r="AA33" s="33">
        <f t="shared" si="13"/>
        <v>1.5333333333333334</v>
      </c>
      <c r="AB33" s="34">
        <v>31948.54222012464</v>
      </c>
      <c r="AC33" s="38">
        <f t="shared" si="14"/>
        <v>21.357409095521113</v>
      </c>
      <c r="AD33" s="3"/>
      <c r="AE33" s="31">
        <f t="shared" si="20"/>
        <v>40</v>
      </c>
      <c r="AF33" s="35">
        <f t="shared" si="16"/>
        <v>9732.0774193548386</v>
      </c>
      <c r="AG33" s="34">
        <v>29688.258531183285</v>
      </c>
      <c r="AH33" s="38">
        <f t="shared" si="17"/>
        <v>12.771659848470819</v>
      </c>
    </row>
    <row r="34" spans="1:34" ht="15.75" customHeight="1" x14ac:dyDescent="0.25">
      <c r="A34" s="3" t="s">
        <v>54</v>
      </c>
      <c r="B34" s="6">
        <f>IF(B14=0,0,(B14/100)*$B$43)</f>
        <v>232.25806451612902</v>
      </c>
      <c r="C34" s="3" t="s">
        <v>3</v>
      </c>
      <c r="D34" s="3"/>
      <c r="E34" s="3"/>
      <c r="F34" s="7"/>
      <c r="G34" s="3"/>
      <c r="H34" s="3"/>
      <c r="I34" s="18" t="s">
        <v>105</v>
      </c>
      <c r="J34" s="28">
        <f>F15/$B$8</f>
        <v>2.4761904761904764E-3</v>
      </c>
      <c r="K34" s="3" t="s">
        <v>49</v>
      </c>
      <c r="L34" s="17"/>
      <c r="M34" s="3"/>
      <c r="N34" s="13">
        <f t="shared" si="7"/>
        <v>0</v>
      </c>
      <c r="O34" s="13"/>
      <c r="P34" s="23">
        <f t="shared" si="1"/>
        <v>0</v>
      </c>
      <c r="Q34" s="24">
        <f t="shared" si="2"/>
        <v>0</v>
      </c>
      <c r="R34" s="24">
        <f t="shared" si="3"/>
        <v>0</v>
      </c>
      <c r="S34" s="24">
        <f t="shared" si="4"/>
        <v>0</v>
      </c>
      <c r="T34" s="23">
        <f t="shared" si="5"/>
        <v>0</v>
      </c>
      <c r="U34" s="20">
        <f t="shared" si="0"/>
        <v>0</v>
      </c>
      <c r="V34" s="4"/>
      <c r="W34" s="6">
        <f t="shared" si="6"/>
        <v>0</v>
      </c>
      <c r="X34" s="3"/>
      <c r="Y34" s="3"/>
      <c r="Z34" s="31">
        <f t="shared" si="19"/>
        <v>50</v>
      </c>
      <c r="AA34" s="33">
        <f t="shared" si="13"/>
        <v>1.642857142857143</v>
      </c>
      <c r="AB34" s="34">
        <v>33354.179690647055</v>
      </c>
      <c r="AC34" s="38">
        <f t="shared" si="14"/>
        <v>26.696761369401383</v>
      </c>
      <c r="AD34" s="3"/>
      <c r="AE34" s="31">
        <f t="shared" si="20"/>
        <v>50</v>
      </c>
      <c r="AF34" s="35">
        <f t="shared" si="16"/>
        <v>10427.225806451614</v>
      </c>
      <c r="AG34" s="34">
        <v>30528.825079470364</v>
      </c>
      <c r="AH34" s="38">
        <f t="shared" si="17"/>
        <v>15.964574810588525</v>
      </c>
    </row>
    <row r="35" spans="1:34" ht="15.75" customHeight="1" x14ac:dyDescent="0.25">
      <c r="A35" s="3" t="s">
        <v>59</v>
      </c>
      <c r="B35" s="6">
        <f t="shared" ref="B35:B38" si="22">IF(B15=0,0,(B15/100)*$B$44)</f>
        <v>1277.4193548387098</v>
      </c>
      <c r="C35" s="3" t="s">
        <v>3</v>
      </c>
      <c r="D35" s="3"/>
      <c r="E35" s="2" t="s">
        <v>97</v>
      </c>
      <c r="F35" s="3"/>
      <c r="G35" s="3"/>
      <c r="H35" s="3"/>
      <c r="I35" s="18" t="s">
        <v>48</v>
      </c>
      <c r="J35" s="22">
        <f>F19*F12/$B$8</f>
        <v>695.2</v>
      </c>
      <c r="K35" s="3" t="s">
        <v>49</v>
      </c>
      <c r="L35" s="17"/>
      <c r="M35" s="3"/>
      <c r="N35" s="13">
        <f t="shared" si="7"/>
        <v>0</v>
      </c>
      <c r="O35" s="13"/>
      <c r="P35" s="23">
        <f t="shared" si="1"/>
        <v>0</v>
      </c>
      <c r="Q35" s="24">
        <f t="shared" si="2"/>
        <v>0</v>
      </c>
      <c r="R35" s="24">
        <f t="shared" si="3"/>
        <v>0</v>
      </c>
      <c r="S35" s="24">
        <f t="shared" si="4"/>
        <v>0</v>
      </c>
      <c r="T35" s="23">
        <f t="shared" si="5"/>
        <v>0</v>
      </c>
      <c r="U35" s="20">
        <f t="shared" si="0"/>
        <v>0</v>
      </c>
      <c r="V35" s="4"/>
      <c r="W35" s="6">
        <f t="shared" si="6"/>
        <v>0</v>
      </c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15.75" customHeight="1" x14ac:dyDescent="0.25">
      <c r="A36" s="27" t="s">
        <v>63</v>
      </c>
      <c r="B36" s="6">
        <f t="shared" si="22"/>
        <v>25.548387096774196</v>
      </c>
      <c r="C36" s="3" t="s">
        <v>3</v>
      </c>
      <c r="D36" s="3"/>
      <c r="E36" s="18" t="s">
        <v>163</v>
      </c>
      <c r="F36" s="28">
        <f>F13/$B$8</f>
        <v>1.0952380952380953</v>
      </c>
      <c r="G36" s="3" t="s">
        <v>127</v>
      </c>
      <c r="H36" s="3"/>
      <c r="I36" s="76"/>
      <c r="J36" s="76"/>
      <c r="K36" s="76"/>
      <c r="L36" s="17"/>
      <c r="M36" s="3"/>
      <c r="N36" s="13">
        <f t="shared" si="7"/>
        <v>0</v>
      </c>
      <c r="O36" s="13"/>
      <c r="P36" s="23">
        <f t="shared" si="1"/>
        <v>0</v>
      </c>
      <c r="Q36" s="24">
        <f t="shared" si="2"/>
        <v>0</v>
      </c>
      <c r="R36" s="24">
        <f t="shared" si="3"/>
        <v>0</v>
      </c>
      <c r="S36" s="24">
        <f t="shared" si="4"/>
        <v>0</v>
      </c>
      <c r="T36" s="23">
        <f t="shared" si="5"/>
        <v>0</v>
      </c>
      <c r="U36" s="20">
        <f t="shared" si="0"/>
        <v>0</v>
      </c>
      <c r="V36" s="4"/>
      <c r="W36" s="6">
        <f t="shared" si="6"/>
        <v>0</v>
      </c>
      <c r="X36" s="3"/>
      <c r="Y36" s="3"/>
      <c r="Z36" s="30" t="s">
        <v>48</v>
      </c>
      <c r="AA36" s="31"/>
      <c r="AB36" s="31"/>
      <c r="AC36" s="31"/>
      <c r="AD36" s="3"/>
      <c r="AE36" s="30" t="s">
        <v>98</v>
      </c>
      <c r="AF36" s="31"/>
      <c r="AG36" s="31"/>
      <c r="AH36" s="31"/>
    </row>
    <row r="37" spans="1:34" ht="15.75" customHeight="1" x14ac:dyDescent="0.25">
      <c r="A37" s="27" t="s">
        <v>168</v>
      </c>
      <c r="B37" s="6">
        <f t="shared" si="22"/>
        <v>51.096774193548391</v>
      </c>
      <c r="C37" s="3" t="s">
        <v>3</v>
      </c>
      <c r="D37" s="3"/>
      <c r="E37" s="18" t="s">
        <v>164</v>
      </c>
      <c r="F37" s="50">
        <f>F36*J10</f>
        <v>7.9404761904761909E-2</v>
      </c>
      <c r="G37" s="3" t="s">
        <v>4</v>
      </c>
      <c r="H37" s="3"/>
      <c r="I37" s="3"/>
      <c r="J37" s="3"/>
      <c r="K37" s="3"/>
      <c r="L37" s="17"/>
      <c r="M37" s="3"/>
      <c r="N37" s="13">
        <f t="shared" si="7"/>
        <v>0</v>
      </c>
      <c r="O37" s="13"/>
      <c r="P37" s="23">
        <f t="shared" si="1"/>
        <v>0</v>
      </c>
      <c r="Q37" s="24">
        <f t="shared" si="2"/>
        <v>0</v>
      </c>
      <c r="R37" s="24">
        <f t="shared" si="3"/>
        <v>0</v>
      </c>
      <c r="S37" s="24">
        <f t="shared" si="4"/>
        <v>0</v>
      </c>
      <c r="T37" s="23">
        <f t="shared" si="5"/>
        <v>0</v>
      </c>
      <c r="U37" s="20">
        <f t="shared" si="0"/>
        <v>0</v>
      </c>
      <c r="V37" s="4"/>
      <c r="W37" s="6">
        <f t="shared" si="6"/>
        <v>0</v>
      </c>
      <c r="X37" s="3"/>
      <c r="Y37" s="3"/>
      <c r="Z37" s="31" t="s">
        <v>79</v>
      </c>
      <c r="AA37" s="31" t="s">
        <v>134</v>
      </c>
      <c r="AB37" s="31" t="s">
        <v>23</v>
      </c>
      <c r="AC37" s="31" t="s">
        <v>81</v>
      </c>
      <c r="AD37" s="3"/>
      <c r="AE37" s="31" t="s">
        <v>79</v>
      </c>
      <c r="AF37" s="31" t="s">
        <v>102</v>
      </c>
      <c r="AG37" s="31" t="s">
        <v>23</v>
      </c>
      <c r="AH37" s="31" t="s">
        <v>81</v>
      </c>
    </row>
    <row r="38" spans="1:34" ht="15.75" customHeight="1" x14ac:dyDescent="0.25">
      <c r="A38" s="18" t="s">
        <v>69</v>
      </c>
      <c r="B38" s="6">
        <f t="shared" si="22"/>
        <v>0</v>
      </c>
      <c r="C38" s="3" t="s">
        <v>3</v>
      </c>
      <c r="D38" s="3"/>
      <c r="E38" s="18" t="s">
        <v>135</v>
      </c>
      <c r="F38" s="7">
        <f>F37*F12</f>
        <v>1746.9047619047619</v>
      </c>
      <c r="G38" s="1" t="s">
        <v>49</v>
      </c>
      <c r="H38" s="3"/>
      <c r="I38" s="3"/>
      <c r="J38" s="3"/>
      <c r="K38" s="3"/>
      <c r="L38" s="17"/>
      <c r="M38" s="3"/>
      <c r="N38" s="13">
        <f t="shared" si="7"/>
        <v>0</v>
      </c>
      <c r="O38" s="13"/>
      <c r="P38" s="23">
        <f t="shared" si="1"/>
        <v>0</v>
      </c>
      <c r="Q38" s="24">
        <f t="shared" si="2"/>
        <v>0</v>
      </c>
      <c r="R38" s="24">
        <f t="shared" si="3"/>
        <v>0</v>
      </c>
      <c r="S38" s="24">
        <f t="shared" si="4"/>
        <v>0</v>
      </c>
      <c r="T38" s="23">
        <f t="shared" si="5"/>
        <v>0</v>
      </c>
      <c r="U38" s="20">
        <f t="shared" si="0"/>
        <v>0</v>
      </c>
      <c r="V38" s="4"/>
      <c r="W38" s="6">
        <f t="shared" si="6"/>
        <v>0</v>
      </c>
      <c r="X38" s="3"/>
      <c r="Y38" s="3"/>
      <c r="Z38" s="31" t="s">
        <v>133</v>
      </c>
      <c r="AA38" s="33">
        <v>695.2</v>
      </c>
      <c r="AB38" s="34">
        <f>U49</f>
        <v>26325.992338034968</v>
      </c>
      <c r="AC38" s="31"/>
      <c r="AD38" s="3"/>
      <c r="AE38" s="31" t="s">
        <v>133</v>
      </c>
      <c r="AF38" s="35">
        <v>22000</v>
      </c>
      <c r="AG38" s="34">
        <f>U49</f>
        <v>26325.992338034968</v>
      </c>
      <c r="AH38" s="31"/>
    </row>
    <row r="39" spans="1:34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17"/>
      <c r="M39" s="3"/>
      <c r="N39" s="13">
        <f t="shared" si="7"/>
        <v>0</v>
      </c>
      <c r="O39" s="13"/>
      <c r="P39" s="23">
        <f t="shared" si="1"/>
        <v>0</v>
      </c>
      <c r="Q39" s="24">
        <f t="shared" si="2"/>
        <v>0</v>
      </c>
      <c r="R39" s="24">
        <f t="shared" si="3"/>
        <v>0</v>
      </c>
      <c r="S39" s="24">
        <f t="shared" si="4"/>
        <v>0</v>
      </c>
      <c r="T39" s="23">
        <f t="shared" si="5"/>
        <v>0</v>
      </c>
      <c r="U39" s="20">
        <f t="shared" si="0"/>
        <v>0</v>
      </c>
      <c r="V39" s="4"/>
      <c r="W39" s="6">
        <f t="shared" si="6"/>
        <v>0</v>
      </c>
      <c r="X39" s="3"/>
      <c r="Y39" s="3"/>
      <c r="Z39" s="31">
        <f t="shared" ref="Z39:Z43" si="23">Z40-10</f>
        <v>-50</v>
      </c>
      <c r="AA39" s="33">
        <f t="shared" ref="AA39:AA49" si="24">$AA$38*(1+(Z39/100))</f>
        <v>347.6</v>
      </c>
      <c r="AB39" s="34">
        <f t="dataTable" ref="AB39:AB49" dt2D="0" dtr="0" r1="J35" ca="1"/>
        <v>23641.917276650336</v>
      </c>
      <c r="AC39" s="38">
        <f t="shared" ref="AC39:AC49" si="25">100*((AB39-$AB$29)/$AB$29)</f>
        <v>-10.195532335192413</v>
      </c>
      <c r="AD39" s="3"/>
      <c r="AE39" s="31">
        <f t="shared" ref="AE39:AE43" si="26">AE40-10</f>
        <v>-50</v>
      </c>
      <c r="AF39" s="35">
        <f t="shared" ref="AF39:AF49" si="27">$AF$38*(1+(AE39/100))</f>
        <v>11000</v>
      </c>
      <c r="AG39" s="34">
        <f t="dataTable" ref="AG39:AG49" dt2D="0" dtr="0" r1="F12" ca="1"/>
        <v>16613.729924038242</v>
      </c>
      <c r="AH39" s="38">
        <f t="shared" ref="AH39:AH49" si="28">100*((AG39-$AG$44)/$AG$44)</f>
        <v>-36.892293704593818</v>
      </c>
    </row>
    <row r="40" spans="1:34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17"/>
      <c r="M40" s="3"/>
      <c r="N40" s="13">
        <f t="shared" si="7"/>
        <v>0</v>
      </c>
      <c r="O40" s="13"/>
      <c r="P40" s="23">
        <f t="shared" si="1"/>
        <v>0</v>
      </c>
      <c r="Q40" s="24">
        <f t="shared" si="2"/>
        <v>0</v>
      </c>
      <c r="R40" s="24">
        <f t="shared" si="3"/>
        <v>0</v>
      </c>
      <c r="S40" s="24">
        <f t="shared" si="4"/>
        <v>0</v>
      </c>
      <c r="T40" s="23">
        <f t="shared" si="5"/>
        <v>0</v>
      </c>
      <c r="U40" s="20">
        <f t="shared" si="0"/>
        <v>0</v>
      </c>
      <c r="V40" s="4"/>
      <c r="W40" s="6">
        <f t="shared" si="6"/>
        <v>0</v>
      </c>
      <c r="X40" s="3"/>
      <c r="Y40" s="3"/>
      <c r="Z40" s="31">
        <f t="shared" si="23"/>
        <v>-40</v>
      </c>
      <c r="AA40" s="33">
        <f t="shared" si="24"/>
        <v>417.12</v>
      </c>
      <c r="AB40" s="34">
        <v>24178.732288927262</v>
      </c>
      <c r="AC40" s="38">
        <f t="shared" si="25"/>
        <v>-8.1564258681539332</v>
      </c>
      <c r="AD40" s="3"/>
      <c r="AE40" s="31">
        <f t="shared" si="26"/>
        <v>-40</v>
      </c>
      <c r="AF40" s="35">
        <f t="shared" si="27"/>
        <v>13200</v>
      </c>
      <c r="AG40" s="34">
        <v>18556.182406837586</v>
      </c>
      <c r="AH40" s="38">
        <f t="shared" si="28"/>
        <v>-29.513834963675063</v>
      </c>
    </row>
    <row r="41" spans="1:34" ht="15.75" customHeight="1" x14ac:dyDescent="0.25">
      <c r="A41" s="3"/>
      <c r="B41" s="3"/>
      <c r="C41" s="3"/>
      <c r="D41" s="3"/>
      <c r="E41" s="18" t="s">
        <v>95</v>
      </c>
      <c r="F41" s="6">
        <f>F12*B5</f>
        <v>220000</v>
      </c>
      <c r="G41" s="3" t="s">
        <v>96</v>
      </c>
      <c r="H41" s="3"/>
      <c r="I41" s="3"/>
      <c r="J41" s="3"/>
      <c r="K41" s="3"/>
      <c r="L41" s="17"/>
      <c r="M41" s="3"/>
      <c r="N41" s="13">
        <f t="shared" si="7"/>
        <v>0</v>
      </c>
      <c r="O41" s="13"/>
      <c r="P41" s="23">
        <f t="shared" si="1"/>
        <v>0</v>
      </c>
      <c r="Q41" s="24">
        <f t="shared" si="2"/>
        <v>0</v>
      </c>
      <c r="R41" s="24">
        <f t="shared" si="3"/>
        <v>0</v>
      </c>
      <c r="S41" s="24">
        <f t="shared" si="4"/>
        <v>0</v>
      </c>
      <c r="T41" s="23">
        <f t="shared" si="5"/>
        <v>0</v>
      </c>
      <c r="U41" s="20">
        <f t="shared" si="0"/>
        <v>0</v>
      </c>
      <c r="V41" s="4"/>
      <c r="W41" s="6">
        <f t="shared" si="6"/>
        <v>0</v>
      </c>
      <c r="X41" s="3"/>
      <c r="Y41" s="3"/>
      <c r="Z41" s="31">
        <f t="shared" si="23"/>
        <v>-30</v>
      </c>
      <c r="AA41" s="33">
        <f t="shared" si="24"/>
        <v>486.64</v>
      </c>
      <c r="AB41" s="34">
        <v>24715.547301204184</v>
      </c>
      <c r="AC41" s="38">
        <f t="shared" si="25"/>
        <v>-6.1173194011154663</v>
      </c>
      <c r="AD41" s="3"/>
      <c r="AE41" s="31">
        <f t="shared" si="26"/>
        <v>-30</v>
      </c>
      <c r="AF41" s="35">
        <f t="shared" si="27"/>
        <v>15399.999999999998</v>
      </c>
      <c r="AG41" s="34">
        <v>20498.634889636935</v>
      </c>
      <c r="AH41" s="38">
        <f t="shared" si="28"/>
        <v>-22.135376222756285</v>
      </c>
    </row>
    <row r="42" spans="1:34" ht="15.75" customHeight="1" x14ac:dyDescent="0.25">
      <c r="A42" s="25" t="s">
        <v>107</v>
      </c>
      <c r="B42" s="4"/>
      <c r="C42" s="2"/>
      <c r="D42" s="3"/>
      <c r="E42" s="18"/>
      <c r="F42" s="28"/>
      <c r="G42" s="3"/>
      <c r="H42" s="3"/>
      <c r="I42" s="2" t="s">
        <v>136</v>
      </c>
      <c r="J42" s="3"/>
      <c r="K42" s="3"/>
      <c r="L42" s="17"/>
      <c r="M42" s="3"/>
      <c r="N42" s="13">
        <f t="shared" si="7"/>
        <v>0</v>
      </c>
      <c r="O42" s="13"/>
      <c r="P42" s="23">
        <f t="shared" si="1"/>
        <v>0</v>
      </c>
      <c r="Q42" s="24">
        <f t="shared" si="2"/>
        <v>0</v>
      </c>
      <c r="R42" s="24">
        <f t="shared" si="3"/>
        <v>0</v>
      </c>
      <c r="S42" s="24">
        <f t="shared" si="4"/>
        <v>0</v>
      </c>
      <c r="T42" s="23">
        <f t="shared" si="5"/>
        <v>0</v>
      </c>
      <c r="U42" s="20">
        <f t="shared" si="0"/>
        <v>0</v>
      </c>
      <c r="V42" s="4"/>
      <c r="W42" s="6">
        <f t="shared" si="6"/>
        <v>0</v>
      </c>
      <c r="X42" s="3"/>
      <c r="Y42" s="3"/>
      <c r="Z42" s="31">
        <f t="shared" si="23"/>
        <v>-20</v>
      </c>
      <c r="AA42" s="33">
        <f t="shared" si="24"/>
        <v>556.16000000000008</v>
      </c>
      <c r="AB42" s="34">
        <v>25252.362313481113</v>
      </c>
      <c r="AC42" s="38">
        <f t="shared" si="25"/>
        <v>-4.0782129340769728</v>
      </c>
      <c r="AD42" s="3"/>
      <c r="AE42" s="31">
        <f t="shared" si="26"/>
        <v>-20</v>
      </c>
      <c r="AF42" s="35">
        <f t="shared" si="27"/>
        <v>17600</v>
      </c>
      <c r="AG42" s="34">
        <v>22441.087372436279</v>
      </c>
      <c r="AH42" s="38">
        <f t="shared" si="28"/>
        <v>-14.756917481837522</v>
      </c>
    </row>
    <row r="43" spans="1:34" ht="15.75" customHeight="1" x14ac:dyDescent="0.25">
      <c r="A43" s="18" t="s">
        <v>160</v>
      </c>
      <c r="B43" s="6">
        <f>J8/B8</f>
        <v>4645.1612903225805</v>
      </c>
      <c r="C43" s="3" t="s">
        <v>3</v>
      </c>
      <c r="D43" s="3"/>
      <c r="E43" s="3"/>
      <c r="F43" s="3"/>
      <c r="G43" s="3"/>
      <c r="H43" s="3"/>
      <c r="I43" s="18" t="s">
        <v>66</v>
      </c>
      <c r="J43" s="22">
        <f>((F16/100)*B44)/B8</f>
        <v>0</v>
      </c>
      <c r="K43" s="3" t="s">
        <v>49</v>
      </c>
      <c r="L43" s="17"/>
      <c r="M43" s="3"/>
      <c r="N43" s="13">
        <f t="shared" si="7"/>
        <v>0</v>
      </c>
      <c r="O43" s="13"/>
      <c r="P43" s="23">
        <f t="shared" si="1"/>
        <v>0</v>
      </c>
      <c r="Q43" s="24">
        <f t="shared" si="2"/>
        <v>0</v>
      </c>
      <c r="R43" s="24">
        <f t="shared" si="3"/>
        <v>0</v>
      </c>
      <c r="S43" s="24">
        <f t="shared" si="4"/>
        <v>0</v>
      </c>
      <c r="T43" s="23">
        <f t="shared" si="5"/>
        <v>0</v>
      </c>
      <c r="U43" s="20">
        <f t="shared" si="0"/>
        <v>0</v>
      </c>
      <c r="V43" s="4"/>
      <c r="W43" s="6">
        <f t="shared" si="6"/>
        <v>0</v>
      </c>
      <c r="X43" s="3"/>
      <c r="Y43" s="3"/>
      <c r="Z43" s="31">
        <f t="shared" si="23"/>
        <v>-10</v>
      </c>
      <c r="AA43" s="33">
        <f t="shared" si="24"/>
        <v>625.68000000000006</v>
      </c>
      <c r="AB43" s="34">
        <v>25789.177325758039</v>
      </c>
      <c r="AC43" s="38">
        <f t="shared" si="25"/>
        <v>-2.0391064670384935</v>
      </c>
      <c r="AD43" s="3"/>
      <c r="AE43" s="31">
        <f t="shared" si="26"/>
        <v>-10</v>
      </c>
      <c r="AF43" s="35">
        <f t="shared" si="27"/>
        <v>19800</v>
      </c>
      <c r="AG43" s="34">
        <v>24383.539855235627</v>
      </c>
      <c r="AH43" s="38">
        <f t="shared" si="28"/>
        <v>-7.378458740918747</v>
      </c>
    </row>
    <row r="44" spans="1:34" ht="15.75" customHeight="1" x14ac:dyDescent="0.25">
      <c r="A44" s="3" t="s">
        <v>112</v>
      </c>
      <c r="B44" s="26">
        <f>(1+B11/100)*B43</f>
        <v>5109.677419354839</v>
      </c>
      <c r="C44" s="3" t="s">
        <v>3</v>
      </c>
      <c r="D44" s="3"/>
      <c r="E44" s="3"/>
      <c r="F44" s="3"/>
      <c r="G44" s="3"/>
      <c r="H44" s="3"/>
      <c r="I44" s="3"/>
      <c r="J44" s="3"/>
      <c r="K44" s="3"/>
      <c r="L44" s="17"/>
      <c r="M44" s="3"/>
      <c r="N44" s="13">
        <f t="shared" si="7"/>
        <v>0</v>
      </c>
      <c r="O44" s="13"/>
      <c r="P44" s="23">
        <f t="shared" si="1"/>
        <v>0</v>
      </c>
      <c r="Q44" s="24">
        <f t="shared" si="2"/>
        <v>0</v>
      </c>
      <c r="R44" s="24">
        <f t="shared" si="3"/>
        <v>0</v>
      </c>
      <c r="S44" s="24">
        <f t="shared" si="4"/>
        <v>0</v>
      </c>
      <c r="T44" s="23">
        <f t="shared" si="5"/>
        <v>0</v>
      </c>
      <c r="U44" s="20">
        <f t="shared" si="0"/>
        <v>0</v>
      </c>
      <c r="V44" s="4"/>
      <c r="W44" s="6">
        <f t="shared" si="6"/>
        <v>0</v>
      </c>
      <c r="X44" s="3"/>
      <c r="Y44" s="3"/>
      <c r="Z44" s="43">
        <v>0</v>
      </c>
      <c r="AA44" s="44">
        <f t="shared" si="24"/>
        <v>695.2</v>
      </c>
      <c r="AB44" s="45">
        <v>26325.992338034968</v>
      </c>
      <c r="AC44" s="46">
        <f t="shared" si="25"/>
        <v>0</v>
      </c>
      <c r="AD44" s="3"/>
      <c r="AE44" s="43">
        <v>0</v>
      </c>
      <c r="AF44" s="47">
        <f t="shared" si="27"/>
        <v>22000</v>
      </c>
      <c r="AG44" s="45">
        <v>26325.992338034968</v>
      </c>
      <c r="AH44" s="46">
        <f t="shared" si="28"/>
        <v>0</v>
      </c>
    </row>
    <row r="45" spans="1:34" ht="15.75" customHeight="1" x14ac:dyDescent="0.25">
      <c r="A45" s="27" t="s">
        <v>137</v>
      </c>
      <c r="B45" s="6">
        <f>SUM(B32:B38)+B44</f>
        <v>6951.4838709677424</v>
      </c>
      <c r="C45" s="3" t="s">
        <v>3</v>
      </c>
      <c r="D45" s="3"/>
      <c r="E45" s="3"/>
      <c r="F45" s="3"/>
      <c r="G45" s="3"/>
      <c r="H45" s="3"/>
      <c r="I45" s="3"/>
      <c r="J45" s="3"/>
      <c r="K45" s="3"/>
      <c r="L45" s="17"/>
      <c r="M45" s="3"/>
      <c r="N45" s="13">
        <f t="shared" si="7"/>
        <v>0</v>
      </c>
      <c r="O45" s="13"/>
      <c r="P45" s="23">
        <f t="shared" si="1"/>
        <v>0</v>
      </c>
      <c r="Q45" s="24">
        <f t="shared" si="2"/>
        <v>0</v>
      </c>
      <c r="R45" s="24">
        <f t="shared" si="3"/>
        <v>0</v>
      </c>
      <c r="S45" s="24">
        <f t="shared" si="4"/>
        <v>0</v>
      </c>
      <c r="T45" s="23">
        <f t="shared" si="5"/>
        <v>0</v>
      </c>
      <c r="U45" s="20">
        <f t="shared" si="0"/>
        <v>0</v>
      </c>
      <c r="V45" s="4"/>
      <c r="W45" s="6">
        <f t="shared" si="6"/>
        <v>0</v>
      </c>
      <c r="X45" s="3"/>
      <c r="Y45" s="3"/>
      <c r="Z45" s="31">
        <f t="shared" ref="Z45:Z49" si="29">Z44+10</f>
        <v>10</v>
      </c>
      <c r="AA45" s="33">
        <f t="shared" si="24"/>
        <v>764.72000000000014</v>
      </c>
      <c r="AB45" s="34">
        <v>26862.807350311898</v>
      </c>
      <c r="AC45" s="38">
        <f t="shared" si="25"/>
        <v>2.0391064670384935</v>
      </c>
      <c r="AD45" s="3"/>
      <c r="AE45" s="31">
        <f t="shared" ref="AE45:AE49" si="30">AE44+10</f>
        <v>10</v>
      </c>
      <c r="AF45" s="35">
        <f t="shared" si="27"/>
        <v>24200.000000000004</v>
      </c>
      <c r="AG45" s="34">
        <v>28268.444820834316</v>
      </c>
      <c r="AH45" s="38">
        <f t="shared" si="28"/>
        <v>7.3784587409187754</v>
      </c>
    </row>
    <row r="46" spans="1:34" ht="15.75" customHeight="1" x14ac:dyDescent="0.25">
      <c r="A46" s="27" t="s">
        <v>115</v>
      </c>
      <c r="B46" s="6">
        <v>0</v>
      </c>
      <c r="C46" s="3" t="s">
        <v>3</v>
      </c>
      <c r="D46" s="3"/>
      <c r="E46" s="3"/>
      <c r="F46" s="3"/>
      <c r="G46" s="3"/>
      <c r="H46" s="3"/>
      <c r="I46" s="3"/>
      <c r="J46" s="3"/>
      <c r="K46" s="3"/>
      <c r="L46" s="17"/>
      <c r="M46" s="3"/>
      <c r="N46" s="13">
        <f t="shared" si="7"/>
        <v>0</v>
      </c>
      <c r="O46" s="13"/>
      <c r="P46" s="23">
        <f t="shared" si="1"/>
        <v>0</v>
      </c>
      <c r="Q46" s="24">
        <f t="shared" si="2"/>
        <v>0</v>
      </c>
      <c r="R46" s="24">
        <f t="shared" si="3"/>
        <v>0</v>
      </c>
      <c r="S46" s="24">
        <f t="shared" si="4"/>
        <v>0</v>
      </c>
      <c r="T46" s="23">
        <f t="shared" si="5"/>
        <v>0</v>
      </c>
      <c r="U46" s="20">
        <f t="shared" si="0"/>
        <v>0</v>
      </c>
      <c r="V46" s="4"/>
      <c r="W46" s="6">
        <f t="shared" si="6"/>
        <v>0</v>
      </c>
      <c r="X46" s="3"/>
      <c r="Y46" s="3"/>
      <c r="Z46" s="31">
        <f t="shared" si="29"/>
        <v>20</v>
      </c>
      <c r="AA46" s="33">
        <f t="shared" si="24"/>
        <v>834.24</v>
      </c>
      <c r="AB46" s="34">
        <v>27399.62236258882</v>
      </c>
      <c r="AC46" s="38">
        <f t="shared" si="25"/>
        <v>4.0782129340769595</v>
      </c>
      <c r="AD46" s="3"/>
      <c r="AE46" s="31">
        <f t="shared" si="30"/>
        <v>20</v>
      </c>
      <c r="AF46" s="35">
        <f t="shared" si="27"/>
        <v>26400</v>
      </c>
      <c r="AG46" s="34">
        <v>30210.897303633661</v>
      </c>
      <c r="AH46" s="38">
        <f t="shared" si="28"/>
        <v>14.756917481837537</v>
      </c>
    </row>
    <row r="47" spans="1:34" ht="15.75" customHeight="1" x14ac:dyDescent="0.25">
      <c r="A47" s="27" t="s">
        <v>159</v>
      </c>
      <c r="B47" s="6">
        <f>SUM(B45:B46)</f>
        <v>6951.4838709677424</v>
      </c>
      <c r="C47" s="3" t="s">
        <v>3</v>
      </c>
      <c r="D47" s="3"/>
      <c r="E47" s="3"/>
      <c r="F47" s="3"/>
      <c r="G47" s="3"/>
      <c r="H47" s="3"/>
      <c r="I47" s="3"/>
      <c r="J47" s="3"/>
      <c r="K47" s="3"/>
      <c r="L47" s="17"/>
      <c r="M47" s="3"/>
      <c r="N47" s="13">
        <f t="shared" si="7"/>
        <v>0</v>
      </c>
      <c r="O47" s="13"/>
      <c r="P47" s="23">
        <f t="shared" si="1"/>
        <v>0</v>
      </c>
      <c r="Q47" s="24">
        <f t="shared" si="2"/>
        <v>0</v>
      </c>
      <c r="R47" s="24">
        <f t="shared" si="3"/>
        <v>0</v>
      </c>
      <c r="S47" s="24">
        <f t="shared" si="4"/>
        <v>0</v>
      </c>
      <c r="T47" s="23">
        <f t="shared" si="5"/>
        <v>0</v>
      </c>
      <c r="U47" s="20">
        <f t="shared" si="0"/>
        <v>0</v>
      </c>
      <c r="V47" s="4"/>
      <c r="W47" s="6">
        <f t="shared" si="6"/>
        <v>0</v>
      </c>
      <c r="X47" s="3"/>
      <c r="Y47" s="3"/>
      <c r="Z47" s="31">
        <f t="shared" si="29"/>
        <v>30</v>
      </c>
      <c r="AA47" s="33">
        <f t="shared" si="24"/>
        <v>903.7600000000001</v>
      </c>
      <c r="AB47" s="34">
        <v>27936.43737486576</v>
      </c>
      <c r="AC47" s="38">
        <f t="shared" si="25"/>
        <v>6.1173194011154948</v>
      </c>
      <c r="AD47" s="3"/>
      <c r="AE47" s="31">
        <f t="shared" si="30"/>
        <v>30</v>
      </c>
      <c r="AF47" s="35">
        <f t="shared" si="27"/>
        <v>28600</v>
      </c>
      <c r="AG47" s="34">
        <v>32153.349786433006</v>
      </c>
      <c r="AH47" s="38">
        <f t="shared" si="28"/>
        <v>22.1353762227563</v>
      </c>
    </row>
    <row r="48" spans="1:34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17"/>
      <c r="M48" s="3"/>
      <c r="N48" s="13">
        <f t="shared" si="7"/>
        <v>0</v>
      </c>
      <c r="O48" s="13"/>
      <c r="P48" s="23">
        <f t="shared" si="1"/>
        <v>0</v>
      </c>
      <c r="Q48" s="24">
        <f t="shared" si="2"/>
        <v>0</v>
      </c>
      <c r="R48" s="24">
        <f t="shared" si="3"/>
        <v>0</v>
      </c>
      <c r="S48" s="24">
        <f t="shared" si="4"/>
        <v>0</v>
      </c>
      <c r="T48" s="23">
        <f t="shared" si="5"/>
        <v>0</v>
      </c>
      <c r="U48" s="20">
        <f t="shared" si="0"/>
        <v>0</v>
      </c>
      <c r="V48" s="4"/>
      <c r="W48" s="6">
        <f t="shared" si="6"/>
        <v>0</v>
      </c>
      <c r="X48" s="3"/>
      <c r="Y48" s="3"/>
      <c r="Z48" s="31">
        <f t="shared" si="29"/>
        <v>40</v>
      </c>
      <c r="AA48" s="33">
        <f t="shared" si="24"/>
        <v>973.28</v>
      </c>
      <c r="AB48" s="34">
        <v>28473.252387142682</v>
      </c>
      <c r="AC48" s="38">
        <f t="shared" si="25"/>
        <v>8.1564258681539599</v>
      </c>
      <c r="AD48" s="3"/>
      <c r="AE48" s="31">
        <f t="shared" si="30"/>
        <v>40</v>
      </c>
      <c r="AF48" s="35">
        <f t="shared" si="27"/>
        <v>30799.999999999996</v>
      </c>
      <c r="AG48" s="34">
        <v>34095.802269232343</v>
      </c>
      <c r="AH48" s="38">
        <f t="shared" si="28"/>
        <v>29.513834963675034</v>
      </c>
    </row>
    <row r="49" spans="1:34" ht="15.75" customHeight="1" x14ac:dyDescent="0.25">
      <c r="A49" s="15"/>
      <c r="B49" s="8"/>
      <c r="C49" s="3"/>
      <c r="D49" s="3"/>
      <c r="E49" s="3"/>
      <c r="F49" s="3"/>
      <c r="G49" s="3"/>
      <c r="H49" s="3"/>
      <c r="I49" s="3"/>
      <c r="J49" s="3"/>
      <c r="K49" s="3"/>
      <c r="L49" s="17"/>
      <c r="M49" s="3"/>
      <c r="N49" s="14" t="s">
        <v>113</v>
      </c>
      <c r="O49" s="20">
        <f t="shared" ref="O49:U49" si="31">SUM(O8:O48)</f>
        <v>2085.4451612903226</v>
      </c>
      <c r="P49" s="20">
        <f t="shared" si="31"/>
        <v>6320.2203215804639</v>
      </c>
      <c r="Q49" s="20">
        <f t="shared" si="31"/>
        <v>14056.374705224174</v>
      </c>
      <c r="R49" s="20">
        <f t="shared" si="31"/>
        <v>5369.1462384364904</v>
      </c>
      <c r="S49" s="20">
        <f t="shared" si="31"/>
        <v>0</v>
      </c>
      <c r="T49" s="20">
        <f t="shared" si="31"/>
        <v>-1505.1940884964808</v>
      </c>
      <c r="U49" s="20">
        <f t="shared" si="31"/>
        <v>26325.992338034968</v>
      </c>
      <c r="V49" s="4"/>
      <c r="W49" s="4"/>
      <c r="X49" s="3"/>
      <c r="Y49" s="3"/>
      <c r="Z49" s="31">
        <f t="shared" si="29"/>
        <v>50</v>
      </c>
      <c r="AA49" s="33">
        <f t="shared" si="24"/>
        <v>1042.8000000000002</v>
      </c>
      <c r="AB49" s="34">
        <v>29010.067399419611</v>
      </c>
      <c r="AC49" s="38">
        <f t="shared" si="25"/>
        <v>10.195532335192453</v>
      </c>
      <c r="AD49" s="3"/>
      <c r="AE49" s="31">
        <f t="shared" si="30"/>
        <v>50</v>
      </c>
      <c r="AF49" s="35">
        <f t="shared" si="27"/>
        <v>33000</v>
      </c>
      <c r="AG49" s="34">
        <v>36038.254752031702</v>
      </c>
      <c r="AH49" s="38">
        <f t="shared" si="28"/>
        <v>36.892293704593847</v>
      </c>
    </row>
    <row r="50" spans="1:34" ht="15.75" customHeight="1" x14ac:dyDescent="0.25">
      <c r="A50" s="3"/>
      <c r="B50" s="7"/>
      <c r="C50" s="3"/>
      <c r="D50" s="3"/>
      <c r="E50" s="3"/>
      <c r="F50" s="3"/>
      <c r="G50" s="3"/>
      <c r="H50" s="3"/>
      <c r="I50" s="3"/>
      <c r="J50" s="3"/>
      <c r="K50" s="3"/>
      <c r="L50" s="17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26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17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0" t="s">
        <v>184</v>
      </c>
      <c r="AA51" s="31"/>
      <c r="AB51" s="31"/>
      <c r="AC51" s="31"/>
      <c r="AD51" s="3"/>
      <c r="AE51" s="3"/>
      <c r="AF51" s="3"/>
      <c r="AG51" s="3"/>
      <c r="AH51" s="3"/>
    </row>
    <row r="52" spans="1:34" ht="15.75" customHeight="1" x14ac:dyDescent="0.25">
      <c r="A52" s="15"/>
      <c r="B52" s="3"/>
      <c r="C52" s="3"/>
      <c r="D52" s="3"/>
      <c r="E52" s="3"/>
      <c r="F52" s="3"/>
      <c r="G52" s="3"/>
      <c r="H52" s="3"/>
      <c r="I52" s="3"/>
      <c r="J52" s="3"/>
      <c r="K52" s="3"/>
      <c r="L52" s="17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1" t="s">
        <v>79</v>
      </c>
      <c r="AA52" s="31" t="s">
        <v>184</v>
      </c>
      <c r="AB52" s="31" t="s">
        <v>23</v>
      </c>
      <c r="AC52" s="31" t="s">
        <v>81</v>
      </c>
      <c r="AD52" s="3"/>
      <c r="AE52" s="3"/>
      <c r="AF52" s="3"/>
      <c r="AG52" s="3"/>
      <c r="AH52" s="3"/>
    </row>
    <row r="53" spans="1:34" ht="15.75" customHeight="1" x14ac:dyDescent="0.25">
      <c r="A53" s="40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2"/>
      <c r="M53" s="3"/>
      <c r="N53" s="3"/>
      <c r="O53" s="2" t="s">
        <v>117</v>
      </c>
      <c r="P53" s="2"/>
      <c r="Q53" s="3"/>
      <c r="R53" s="3"/>
      <c r="S53" s="3"/>
      <c r="T53" s="3"/>
      <c r="U53" s="3"/>
      <c r="V53" s="3"/>
      <c r="W53" s="3"/>
      <c r="X53" s="7"/>
      <c r="Y53" s="3"/>
      <c r="Z53" s="31" t="s">
        <v>133</v>
      </c>
      <c r="AA53" s="33">
        <v>7.2499999999999995E-2</v>
      </c>
      <c r="AB53" s="34">
        <f>U49</f>
        <v>26325.992338034968</v>
      </c>
      <c r="AC53" s="31"/>
      <c r="AD53" s="3"/>
      <c r="AE53" s="3"/>
      <c r="AF53" s="3"/>
      <c r="AG53" s="3"/>
      <c r="AH53" s="3"/>
    </row>
    <row r="54" spans="1:34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54"/>
      <c r="O54" s="55" t="s">
        <v>118</v>
      </c>
      <c r="P54" s="56" t="s">
        <v>119</v>
      </c>
      <c r="Q54" s="54"/>
      <c r="R54" s="54"/>
      <c r="S54" s="54"/>
      <c r="T54" s="54"/>
      <c r="U54" s="3"/>
      <c r="V54" s="3"/>
      <c r="W54" s="3"/>
      <c r="X54" s="7"/>
      <c r="Y54" s="3"/>
      <c r="Z54" s="31">
        <f t="shared" ref="Z54:Z58" si="32">Z55-10</f>
        <v>-50</v>
      </c>
      <c r="AA54" s="33">
        <f>$AA$53*(1-(Z54/100))</f>
        <v>0.10874999999999999</v>
      </c>
      <c r="AB54" s="34">
        <f t="dataTable" ref="AB54:AB64" dt2D="0" dtr="0" r1="J10" ca="1"/>
        <v>33354.179690647055</v>
      </c>
      <c r="AC54" s="38">
        <f>100*((AB54-$AB$59)/$AB$59)</f>
        <v>26.696761369401383</v>
      </c>
      <c r="AD54" s="3"/>
      <c r="AE54" s="3"/>
      <c r="AF54" s="3"/>
      <c r="AG54" s="3"/>
      <c r="AH54" s="3"/>
    </row>
    <row r="55" spans="1:34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 t="s">
        <v>120</v>
      </c>
      <c r="P55" s="26">
        <f>SUM(O49:P49)</f>
        <v>8405.6654828707869</v>
      </c>
      <c r="Q55" s="3" t="s">
        <v>3</v>
      </c>
      <c r="R55" s="50">
        <f t="shared" ref="R55:R58" si="33">P55/$F$41</f>
        <v>3.8207570376685394E-2</v>
      </c>
      <c r="S55" s="3" t="s">
        <v>4</v>
      </c>
      <c r="T55" s="3"/>
      <c r="U55" s="3"/>
      <c r="V55" s="3"/>
      <c r="W55" s="3"/>
      <c r="X55" s="7"/>
      <c r="Y55" s="3"/>
      <c r="Z55" s="31">
        <f t="shared" si="32"/>
        <v>-40</v>
      </c>
      <c r="AA55" s="33">
        <f t="shared" ref="AA55:AA58" si="34">$AA$53*(1-(Z55/100))</f>
        <v>0.10149999999999999</v>
      </c>
      <c r="AB55" s="34">
        <v>31948.54222012464</v>
      </c>
      <c r="AC55" s="38">
        <f t="shared" ref="AC55:AC64" si="35">100*((AB55-$AB$59)/$AB$59)</f>
        <v>21.357409095521113</v>
      </c>
      <c r="AD55" s="3"/>
      <c r="AE55" s="3"/>
      <c r="AF55" s="3"/>
      <c r="AG55" s="3"/>
      <c r="AH55" s="3"/>
    </row>
    <row r="56" spans="1:34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 t="s">
        <v>97</v>
      </c>
      <c r="P56" s="26">
        <f>SUM(Q49)</f>
        <v>14056.374705224174</v>
      </c>
      <c r="Q56" s="3" t="s">
        <v>3</v>
      </c>
      <c r="R56" s="50">
        <f t="shared" si="33"/>
        <v>6.3892612296473514E-2</v>
      </c>
      <c r="S56" s="3" t="s">
        <v>4</v>
      </c>
      <c r="T56" s="3"/>
      <c r="U56" s="3"/>
      <c r="V56" s="3"/>
      <c r="W56" s="3"/>
      <c r="X56" s="7"/>
      <c r="Y56" s="3"/>
      <c r="Z56" s="31">
        <f t="shared" si="32"/>
        <v>-30</v>
      </c>
      <c r="AA56" s="33">
        <f t="shared" si="34"/>
        <v>9.425E-2</v>
      </c>
      <c r="AB56" s="34">
        <v>30542.904749602225</v>
      </c>
      <c r="AC56" s="38">
        <f t="shared" si="35"/>
        <v>16.018056821640847</v>
      </c>
      <c r="AD56" s="3"/>
      <c r="AE56" s="3"/>
      <c r="AF56" s="3"/>
      <c r="AG56" s="3"/>
      <c r="AH56" s="3"/>
    </row>
    <row r="57" spans="1:34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 t="s">
        <v>121</v>
      </c>
      <c r="P57" s="26">
        <f>SUM(R49:S49)</f>
        <v>5369.1462384364904</v>
      </c>
      <c r="Q57" s="3" t="s">
        <v>3</v>
      </c>
      <c r="R57" s="50">
        <f t="shared" si="33"/>
        <v>2.4405210174711318E-2</v>
      </c>
      <c r="S57" s="3" t="s">
        <v>4</v>
      </c>
      <c r="T57" s="3"/>
      <c r="U57" s="3"/>
      <c r="V57" s="3"/>
      <c r="W57" s="3"/>
      <c r="X57" s="7"/>
      <c r="Y57" s="3"/>
      <c r="Z57" s="31">
        <f t="shared" si="32"/>
        <v>-20</v>
      </c>
      <c r="AA57" s="33">
        <f t="shared" si="34"/>
        <v>8.6999999999999994E-2</v>
      </c>
      <c r="AB57" s="34">
        <v>29137.267279079806</v>
      </c>
      <c r="AC57" s="38">
        <f t="shared" si="35"/>
        <v>10.678704547760564</v>
      </c>
      <c r="AD57" s="3"/>
      <c r="AE57" s="3"/>
      <c r="AF57" s="3"/>
      <c r="AG57" s="3"/>
      <c r="AH57" s="3"/>
    </row>
    <row r="58" spans="1:34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 t="s">
        <v>123</v>
      </c>
      <c r="P58" s="26">
        <f>T49</f>
        <v>-1505.1940884964808</v>
      </c>
      <c r="Q58" s="3" t="s">
        <v>3</v>
      </c>
      <c r="R58" s="50">
        <f t="shared" si="33"/>
        <v>-6.8417913113476402E-3</v>
      </c>
      <c r="S58" s="3" t="s">
        <v>4</v>
      </c>
      <c r="T58" s="3"/>
      <c r="U58" s="3"/>
      <c r="V58" s="3"/>
      <c r="W58" s="3"/>
      <c r="X58" s="7"/>
      <c r="Y58" s="3"/>
      <c r="Z58" s="31">
        <f t="shared" si="32"/>
        <v>-10</v>
      </c>
      <c r="AA58" s="33">
        <f t="shared" si="34"/>
        <v>7.9750000000000001E-2</v>
      </c>
      <c r="AB58" s="34">
        <v>27731.629808557391</v>
      </c>
      <c r="AC58" s="38">
        <f t="shared" si="35"/>
        <v>5.3393522738802952</v>
      </c>
      <c r="AD58" s="3"/>
      <c r="AE58" s="3"/>
      <c r="AF58" s="3"/>
      <c r="AG58" s="3"/>
      <c r="AH58" s="3"/>
    </row>
    <row r="59" spans="1:34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7"/>
      <c r="Y59" s="3"/>
      <c r="Z59" s="43">
        <v>0</v>
      </c>
      <c r="AA59" s="93">
        <f t="shared" ref="AA59" si="36">$AA$53*(1+(Z59/100))</f>
        <v>7.2499999999999995E-2</v>
      </c>
      <c r="AB59" s="45">
        <v>26325.992338034968</v>
      </c>
      <c r="AC59" s="75">
        <f t="shared" si="35"/>
        <v>0</v>
      </c>
      <c r="AD59" s="3"/>
      <c r="AE59" s="3"/>
      <c r="AF59" s="3"/>
      <c r="AG59" s="3"/>
      <c r="AH59" s="3"/>
    </row>
    <row r="60" spans="1:34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2" t="s">
        <v>2</v>
      </c>
      <c r="P60" s="4">
        <f>SUM(P55:P58)</f>
        <v>26325.992338034968</v>
      </c>
      <c r="Q60" s="2" t="s">
        <v>3</v>
      </c>
      <c r="R60" s="51">
        <f>SUM(R55:R58)</f>
        <v>0.11966360153652257</v>
      </c>
      <c r="S60" s="2" t="s">
        <v>4</v>
      </c>
      <c r="T60" s="3"/>
      <c r="U60" s="3"/>
      <c r="V60" s="3"/>
      <c r="W60" s="3"/>
      <c r="X60" s="7"/>
      <c r="Y60" s="3"/>
      <c r="Z60" s="31">
        <f t="shared" ref="Z60:Z64" si="37">Z59+10</f>
        <v>10</v>
      </c>
      <c r="AA60" s="33">
        <f t="shared" ref="AA60:AA64" si="38">$AA$53*(1-(Z60/100))</f>
        <v>6.5250000000000002E-2</v>
      </c>
      <c r="AB60" s="34">
        <v>24920.354867512553</v>
      </c>
      <c r="AC60" s="38">
        <f t="shared" si="35"/>
        <v>-5.3393522738802686</v>
      </c>
      <c r="AD60" s="3"/>
      <c r="AE60" s="3"/>
      <c r="AF60" s="3"/>
      <c r="AG60" s="3"/>
      <c r="AH60" s="3"/>
    </row>
    <row r="61" spans="1:34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7"/>
      <c r="Y61" s="3"/>
      <c r="Z61" s="31">
        <f t="shared" si="37"/>
        <v>20</v>
      </c>
      <c r="AA61" s="33">
        <f t="shared" si="38"/>
        <v>5.7999999999999996E-2</v>
      </c>
      <c r="AB61" s="34">
        <v>23514.717396990138</v>
      </c>
      <c r="AC61" s="38">
        <f t="shared" si="35"/>
        <v>-10.678704547760537</v>
      </c>
      <c r="AD61" s="3"/>
      <c r="AE61" s="3"/>
      <c r="AF61" s="3"/>
      <c r="AG61" s="3"/>
      <c r="AH61" s="3"/>
    </row>
    <row r="62" spans="1:34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7"/>
      <c r="Y62" s="3"/>
      <c r="Z62" s="31">
        <f t="shared" si="37"/>
        <v>30</v>
      </c>
      <c r="AA62" s="33">
        <f t="shared" si="38"/>
        <v>5.0749999999999997E-2</v>
      </c>
      <c r="AB62" s="34">
        <v>22109.079926467719</v>
      </c>
      <c r="AC62" s="38">
        <f t="shared" si="35"/>
        <v>-16.018056821640819</v>
      </c>
      <c r="AD62" s="3"/>
      <c r="AE62" s="3"/>
      <c r="AF62" s="3"/>
      <c r="AG62" s="3"/>
      <c r="AH62" s="3"/>
    </row>
    <row r="63" spans="1:34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7"/>
      <c r="Y63" s="3"/>
      <c r="Z63" s="31">
        <f t="shared" si="37"/>
        <v>40</v>
      </c>
      <c r="AA63" s="33">
        <f t="shared" si="38"/>
        <v>4.3499999999999997E-2</v>
      </c>
      <c r="AB63" s="34">
        <v>20703.442455945304</v>
      </c>
      <c r="AC63" s="38">
        <f t="shared" si="35"/>
        <v>-21.357409095521088</v>
      </c>
      <c r="AD63" s="3"/>
      <c r="AE63" s="3"/>
      <c r="AF63" s="3"/>
      <c r="AG63" s="3"/>
      <c r="AH63" s="3"/>
    </row>
    <row r="64" spans="1:34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7"/>
      <c r="Y64" s="3"/>
      <c r="Z64" s="31">
        <f t="shared" si="37"/>
        <v>50</v>
      </c>
      <c r="AA64" s="33">
        <f t="shared" si="38"/>
        <v>3.6249999999999998E-2</v>
      </c>
      <c r="AB64" s="34">
        <v>19297.804985422885</v>
      </c>
      <c r="AC64" s="38">
        <f t="shared" si="35"/>
        <v>-26.696761369401369</v>
      </c>
      <c r="AD64" s="3"/>
      <c r="AE64" s="3"/>
      <c r="AF64" s="3"/>
      <c r="AG64" s="3"/>
      <c r="AH64" s="3"/>
    </row>
    <row r="65" spans="1:34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7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7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7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34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:34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:34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:34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:34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:34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:34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:34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:34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:34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:34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:34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:34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:34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1:34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:34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:34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1:34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:34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:34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:34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:34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:34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:34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1:34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1:34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spans="1:34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:34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1:34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1:34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spans="1:34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spans="1:34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spans="1:34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spans="1:34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spans="1:34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spans="1:34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spans="1:34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spans="1:34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spans="1:34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1:34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spans="1:34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spans="1:34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spans="1:34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1:34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spans="1:34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spans="1:34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spans="1:34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1:34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spans="1:34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spans="1:34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1:34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1:34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1:34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spans="1:34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1:34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1:34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spans="1:34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1:34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1:34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spans="1:34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spans="1:34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spans="1:34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spans="1:34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spans="1:34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spans="1:34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1:34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spans="1:34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spans="1:34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spans="1:34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1:34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1:34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1:34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1:34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1:34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1:34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1:34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1:34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1:34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1:34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1:34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 spans="1:34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 spans="1:34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spans="1:34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 spans="1:34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 spans="1:34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 spans="1:34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 spans="1:34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 spans="1:34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 spans="1:34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 spans="1:34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 spans="1:34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 spans="1:34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 spans="1:34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 spans="1:34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 spans="1:34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 spans="1:34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spans="1:34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spans="1:34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spans="1:34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spans="1:34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spans="1:34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spans="1:34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spans="1:34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spans="1:34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spans="1:34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spans="1:34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spans="1:34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spans="1:34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spans="1:34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spans="1:34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1:34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spans="1:34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spans="1:34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spans="1:34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spans="1:34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spans="1:34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spans="1:34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spans="1:34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spans="1:34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spans="1:34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spans="1:34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spans="1:34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spans="1:34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spans="1:34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spans="1:34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 spans="1:34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spans="1:34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spans="1:34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spans="1:34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spans="1:34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spans="1:34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spans="1:34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spans="1:34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spans="1:34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 spans="1:34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 spans="1:34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 spans="1:34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 spans="1:34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 spans="1:34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 spans="1:34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 spans="1:34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 spans="1:34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 spans="1:34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 spans="1:34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 spans="1:34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 spans="1:34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 spans="1:34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 spans="1:34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 spans="1:34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spans="1:34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spans="1:34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spans="1:34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spans="1:34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spans="1:34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spans="1:34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spans="1:34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spans="1:34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spans="1:34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spans="1:34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spans="1:34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spans="1:34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spans="1:34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spans="1:34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spans="1:34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spans="1:34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spans="1:34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spans="1:34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spans="1:34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spans="1:34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spans="1:34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spans="1:34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spans="1:34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spans="1:34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 spans="1:34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spans="1:34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spans="1:34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spans="1:34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spans="1:34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spans="1:34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spans="1:34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spans="1:34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spans="1:34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spans="1:34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spans="1:34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spans="1:34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spans="1:34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spans="1:34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spans="1:34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spans="1:34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 spans="1:34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spans="1:34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 spans="1:34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 spans="1:34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 spans="1:34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spans="1:34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spans="1:34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spans="1:34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 spans="1:34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spans="1:34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spans="1:34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spans="1:34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spans="1:34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spans="1:34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spans="1:34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 spans="1:34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spans="1:34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spans="1:34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spans="1:34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 spans="1:34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spans="1:34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spans="1:34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spans="1:34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spans="1:34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spans="1:34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spans="1:34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spans="1:34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spans="1:34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spans="1:34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spans="1:34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spans="1:34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spans="1:34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spans="1:34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spans="1:34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 spans="1:34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 spans="1:34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spans="1:34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spans="1:34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 spans="1:34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spans="1:34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spans="1:34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 spans="1:34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spans="1:34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spans="1:34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spans="1:34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spans="1:34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spans="1:34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spans="1:34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spans="1:34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spans="1:34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spans="1:34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spans="1:34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spans="1:34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spans="1:34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spans="1:34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spans="1:34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spans="1:34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spans="1:34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spans="1:34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spans="1:34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spans="1:34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spans="1:34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spans="1:34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spans="1:34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spans="1:34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spans="1:34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spans="1:34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spans="1:34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 spans="1:34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 spans="1:34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spans="1:34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spans="1:34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spans="1:34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spans="1:34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spans="1:34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spans="1:34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spans="1:34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spans="1:34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spans="1:34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spans="1:34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spans="1:34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spans="1:34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spans="1:34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spans="1:34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spans="1:34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spans="1:34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spans="1:34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spans="1:34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spans="1:34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spans="1:34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spans="1:34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spans="1:34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spans="1:34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spans="1:34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spans="1:34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spans="1:34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spans="1:34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spans="1:34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spans="1:34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spans="1:34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spans="1:34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spans="1:34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spans="1:34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spans="1:34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spans="1:34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spans="1:34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spans="1:34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spans="1:34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spans="1:34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spans="1:34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spans="1:34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spans="1:34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spans="1:34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spans="1:34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spans="1:34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spans="1:34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spans="1:34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spans="1:34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spans="1:34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spans="1:34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spans="1:34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spans="1:34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 spans="1:34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 spans="1:34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 spans="1:34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spans="1:34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spans="1:34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spans="1:34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spans="1:34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spans="1:34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spans="1:34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 spans="1:34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spans="1:34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spans="1:34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spans="1:34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spans="1:34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spans="1:34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spans="1:34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spans="1:34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spans="1:34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spans="1:34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spans="1:34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spans="1:34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spans="1:34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spans="1:34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spans="1:34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spans="1:34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spans="1:34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spans="1:34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spans="1:34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spans="1:34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spans="1:34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spans="1:34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spans="1:34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spans="1:34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spans="1:34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spans="1:34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spans="1:34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spans="1:34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spans="1:34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spans="1:34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spans="1:34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spans="1:34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spans="1:34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spans="1:34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spans="1:34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spans="1:34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spans="1:34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spans="1:34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 spans="1:34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spans="1:34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spans="1:34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spans="1:34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spans="1:34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spans="1:34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spans="1:34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spans="1:34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spans="1:34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spans="1:34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spans="1:34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 spans="1:34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spans="1:34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spans="1:34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 spans="1:34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 spans="1:34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spans="1:34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spans="1:34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spans="1:34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spans="1:34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 spans="1:34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spans="1:34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spans="1:34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spans="1:34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spans="1:34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spans="1:34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spans="1:34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spans="1:34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spans="1:34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spans="1:34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spans="1:34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 spans="1:34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spans="1:34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spans="1:34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spans="1:34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spans="1:34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spans="1:34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spans="1:34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spans="1:34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spans="1:34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spans="1:34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spans="1:34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spans="1:34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spans="1:34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 spans="1:34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spans="1:34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spans="1:34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spans="1:34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spans="1:34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spans="1:34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spans="1:34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spans="1:34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spans="1:34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spans="1:34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spans="1:34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spans="1:34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spans="1:34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spans="1:34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spans="1:34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spans="1:34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spans="1:34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spans="1:34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spans="1:34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spans="1:34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spans="1:34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spans="1:34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spans="1:34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 spans="1:34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spans="1:34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spans="1:34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spans="1:34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spans="1:34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spans="1:34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spans="1:34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spans="1:34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spans="1:34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spans="1:34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spans="1:34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spans="1:34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spans="1:34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spans="1:34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spans="1:34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spans="1:34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spans="1:34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spans="1:34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spans="1:34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 spans="1:34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spans="1:34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spans="1:34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spans="1:34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spans="1:34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spans="1:34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 spans="1:34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spans="1:34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spans="1:34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spans="1:34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spans="1:34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spans="1:34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spans="1:34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spans="1:34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spans="1:34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spans="1:34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spans="1:34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spans="1:34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spans="1:34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spans="1:34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spans="1:34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spans="1:34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spans="1:34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spans="1:34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spans="1:34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spans="1:34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spans="1:34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spans="1:34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spans="1:34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spans="1:34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 spans="1:34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spans="1:34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spans="1:34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spans="1:34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spans="1:34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spans="1:34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spans="1:34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spans="1:34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spans="1:34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 spans="1:34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spans="1:34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spans="1:34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spans="1:34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spans="1:34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spans="1:34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spans="1:34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spans="1:34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spans="1:34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spans="1:34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spans="1:34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 spans="1:34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 spans="1:34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 spans="1:34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 spans="1:34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 spans="1:34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 spans="1:34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 spans="1:34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 spans="1:34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spans="1:34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 spans="1:34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 spans="1:34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 spans="1:34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 spans="1:34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 spans="1:34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 spans="1:34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 spans="1:34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 spans="1:34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 spans="1:34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spans="1:34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 spans="1:34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 spans="1:34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 spans="1:34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 spans="1:34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 spans="1:34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 spans="1:34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 spans="1:34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 spans="1:34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 spans="1:34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 spans="1:34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 spans="1:34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 spans="1:34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 spans="1:34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 spans="1:34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 spans="1:34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 spans="1:34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 spans="1:34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 spans="1:34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 spans="1:34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 spans="1:34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 spans="1:34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 spans="1:34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 spans="1:34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 spans="1:34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 spans="1:34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 spans="1:34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 spans="1:34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 spans="1:34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 spans="1:34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 spans="1:34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 spans="1:34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 spans="1:34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 spans="1:34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 spans="1:34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 spans="1:34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 spans="1:34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 spans="1:34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 spans="1:34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 spans="1:34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 spans="1:34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 spans="1:34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 spans="1:34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 spans="1:34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 spans="1:34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 spans="1:34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 spans="1:34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 spans="1:34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 spans="1:34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 spans="1:34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 spans="1:34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 spans="1:34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 spans="1:34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 spans="1:34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 spans="1:34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 spans="1:34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 spans="1:34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 spans="1:34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 spans="1:34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 spans="1:34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 spans="1:34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 spans="1:34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 spans="1:34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 spans="1:34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 spans="1:34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 spans="1:34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 spans="1:34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 spans="1:34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 spans="1:34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 spans="1:34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 spans="1:34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 spans="1:34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 spans="1:34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 spans="1:34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 spans="1:34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 spans="1:34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 spans="1:34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 spans="1:34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 spans="1:34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 spans="1:34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 spans="1:34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 spans="1:34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 spans="1:34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 spans="1:34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 spans="1:34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 spans="1:34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 spans="1:34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 spans="1:34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 spans="1:34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 spans="1:34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 spans="1:34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 spans="1:34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 spans="1:34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 spans="1:34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 spans="1:34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 spans="1:34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 spans="1:34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 spans="1:34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 spans="1:34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 spans="1:34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 spans="1:34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 spans="1:34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 spans="1:34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 spans="1:34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 spans="1:34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 spans="1:34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 spans="1:34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 spans="1:34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 spans="1:34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 spans="1:34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 spans="1:34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 spans="1:34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 spans="1:34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 spans="1:34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 spans="1:34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 spans="1:34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 spans="1:34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 spans="1:34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 spans="1:34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 spans="1:34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 spans="1:34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 spans="1:34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 spans="1:34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 spans="1:34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 spans="1:34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 spans="1:34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 spans="1:34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 spans="1:34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 spans="1:34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 spans="1:34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 spans="1:34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 spans="1:34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 spans="1:34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 spans="1:34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 spans="1:34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 spans="1:34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 spans="1:34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 spans="1:34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 spans="1:34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 spans="1:34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 spans="1:34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 spans="1:34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 spans="1:34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 spans="1:34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 spans="1:34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 spans="1:34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 spans="1:34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 spans="1:34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 spans="1:34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 spans="1:34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 spans="1:34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 spans="1:34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 spans="1:34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 spans="1:34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 spans="1:34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 spans="1:34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 spans="1:34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 spans="1:34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 spans="1:34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 spans="1:34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 spans="1:34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 spans="1:34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 spans="1:34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 spans="1:34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 spans="1:34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 spans="1:34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 spans="1:34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 spans="1:34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 spans="1:34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 spans="1:34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 spans="1:34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 spans="1:34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 spans="1:34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 spans="1:34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 spans="1:34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 spans="1:34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 spans="1:34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 spans="1:34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 spans="1:34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 spans="1:34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 spans="1:34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 spans="1:34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 spans="1:34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 spans="1:34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 spans="1:34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 spans="1:34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 spans="1:34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 spans="1:34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 spans="1:34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 spans="1:34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 spans="1:34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 spans="1:34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 spans="1:34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 spans="1:34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 spans="1:34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 spans="1:34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 spans="1:34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 spans="1:34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 spans="1:34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 spans="1:34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 spans="1:34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 spans="1:34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 spans="1:34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 spans="1:34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 spans="1:34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 spans="1:34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 spans="1:34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 spans="1:34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 spans="1:34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 spans="1:34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 spans="1:34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 spans="1:34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 spans="1:34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 spans="1:34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 spans="1:34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 spans="1:34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 spans="1:34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 spans="1:34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 spans="1:34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 spans="1:34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 spans="1:34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 spans="1:34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 spans="1:34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 spans="1:34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 spans="1:34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 spans="1:34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 spans="1:34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 spans="1:34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 spans="1:34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 spans="1:34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 spans="1:34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 spans="1:34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 spans="1:34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 spans="1:34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 spans="1:34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r="1000" spans="1:34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</sheetData>
  <pageMargins left="0.7" right="0.7" top="0.75" bottom="0.75" header="0" footer="0"/>
  <pageSetup orientation="landscape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806E-602E-4BF5-98BF-D94377761CDE}">
  <dimension ref="A2:U45"/>
  <sheetViews>
    <sheetView tabSelected="1" topLeftCell="P1" zoomScale="82" zoomScaleNormal="85" workbookViewId="0">
      <selection activeCell="AD38" sqref="AD38"/>
    </sheetView>
  </sheetViews>
  <sheetFormatPr defaultColWidth="9.140625" defaultRowHeight="15" x14ac:dyDescent="0.25"/>
  <cols>
    <col min="1" max="1" width="22" style="78" customWidth="1"/>
    <col min="2" max="2" width="21.7109375" style="78" customWidth="1"/>
    <col min="3" max="8" width="19.140625" style="79" customWidth="1"/>
    <col min="9" max="9" width="10.140625" style="78" customWidth="1"/>
    <col min="10" max="14" width="9.140625" style="78"/>
    <col min="15" max="15" width="21.140625" style="78" customWidth="1"/>
    <col min="16" max="20" width="18.42578125" style="78" customWidth="1"/>
    <col min="21" max="16384" width="9.140625" style="78"/>
  </cols>
  <sheetData>
    <row r="2" spans="1:21" ht="18.75" x14ac:dyDescent="0.3">
      <c r="A2" s="77" t="s">
        <v>182</v>
      </c>
      <c r="B2" s="78" t="s">
        <v>170</v>
      </c>
      <c r="O2" s="80" t="s">
        <v>171</v>
      </c>
    </row>
    <row r="3" spans="1:21" x14ac:dyDescent="0.25">
      <c r="B3" s="98" t="s">
        <v>172</v>
      </c>
      <c r="C3" s="99" t="s">
        <v>173</v>
      </c>
      <c r="D3" s="99"/>
      <c r="E3" s="99"/>
      <c r="F3" s="99"/>
      <c r="G3" s="99"/>
      <c r="H3" s="82"/>
      <c r="O3" s="98" t="s">
        <v>172</v>
      </c>
      <c r="P3" s="100" t="s">
        <v>173</v>
      </c>
      <c r="Q3" s="100"/>
      <c r="R3" s="100"/>
      <c r="S3" s="100"/>
      <c r="T3" s="83"/>
      <c r="U3" s="84"/>
    </row>
    <row r="4" spans="1:21" x14ac:dyDescent="0.25">
      <c r="B4" s="98"/>
      <c r="C4" s="83" t="s">
        <v>174</v>
      </c>
      <c r="D4" s="83" t="s">
        <v>175</v>
      </c>
      <c r="E4" s="83" t="s">
        <v>34</v>
      </c>
      <c r="F4" s="83" t="s">
        <v>176</v>
      </c>
      <c r="G4" s="83" t="s">
        <v>177</v>
      </c>
      <c r="H4" s="83" t="str">
        <f>'E-Bus MM'!AR21</f>
        <v>Energy Efficiency</v>
      </c>
      <c r="O4" s="98"/>
      <c r="P4" s="81" t="s">
        <v>174</v>
      </c>
      <c r="Q4" s="81" t="s">
        <v>126</v>
      </c>
      <c r="R4" s="81" t="s">
        <v>177</v>
      </c>
      <c r="S4" s="81" t="s">
        <v>176</v>
      </c>
      <c r="T4" s="81" t="str">
        <f>'ICE-Bus MM'!AO21</f>
        <v>Energy Efficiency</v>
      </c>
    </row>
    <row r="5" spans="1:21" x14ac:dyDescent="0.25">
      <c r="B5" s="85">
        <f>'E-Bus MM'!AL22</f>
        <v>-50</v>
      </c>
      <c r="C5" s="86">
        <f>'E-Bus MM'!AM22</f>
        <v>-44.348524215601159</v>
      </c>
      <c r="D5" s="86">
        <f>'E-Bus MM'!AN22</f>
        <v>-2.2695235788094346</v>
      </c>
      <c r="E5" s="86">
        <f>'E-Bus MM'!AO22</f>
        <v>-5.2282354199009768</v>
      </c>
      <c r="F5" s="86">
        <f>'E-Bus MM'!AP22</f>
        <v>-13.433674185247375</v>
      </c>
      <c r="G5" s="86">
        <f>'E-Bus MM'!AQ22</f>
        <v>-11.164150606437961</v>
      </c>
      <c r="H5" s="86">
        <f>'E-Bus MM'!AR22</f>
        <v>2.2695235788094132</v>
      </c>
      <c r="O5" s="85">
        <f>'ICE-Bus MM'!AJ22</f>
        <v>-50</v>
      </c>
      <c r="P5" s="87">
        <f>'ICE-Bus MM'!AK22</f>
        <v>-21.327247661165913</v>
      </c>
      <c r="Q5" s="87">
        <f>'ICE-Bus MM'!AL22</f>
        <v>-24.172700884987403</v>
      </c>
      <c r="R5" s="87">
        <f>'ICE-Bus MM'!AM22</f>
        <v>-8.2714664230594934</v>
      </c>
      <c r="S5" s="87">
        <f>'ICE-Bus MM'!AN22</f>
        <v>-32.444167308046886</v>
      </c>
      <c r="T5" s="87">
        <f>'ICE-Bus MM'!AO22</f>
        <v>24.172700884987361</v>
      </c>
    </row>
    <row r="6" spans="1:21" x14ac:dyDescent="0.25">
      <c r="B6" s="85">
        <f>'E-Bus MM'!AL23</f>
        <v>-40</v>
      </c>
      <c r="C6" s="86">
        <f>'E-Bus MM'!AM23</f>
        <v>-35.478819372480942</v>
      </c>
      <c r="D6" s="86">
        <f>'E-Bus MM'!AN23</f>
        <v>-1.8156188630475436</v>
      </c>
      <c r="E6" s="86">
        <f>'E-Bus MM'!AO23</f>
        <v>-4.18258833592082</v>
      </c>
      <c r="F6" s="86">
        <f>'E-Bus MM'!AP23</f>
        <v>-10.746939348197905</v>
      </c>
      <c r="G6" s="86">
        <f>'E-Bus MM'!AQ23</f>
        <v>-8.931320485150362</v>
      </c>
      <c r="H6" s="86">
        <f>'E-Bus MM'!AR23</f>
        <v>1.8156188630475005</v>
      </c>
      <c r="O6" s="85">
        <f>'ICE-Bus MM'!AJ23</f>
        <v>-40</v>
      </c>
      <c r="P6" s="87">
        <f>'ICE-Bus MM'!AK23</f>
        <v>-17.061798128932729</v>
      </c>
      <c r="Q6" s="87">
        <f>'ICE-Bus MM'!AL23</f>
        <v>-19.338160707989907</v>
      </c>
      <c r="R6" s="87">
        <f>'ICE-Bus MM'!AM23</f>
        <v>-6.6171731384476056</v>
      </c>
      <c r="S6" s="87">
        <f>'ICE-Bus MM'!AN23</f>
        <v>-25.955333846437529</v>
      </c>
      <c r="T6" s="87">
        <f>'ICE-Bus MM'!AO23</f>
        <v>19.338160707989882</v>
      </c>
    </row>
    <row r="7" spans="1:21" x14ac:dyDescent="0.25">
      <c r="B7" s="85">
        <f>'E-Bus MM'!AL24</f>
        <v>-30</v>
      </c>
      <c r="C7" s="86">
        <f>'E-Bus MM'!AM24</f>
        <v>-26.609114529360717</v>
      </c>
      <c r="D7" s="86">
        <f>'E-Bus MM'!AN24</f>
        <v>-1.3617141472856522</v>
      </c>
      <c r="E7" s="86">
        <f>'E-Bus MM'!AO24</f>
        <v>-3.1369412519405988</v>
      </c>
      <c r="F7" s="86">
        <f>'E-Bus MM'!AP24</f>
        <v>-8.0602045111484255</v>
      </c>
      <c r="G7" s="86">
        <f>'E-Bus MM'!AQ24</f>
        <v>-6.6984903638628159</v>
      </c>
      <c r="H7" s="86">
        <f>'E-Bus MM'!AR24</f>
        <v>1.3617141472856309</v>
      </c>
      <c r="O7" s="85">
        <f>'ICE-Bus MM'!AJ24</f>
        <v>-30</v>
      </c>
      <c r="P7" s="87">
        <f>'ICE-Bus MM'!AK24</f>
        <v>-12.796348596699541</v>
      </c>
      <c r="Q7" s="87">
        <f>'ICE-Bus MM'!AL24</f>
        <v>-14.503620530992453</v>
      </c>
      <c r="R7" s="87">
        <f>'ICE-Bus MM'!AM24</f>
        <v>-4.9628798538357177</v>
      </c>
      <c r="S7" s="87">
        <f>'ICE-Bus MM'!AN24</f>
        <v>-19.466500384828116</v>
      </c>
      <c r="T7" s="87">
        <f>'ICE-Bus MM'!AO24</f>
        <v>14.503620530992428</v>
      </c>
    </row>
    <row r="8" spans="1:21" x14ac:dyDescent="0.25">
      <c r="B8" s="85">
        <f>'E-Bus MM'!AL25</f>
        <v>-20</v>
      </c>
      <c r="C8" s="86">
        <f>'E-Bus MM'!AM25</f>
        <v>-17.739409686240464</v>
      </c>
      <c r="D8" s="86">
        <f>'E-Bus MM'!AN25</f>
        <v>-0.90780943152378235</v>
      </c>
      <c r="E8" s="86">
        <f>'E-Bus MM'!AO25</f>
        <v>-2.091294167960442</v>
      </c>
      <c r="F8" s="86">
        <f>'E-Bus MM'!AP25</f>
        <v>-5.373469674098958</v>
      </c>
      <c r="G8" s="86">
        <f>'E-Bus MM'!AQ25</f>
        <v>-4.4656602425752183</v>
      </c>
      <c r="H8" s="86">
        <f>'E-Bus MM'!AR25</f>
        <v>0.90780943152373972</v>
      </c>
      <c r="O8" s="85">
        <f>'ICE-Bus MM'!AJ25</f>
        <v>-20</v>
      </c>
      <c r="P8" s="87">
        <f>'ICE-Bus MM'!AK25</f>
        <v>-8.5308990644663716</v>
      </c>
      <c r="Q8" s="87">
        <f>'ICE-Bus MM'!AL25</f>
        <v>-9.6690803539949606</v>
      </c>
      <c r="R8" s="87">
        <f>'ICE-Bus MM'!AM25</f>
        <v>-3.308586569223789</v>
      </c>
      <c r="S8" s="87">
        <f>'ICE-Bus MM'!AN25</f>
        <v>-12.977666923218765</v>
      </c>
      <c r="T8" s="87">
        <f>'ICE-Bus MM'!AO25</f>
        <v>9.6690803539949339</v>
      </c>
    </row>
    <row r="9" spans="1:21" x14ac:dyDescent="0.25">
      <c r="B9" s="85">
        <f>'E-Bus MM'!AL26</f>
        <v>-10</v>
      </c>
      <c r="C9" s="86">
        <f>'E-Bus MM'!AM26</f>
        <v>-8.8697048431202212</v>
      </c>
      <c r="D9" s="86">
        <f>'E-Bus MM'!AN26</f>
        <v>-0.45390471576189118</v>
      </c>
      <c r="E9" s="86">
        <f>'E-Bus MM'!AO26</f>
        <v>-1.0456470839801997</v>
      </c>
      <c r="F9" s="86">
        <f>'E-Bus MM'!AP26</f>
        <v>-2.6867348370494684</v>
      </c>
      <c r="G9" s="86">
        <f>'E-Bus MM'!AQ26</f>
        <v>-2.2328301212876198</v>
      </c>
      <c r="H9" s="86">
        <f>'E-Bus MM'!AR26</f>
        <v>0.45390471576186986</v>
      </c>
      <c r="O9" s="85">
        <f>'ICE-Bus MM'!AJ26</f>
        <v>-10</v>
      </c>
      <c r="P9" s="87">
        <f>'ICE-Bus MM'!AK26</f>
        <v>-4.2654495322331858</v>
      </c>
      <c r="Q9" s="87">
        <f>'ICE-Bus MM'!AL26</f>
        <v>-4.834540176997467</v>
      </c>
      <c r="R9" s="87">
        <f>'ICE-Bus MM'!AM26</f>
        <v>-1.6542932846118878</v>
      </c>
      <c r="S9" s="87">
        <f>'ICE-Bus MM'!AN26</f>
        <v>-6.4888334616093681</v>
      </c>
      <c r="T9" s="87">
        <f>'ICE-Bus MM'!AO26</f>
        <v>4.834540176997467</v>
      </c>
    </row>
    <row r="10" spans="1:21" x14ac:dyDescent="0.25">
      <c r="B10" s="85">
        <f>'E-Bus MM'!AL27</f>
        <v>0</v>
      </c>
      <c r="C10" s="86">
        <f>'E-Bus MM'!AM27</f>
        <v>0</v>
      </c>
      <c r="D10" s="86">
        <f>'E-Bus MM'!AN27</f>
        <v>0</v>
      </c>
      <c r="E10" s="86">
        <f>'E-Bus MM'!AO27</f>
        <v>0</v>
      </c>
      <c r="F10" s="86">
        <f>'E-Bus MM'!AP27</f>
        <v>0</v>
      </c>
      <c r="G10" s="86">
        <f>'E-Bus MM'!AQ27</f>
        <v>0</v>
      </c>
      <c r="H10" s="86">
        <f>'E-Bus MM'!AR27</f>
        <v>0</v>
      </c>
      <c r="O10" s="85">
        <f>'ICE-Bus MM'!AJ27</f>
        <v>0</v>
      </c>
      <c r="P10" s="87">
        <f>'ICE-Bus MM'!AK27</f>
        <v>0</v>
      </c>
      <c r="Q10" s="87">
        <f>'ICE-Bus MM'!AL27</f>
        <v>0</v>
      </c>
      <c r="R10" s="87">
        <f>'ICE-Bus MM'!AM27</f>
        <v>0</v>
      </c>
      <c r="S10" s="87">
        <f>'ICE-Bus MM'!AN27</f>
        <v>0</v>
      </c>
      <c r="T10" s="87">
        <f>'ICE-Bus MM'!AO27</f>
        <v>0</v>
      </c>
    </row>
    <row r="11" spans="1:21" x14ac:dyDescent="0.25">
      <c r="B11" s="85">
        <f>'E-Bus MM'!AL28</f>
        <v>10</v>
      </c>
      <c r="C11" s="86">
        <f>'E-Bus MM'!AM28</f>
        <v>8.8697048431202425</v>
      </c>
      <c r="D11" s="86">
        <f>'E-Bus MM'!AN28</f>
        <v>0.45390471576186986</v>
      </c>
      <c r="E11" s="86">
        <f>'E-Bus MM'!AO28</f>
        <v>1.0456470839801997</v>
      </c>
      <c r="F11" s="86">
        <f>'E-Bus MM'!AP28</f>
        <v>2.686734837049447</v>
      </c>
      <c r="G11" s="86">
        <f>'E-Bus MM'!AQ28</f>
        <v>2.2328301212875985</v>
      </c>
      <c r="H11" s="86">
        <f>'E-Bus MM'!AR28</f>
        <v>-0.45390471576189118</v>
      </c>
      <c r="O11" s="85">
        <f>'ICE-Bus MM'!AJ28</f>
        <v>10</v>
      </c>
      <c r="P11" s="87">
        <f>'ICE-Bus MM'!AK28</f>
        <v>4.2654495322331991</v>
      </c>
      <c r="Q11" s="87">
        <f>'ICE-Bus MM'!AL28</f>
        <v>4.834540176997467</v>
      </c>
      <c r="R11" s="87">
        <f>'ICE-Bus MM'!AM28</f>
        <v>1.6542932846118878</v>
      </c>
      <c r="S11" s="87">
        <f>'ICE-Bus MM'!AN28</f>
        <v>6.4888334616093948</v>
      </c>
      <c r="T11" s="87">
        <f>'ICE-Bus MM'!AO28</f>
        <v>-4.834540176997467</v>
      </c>
    </row>
    <row r="12" spans="1:21" x14ac:dyDescent="0.25">
      <c r="B12" s="85">
        <f>'E-Bus MM'!AL29</f>
        <v>20</v>
      </c>
      <c r="C12" s="86">
        <f>'E-Bus MM'!AM29</f>
        <v>17.739409686240442</v>
      </c>
      <c r="D12" s="86">
        <f>'E-Bus MM'!AN29</f>
        <v>0.90780943152373972</v>
      </c>
      <c r="E12" s="86">
        <f>'E-Bus MM'!AO29</f>
        <v>2.0912941679603994</v>
      </c>
      <c r="F12" s="86">
        <f>'E-Bus MM'!AP29</f>
        <v>5.3734696740989154</v>
      </c>
      <c r="G12" s="86">
        <f>'E-Bus MM'!AQ29</f>
        <v>4.4656602425751544</v>
      </c>
      <c r="H12" s="86">
        <f>'E-Bus MM'!AR29</f>
        <v>-0.90780943152378235</v>
      </c>
      <c r="O12" s="85">
        <f>'ICE-Bus MM'!AJ29</f>
        <v>20</v>
      </c>
      <c r="P12" s="87">
        <f>'ICE-Bus MM'!AK29</f>
        <v>8.5308990644663716</v>
      </c>
      <c r="Q12" s="87">
        <f>'ICE-Bus MM'!AL29</f>
        <v>9.6690803539949339</v>
      </c>
      <c r="R12" s="87">
        <f>'ICE-Bus MM'!AM29</f>
        <v>3.3085865692238028</v>
      </c>
      <c r="S12" s="87">
        <f>'ICE-Bus MM'!AN29</f>
        <v>12.977666923218736</v>
      </c>
      <c r="T12" s="87">
        <f>'ICE-Bus MM'!AO29</f>
        <v>-9.6690803539949606</v>
      </c>
    </row>
    <row r="13" spans="1:21" x14ac:dyDescent="0.25">
      <c r="B13" s="85">
        <f>'E-Bus MM'!AL30</f>
        <v>30</v>
      </c>
      <c r="C13" s="86">
        <f>'E-Bus MM'!AM30</f>
        <v>26.609114529360667</v>
      </c>
      <c r="D13" s="86">
        <f>'E-Bus MM'!AN30</f>
        <v>1.3617141472856309</v>
      </c>
      <c r="E13" s="86">
        <f>'E-Bus MM'!AO30</f>
        <v>3.1369412519405557</v>
      </c>
      <c r="F13" s="86">
        <f>'E-Bus MM'!AP30</f>
        <v>8.0602045111484255</v>
      </c>
      <c r="G13" s="86">
        <f>'E-Bus MM'!AQ30</f>
        <v>6.6984903638627529</v>
      </c>
      <c r="H13" s="86">
        <f>'E-Bus MM'!AR30</f>
        <v>-1.3617141472856522</v>
      </c>
      <c r="O13" s="85">
        <f>'ICE-Bus MM'!AJ30</f>
        <v>30</v>
      </c>
      <c r="P13" s="87">
        <f>'ICE-Bus MM'!AK30</f>
        <v>12.796348596699556</v>
      </c>
      <c r="Q13" s="87">
        <f>'ICE-Bus MM'!AL30</f>
        <v>14.503620530992428</v>
      </c>
      <c r="R13" s="87">
        <f>'ICE-Bus MM'!AM30</f>
        <v>4.9628798538357044</v>
      </c>
      <c r="S13" s="87">
        <f>'ICE-Bus MM'!AN30</f>
        <v>19.466500384828091</v>
      </c>
      <c r="T13" s="87">
        <f>'ICE-Bus MM'!AO30</f>
        <v>-14.503620530992453</v>
      </c>
    </row>
    <row r="14" spans="1:21" x14ac:dyDescent="0.25">
      <c r="B14" s="85">
        <f>'E-Bus MM'!AL31</f>
        <v>40</v>
      </c>
      <c r="C14" s="86">
        <f>'E-Bus MM'!AM31</f>
        <v>35.478819372480864</v>
      </c>
      <c r="D14" s="86">
        <f>'E-Bus MM'!AN31</f>
        <v>1.8156188630475005</v>
      </c>
      <c r="E14" s="86">
        <f>'E-Bus MM'!AO31</f>
        <v>4.1825883359207765</v>
      </c>
      <c r="F14" s="86">
        <f>'E-Bus MM'!AP31</f>
        <v>10.746939348197873</v>
      </c>
      <c r="G14" s="86">
        <f>'E-Bus MM'!AQ31</f>
        <v>8.9313204851503301</v>
      </c>
      <c r="H14" s="86">
        <f>'E-Bus MM'!AR31</f>
        <v>-1.8156188630475436</v>
      </c>
      <c r="O14" s="85">
        <f>'ICE-Bus MM'!AJ31</f>
        <v>40</v>
      </c>
      <c r="P14" s="87">
        <f>'ICE-Bus MM'!AK31</f>
        <v>17.061798128932729</v>
      </c>
      <c r="Q14" s="87">
        <f>'ICE-Bus MM'!AL31</f>
        <v>19.338160707989882</v>
      </c>
      <c r="R14" s="87">
        <f>'ICE-Bus MM'!AM31</f>
        <v>6.6171731384475923</v>
      </c>
      <c r="S14" s="87">
        <f>'ICE-Bus MM'!AN31</f>
        <v>25.955333846437501</v>
      </c>
      <c r="T14" s="87">
        <f>'ICE-Bus MM'!AO31</f>
        <v>-19.338160707989907</v>
      </c>
    </row>
    <row r="15" spans="1:21" x14ac:dyDescent="0.25">
      <c r="B15" s="85">
        <f>'E-Bus MM'!AL32</f>
        <v>50</v>
      </c>
      <c r="C15" s="86">
        <f>'E-Bus MM'!AM32</f>
        <v>44.348524215601124</v>
      </c>
      <c r="D15" s="86">
        <f>'E-Bus MM'!AN32</f>
        <v>2.2695235788094132</v>
      </c>
      <c r="E15" s="86">
        <f>'E-Bus MM'!AO32</f>
        <v>5.2282354199009768</v>
      </c>
      <c r="F15" s="86">
        <f>'E-Bus MM'!AP32</f>
        <v>13.433674185247362</v>
      </c>
      <c r="G15" s="86">
        <f>'E-Bus MM'!AQ32</f>
        <v>11.164150606437929</v>
      </c>
      <c r="H15" s="86">
        <f>'E-Bus MM'!AR32</f>
        <v>-2.2695235788094346</v>
      </c>
      <c r="O15" s="85">
        <f>'ICE-Bus MM'!AJ32</f>
        <v>50</v>
      </c>
      <c r="P15" s="87">
        <f>'ICE-Bus MM'!AK32</f>
        <v>21.327247661165941</v>
      </c>
      <c r="Q15" s="87">
        <f>'ICE-Bus MM'!AL32</f>
        <v>24.172700884987361</v>
      </c>
      <c r="R15" s="87">
        <f>'ICE-Bus MM'!AM32</f>
        <v>8.2714664230594934</v>
      </c>
      <c r="S15" s="87">
        <f>'ICE-Bus MM'!AN32</f>
        <v>32.444167308046865</v>
      </c>
      <c r="T15" s="87">
        <f>'ICE-Bus MM'!AO32</f>
        <v>-24.172700884987403</v>
      </c>
    </row>
    <row r="17" spans="2:20" x14ac:dyDescent="0.25">
      <c r="B17" s="80" t="s">
        <v>178</v>
      </c>
      <c r="O17" s="80" t="s">
        <v>179</v>
      </c>
    </row>
    <row r="18" spans="2:20" x14ac:dyDescent="0.25">
      <c r="B18" s="98" t="s">
        <v>172</v>
      </c>
      <c r="C18" s="99" t="s">
        <v>173</v>
      </c>
      <c r="D18" s="99"/>
      <c r="E18" s="99"/>
      <c r="F18" s="99"/>
      <c r="G18" s="99"/>
      <c r="H18" s="82"/>
      <c r="O18" s="98" t="s">
        <v>172</v>
      </c>
      <c r="P18" s="100" t="s">
        <v>173</v>
      </c>
      <c r="Q18" s="100"/>
      <c r="R18" s="100"/>
      <c r="S18" s="100"/>
      <c r="T18" s="83"/>
    </row>
    <row r="19" spans="2:20" x14ac:dyDescent="0.25">
      <c r="B19" s="98"/>
      <c r="C19" s="83" t="s">
        <v>174</v>
      </c>
      <c r="D19" s="83" t="s">
        <v>175</v>
      </c>
      <c r="E19" s="83" t="s">
        <v>34</v>
      </c>
      <c r="F19" s="83" t="s">
        <v>176</v>
      </c>
      <c r="G19" s="83" t="s">
        <v>177</v>
      </c>
      <c r="H19" s="83" t="str">
        <f>'E-Truck MM '!AR21</f>
        <v>Energy Efficiency</v>
      </c>
      <c r="O19" s="98"/>
      <c r="P19" s="81" t="s">
        <v>174</v>
      </c>
      <c r="Q19" s="81" t="s">
        <v>126</v>
      </c>
      <c r="R19" s="81" t="s">
        <v>177</v>
      </c>
      <c r="S19" s="81" t="s">
        <v>176</v>
      </c>
      <c r="T19" s="81" t="str">
        <f>'ICE-Truck MM '!AO21</f>
        <v>Energy Efficiency</v>
      </c>
    </row>
    <row r="20" spans="2:20" x14ac:dyDescent="0.25">
      <c r="B20" s="85">
        <f>'E-Truck MM '!AL22</f>
        <v>-50</v>
      </c>
      <c r="C20" s="86">
        <f>'E-Truck MM '!AM22</f>
        <v>-40.998921951842114</v>
      </c>
      <c r="D20" s="86">
        <f>'E-Truck MM '!AN22</f>
        <v>-2.0010222553919843</v>
      </c>
      <c r="E20" s="86">
        <f>'E-Truck MM '!AO22</f>
        <v>-6.0041887494332551</v>
      </c>
      <c r="F20" s="86">
        <f>'E-Truck MM '!AP22</f>
        <v>-16.678340576018023</v>
      </c>
      <c r="G20" s="86">
        <f>'E-Truck MM '!AQ22</f>
        <v>-8.782368441802026</v>
      </c>
      <c r="H20" s="86">
        <f>'E-Truck MM '!AR22</f>
        <v>2.0010222553919355</v>
      </c>
      <c r="O20" s="85">
        <f>'ICE-Truck MM '!AJ22</f>
        <v>-50</v>
      </c>
      <c r="P20" s="87">
        <f>'ICE-Truck MM '!AK22</f>
        <v>-7.4188029411878773</v>
      </c>
      <c r="Q20" s="87">
        <f>'ICE-Truck MM '!AL22</f>
        <v>-29.197197496030974</v>
      </c>
      <c r="R20" s="87">
        <f>'ICE-Truck MM '!AM22</f>
        <v>-14.70995225046604</v>
      </c>
      <c r="S20" s="87">
        <f>'ICE-Truck MM '!AN22</f>
        <v>-43.907149746497005</v>
      </c>
      <c r="T20" s="87">
        <f>'ICE-Truck MM '!AO22</f>
        <v>29.197197496030952</v>
      </c>
    </row>
    <row r="21" spans="2:20" x14ac:dyDescent="0.25">
      <c r="B21" s="85">
        <f>'E-Truck MM '!AL23</f>
        <v>-40</v>
      </c>
      <c r="C21" s="86">
        <f>'E-Truck MM '!AM23</f>
        <v>-32.7991375614737</v>
      </c>
      <c r="D21" s="86">
        <f>'E-Truck MM '!AN23</f>
        <v>-1.6008178043135728</v>
      </c>
      <c r="E21" s="86">
        <f>'E-Truck MM '!AO23</f>
        <v>-4.8033509995465842</v>
      </c>
      <c r="F21" s="86">
        <f>'E-Truck MM '!AP23</f>
        <v>-14.024558976535747</v>
      </c>
      <c r="G21" s="86">
        <f>'E-Truck MM '!AQ23</f>
        <v>-7.0258947534416212</v>
      </c>
      <c r="H21" s="86">
        <f>'E-Truck MM '!AR23</f>
        <v>1.6008178043135608</v>
      </c>
      <c r="O21" s="85">
        <f>'ICE-Truck MM '!AJ23</f>
        <v>-40</v>
      </c>
      <c r="P21" s="87">
        <f>'ICE-Truck MM '!AK23</f>
        <v>-5.9350423529502967</v>
      </c>
      <c r="Q21" s="87">
        <f>'ICE-Truck MM '!AL23</f>
        <v>-23.357757996824784</v>
      </c>
      <c r="R21" s="87">
        <f>'ICE-Truck MM '!AM23</f>
        <v>-11.767961800372815</v>
      </c>
      <c r="S21" s="87">
        <f>'ICE-Truck MM '!AN23</f>
        <v>-35.125719797197604</v>
      </c>
      <c r="T21" s="87">
        <f>'ICE-Truck MM '!AO23</f>
        <v>23.35775799682477</v>
      </c>
    </row>
    <row r="22" spans="2:20" x14ac:dyDescent="0.25">
      <c r="B22" s="85">
        <f>'E-Truck MM '!AL24</f>
        <v>-30</v>
      </c>
      <c r="C22" s="86">
        <f>'E-Truck MM '!AM24</f>
        <v>-24.599353171105278</v>
      </c>
      <c r="D22" s="86">
        <f>'E-Truck MM '!AN24</f>
        <v>-1.2006133532351737</v>
      </c>
      <c r="E22" s="86">
        <f>'E-Truck MM '!AO24</f>
        <v>-3.6025132496599381</v>
      </c>
      <c r="F22" s="86">
        <f>'E-Truck MM '!AP24</f>
        <v>-7.2016338094109278</v>
      </c>
      <c r="G22" s="86">
        <f>'E-Truck MM '!AQ24</f>
        <v>-5.2694210650812279</v>
      </c>
      <c r="H22" s="86">
        <f>'E-Truck MM '!AR24</f>
        <v>1.2006133532351613</v>
      </c>
      <c r="O22" s="85">
        <f>'ICE-Truck MM '!AJ24</f>
        <v>-30</v>
      </c>
      <c r="P22" s="87">
        <f>'ICE-Truck MM '!AK24</f>
        <v>-4.451281764712717</v>
      </c>
      <c r="Q22" s="87">
        <f>'ICE-Truck MM '!AL24</f>
        <v>-17.518318497618584</v>
      </c>
      <c r="R22" s="87">
        <f>'ICE-Truck MM '!AM24</f>
        <v>-8.8259713502796266</v>
      </c>
      <c r="S22" s="87">
        <f>'ICE-Truck MM '!AN24</f>
        <v>-26.344289847898221</v>
      </c>
      <c r="T22" s="87">
        <f>'ICE-Truck MM '!AO24</f>
        <v>17.518318497618584</v>
      </c>
    </row>
    <row r="23" spans="2:20" x14ac:dyDescent="0.25">
      <c r="B23" s="85">
        <f>'E-Truck MM '!AL25</f>
        <v>-20</v>
      </c>
      <c r="C23" s="86">
        <f>'E-Truck MM '!AM25</f>
        <v>-16.399568780736864</v>
      </c>
      <c r="D23" s="86">
        <f>'E-Truck MM '!AN25</f>
        <v>-0.80040890215677429</v>
      </c>
      <c r="E23" s="86">
        <f>'E-Truck MM '!AO25</f>
        <v>-2.401675499773317</v>
      </c>
      <c r="F23" s="86">
        <f>'E-Truck MM '!AP25</f>
        <v>-5.044955669972123</v>
      </c>
      <c r="G23" s="86">
        <f>'E-Truck MM '!AQ25</f>
        <v>-3.5129473767208106</v>
      </c>
      <c r="H23" s="86">
        <f>'E-Truck MM '!AR25</f>
        <v>0.80040890215677429</v>
      </c>
      <c r="O23" s="85">
        <f>'ICE-Truck MM '!AJ25</f>
        <v>-20</v>
      </c>
      <c r="P23" s="87">
        <f>'ICE-Truck MM '!AK25</f>
        <v>-2.9675211764751608</v>
      </c>
      <c r="Q23" s="87">
        <f>'ICE-Truck MM '!AL25</f>
        <v>-11.678878998412403</v>
      </c>
      <c r="R23" s="87">
        <f>'ICE-Truck MM '!AM25</f>
        <v>-5.8839809001864136</v>
      </c>
      <c r="S23" s="87">
        <f>'ICE-Truck MM '!AN25</f>
        <v>-17.562859898598802</v>
      </c>
      <c r="T23" s="87">
        <f>'ICE-Truck MM '!AO25</f>
        <v>11.678878998412403</v>
      </c>
    </row>
    <row r="24" spans="2:20" x14ac:dyDescent="0.25">
      <c r="B24" s="85">
        <f>'E-Truck MM '!AL26</f>
        <v>-10</v>
      </c>
      <c r="C24" s="86">
        <f>'E-Truck MM '!AM26</f>
        <v>-8.1997843903684497</v>
      </c>
      <c r="D24" s="86">
        <f>'E-Truck MM '!AN26</f>
        <v>-0.40020445107839936</v>
      </c>
      <c r="E24" s="86">
        <f>'E-Truck MM '!AO26</f>
        <v>-1.2008377498866585</v>
      </c>
      <c r="F24" s="86">
        <f>'E-Truck MM '!AP26</f>
        <v>-2.1566781394388048</v>
      </c>
      <c r="G24" s="86">
        <f>'E-Truck MM '!AQ26</f>
        <v>-1.7564736883604053</v>
      </c>
      <c r="H24" s="86">
        <f>'E-Truck MM '!AR26</f>
        <v>0.40020445107839936</v>
      </c>
      <c r="O24" s="85">
        <f>'ICE-Truck MM '!AJ26</f>
        <v>-10</v>
      </c>
      <c r="P24" s="87">
        <f>'ICE-Truck MM '!AK26</f>
        <v>-1.4837605882375804</v>
      </c>
      <c r="Q24" s="87">
        <f>'ICE-Truck MM '!AL26</f>
        <v>-5.839439499206196</v>
      </c>
      <c r="R24" s="87">
        <f>'ICE-Truck MM '!AM26</f>
        <v>-2.941990450093213</v>
      </c>
      <c r="S24" s="87">
        <f>'ICE-Truck MM '!AN26</f>
        <v>-8.7814299492994081</v>
      </c>
      <c r="T24" s="87">
        <f>'ICE-Truck MM '!AO26</f>
        <v>5.8394394992061827</v>
      </c>
    </row>
    <row r="25" spans="2:20" x14ac:dyDescent="0.25">
      <c r="B25" s="85">
        <f>'E-Truck MM '!AL27</f>
        <v>0</v>
      </c>
      <c r="C25" s="86">
        <f>'E-Truck MM '!AM27</f>
        <v>0</v>
      </c>
      <c r="D25" s="86">
        <f>'E-Truck MM '!AN27</f>
        <v>0</v>
      </c>
      <c r="E25" s="86">
        <f>'E-Truck MM '!AO27</f>
        <v>0</v>
      </c>
      <c r="F25" s="86">
        <f>'E-Truck MM '!AP27</f>
        <v>0</v>
      </c>
      <c r="G25" s="86">
        <f>'E-Truck MM '!AQ27</f>
        <v>0</v>
      </c>
      <c r="H25" s="86">
        <f>'E-Truck MM '!AR27</f>
        <v>0</v>
      </c>
      <c r="O25" s="85">
        <f>'ICE-Truck MM '!AJ27</f>
        <v>0</v>
      </c>
      <c r="P25" s="87">
        <f>'ICE-Truck MM '!AK27</f>
        <v>0</v>
      </c>
      <c r="Q25" s="87">
        <f>'ICE-Truck MM '!AL27</f>
        <v>0</v>
      </c>
      <c r="R25" s="87">
        <f>'ICE-Truck MM '!AM27</f>
        <v>0</v>
      </c>
      <c r="S25" s="87">
        <f>'ICE-Truck MM '!AN27</f>
        <v>0</v>
      </c>
      <c r="T25" s="87">
        <f>'ICE-Truck MM '!AO27</f>
        <v>0</v>
      </c>
    </row>
    <row r="26" spans="2:20" x14ac:dyDescent="0.25">
      <c r="B26" s="85">
        <f>'E-Truck MM '!AL28</f>
        <v>10</v>
      </c>
      <c r="C26" s="86">
        <f>'E-Truck MM '!AM28</f>
        <v>8.1997843903684142</v>
      </c>
      <c r="D26" s="86">
        <f>'E-Truck MM '!AN28</f>
        <v>0.40020445107839936</v>
      </c>
      <c r="E26" s="86">
        <f>'E-Truck MM '!AO28</f>
        <v>1.2008377498866705</v>
      </c>
      <c r="F26" s="86">
        <f>'E-Truck MM '!AP28</f>
        <v>7.5673765735021465</v>
      </c>
      <c r="G26" s="86">
        <f>'E-Truck MM '!AQ28</f>
        <v>1.7564736883603806</v>
      </c>
      <c r="H26" s="86">
        <f>'E-Truck MM '!AR28</f>
        <v>-0.40020445107839936</v>
      </c>
      <c r="O26" s="85">
        <f>'ICE-Truck MM '!AJ28</f>
        <v>10</v>
      </c>
      <c r="P26" s="87">
        <f>'ICE-Truck MM '!AK28</f>
        <v>1.4837605882375557</v>
      </c>
      <c r="Q26" s="87">
        <f>'ICE-Truck MM '!AL28</f>
        <v>5.8394394992061827</v>
      </c>
      <c r="R26" s="87">
        <f>'ICE-Truck MM '!AM28</f>
        <v>2.9419904500931882</v>
      </c>
      <c r="S26" s="87">
        <f>'ICE-Truck MM '!AN28</f>
        <v>8.7814299492994206</v>
      </c>
      <c r="T26" s="87">
        <f>'ICE-Truck MM '!AO28</f>
        <v>-5.839439499206196</v>
      </c>
    </row>
    <row r="27" spans="2:20" x14ac:dyDescent="0.25">
      <c r="B27" s="85">
        <f>'E-Truck MM '!AL29</f>
        <v>20</v>
      </c>
      <c r="C27" s="86">
        <f>'E-Truck MM '!AM29</f>
        <v>16.399568780736804</v>
      </c>
      <c r="D27" s="86">
        <f>'E-Truck MM '!AN29</f>
        <v>0.80040890215677429</v>
      </c>
      <c r="E27" s="86">
        <f>'E-Truck MM '!AO29</f>
        <v>2.4016754997732801</v>
      </c>
      <c r="F27" s="86">
        <f>'E-Truck MM '!AP29</f>
        <v>9.7240547129409265</v>
      </c>
      <c r="G27" s="86">
        <f>'E-Truck MM '!AQ29</f>
        <v>3.5129473767207977</v>
      </c>
      <c r="H27" s="86">
        <f>'E-Truck MM '!AR29</f>
        <v>-0.80040890215677429</v>
      </c>
      <c r="O27" s="85">
        <f>'ICE-Truck MM '!AJ29</f>
        <v>20</v>
      </c>
      <c r="P27" s="87">
        <f>'ICE-Truck MM '!AK29</f>
        <v>2.9675211764751364</v>
      </c>
      <c r="Q27" s="87">
        <f>'ICE-Truck MM '!AL29</f>
        <v>11.678878998412403</v>
      </c>
      <c r="R27" s="87">
        <f>'ICE-Truck MM '!AM29</f>
        <v>5.8839809001863888</v>
      </c>
      <c r="S27" s="87">
        <f>'ICE-Truck MM '!AN29</f>
        <v>17.562859898598777</v>
      </c>
      <c r="T27" s="87">
        <f>'ICE-Truck MM '!AO29</f>
        <v>-11.678878998412403</v>
      </c>
    </row>
    <row r="28" spans="2:20" x14ac:dyDescent="0.25">
      <c r="B28" s="85">
        <f>'E-Truck MM '!AL30</f>
        <v>30</v>
      </c>
      <c r="C28" s="86">
        <f>'E-Truck MM '!AM30</f>
        <v>24.599353171105264</v>
      </c>
      <c r="D28" s="86">
        <f>'E-Truck MM '!AN30</f>
        <v>1.2006133532351613</v>
      </c>
      <c r="E28" s="86">
        <f>'E-Truck MM '!AO30</f>
        <v>3.6025132496599381</v>
      </c>
      <c r="F28" s="86">
        <f>'E-Truck MM '!AP30</f>
        <v>11.880732852379756</v>
      </c>
      <c r="G28" s="86">
        <f>'E-Truck MM '!AQ30</f>
        <v>5.2694210650812279</v>
      </c>
      <c r="H28" s="86">
        <f>'E-Truck MM '!AR30</f>
        <v>-1.2006133532351737</v>
      </c>
      <c r="O28" s="85">
        <f>'ICE-Truck MM '!AJ30</f>
        <v>30</v>
      </c>
      <c r="P28" s="87">
        <f>'ICE-Truck MM '!AK30</f>
        <v>4.451281764712717</v>
      </c>
      <c r="Q28" s="87">
        <f>'ICE-Truck MM '!AL30</f>
        <v>17.518318497618584</v>
      </c>
      <c r="R28" s="87">
        <f>'ICE-Truck MM '!AM30</f>
        <v>8.8259713502796018</v>
      </c>
      <c r="S28" s="87">
        <f>'ICE-Truck MM '!AN30</f>
        <v>26.344289847898178</v>
      </c>
      <c r="T28" s="87">
        <f>'ICE-Truck MM '!AO30</f>
        <v>-17.518318497618584</v>
      </c>
    </row>
    <row r="29" spans="2:20" x14ac:dyDescent="0.25">
      <c r="B29" s="85">
        <f>'E-Truck MM '!AL31</f>
        <v>40</v>
      </c>
      <c r="C29" s="86">
        <f>'E-Truck MM '!AM31</f>
        <v>32.799137561473657</v>
      </c>
      <c r="D29" s="86">
        <f>'E-Truck MM '!AN31</f>
        <v>1.6008178043135608</v>
      </c>
      <c r="E29" s="86">
        <f>'E-Truck MM '!AO31</f>
        <v>4.8033509995465842</v>
      </c>
      <c r="F29" s="86">
        <f>'E-Truck MM '!AP31</f>
        <v>24.871690475264497</v>
      </c>
      <c r="G29" s="86">
        <f>'E-Truck MM '!AQ31</f>
        <v>7.0258947534416212</v>
      </c>
      <c r="H29" s="86">
        <f>'E-Truck MM '!AR31</f>
        <v>-1.6008178043135728</v>
      </c>
      <c r="O29" s="85">
        <f>'ICE-Truck MM '!AJ31</f>
        <v>40</v>
      </c>
      <c r="P29" s="87">
        <f>'ICE-Truck MM '!AK31</f>
        <v>5.9350423529502727</v>
      </c>
      <c r="Q29" s="87">
        <f>'ICE-Truck MM '!AL31</f>
        <v>23.35775799682477</v>
      </c>
      <c r="R29" s="87">
        <f>'ICE-Truck MM '!AM31</f>
        <v>11.767961800372815</v>
      </c>
      <c r="S29" s="87">
        <f>'ICE-Truck MM '!AN31</f>
        <v>35.125719797197547</v>
      </c>
      <c r="T29" s="87">
        <f>'ICE-Truck MM '!AO31</f>
        <v>-23.357757996824784</v>
      </c>
    </row>
    <row r="30" spans="2:20" x14ac:dyDescent="0.25">
      <c r="B30" s="85">
        <f>'E-Truck MM '!AL32</f>
        <v>50</v>
      </c>
      <c r="C30" s="86">
        <f>'E-Truck MM '!AM32</f>
        <v>40.998921951842114</v>
      </c>
      <c r="D30" s="86">
        <f>'E-Truck MM '!AN32</f>
        <v>2.0010222553919355</v>
      </c>
      <c r="E30" s="86">
        <f>'E-Truck MM '!AO32</f>
        <v>6.0041887494332427</v>
      </c>
      <c r="F30" s="86">
        <f>'E-Truck MM '!AP32</f>
        <v>27.028368614703286</v>
      </c>
      <c r="G30" s="86">
        <f>'E-Truck MM '!AQ32</f>
        <v>8.782368441802026</v>
      </c>
      <c r="H30" s="86">
        <f>'E-Truck MM '!AR32</f>
        <v>-2.0010222553919843</v>
      </c>
      <c r="O30" s="85">
        <f>'ICE-Truck MM '!AJ32</f>
        <v>50</v>
      </c>
      <c r="P30" s="87">
        <f>'ICE-Truck MM '!AK32</f>
        <v>7.4188029411878533</v>
      </c>
      <c r="Q30" s="87">
        <f>'ICE-Truck MM '!AL32</f>
        <v>29.197197496030952</v>
      </c>
      <c r="R30" s="87">
        <f>'ICE-Truck MM '!AM32</f>
        <v>14.709952250466005</v>
      </c>
      <c r="S30" s="87">
        <f>'ICE-Truck MM '!AN32</f>
        <v>43.907149746496991</v>
      </c>
      <c r="T30" s="87">
        <f>'ICE-Truck MM '!AO32</f>
        <v>-29.197197496030974</v>
      </c>
    </row>
    <row r="32" spans="2:20" x14ac:dyDescent="0.25">
      <c r="B32" s="80" t="s">
        <v>180</v>
      </c>
      <c r="O32" s="80" t="s">
        <v>181</v>
      </c>
    </row>
    <row r="33" spans="2:20" x14ac:dyDescent="0.25">
      <c r="B33" s="98" t="s">
        <v>172</v>
      </c>
      <c r="C33" s="99" t="s">
        <v>173</v>
      </c>
      <c r="D33" s="99"/>
      <c r="E33" s="99"/>
      <c r="F33" s="99"/>
      <c r="G33" s="99"/>
      <c r="H33" s="82"/>
      <c r="O33" s="98" t="s">
        <v>172</v>
      </c>
      <c r="P33" s="100" t="s">
        <v>173</v>
      </c>
      <c r="Q33" s="100"/>
      <c r="R33" s="100"/>
      <c r="S33" s="100"/>
      <c r="T33" s="83"/>
    </row>
    <row r="34" spans="2:20" x14ac:dyDescent="0.25">
      <c r="B34" s="98"/>
      <c r="C34" s="83" t="s">
        <v>174</v>
      </c>
      <c r="D34" s="83" t="s">
        <v>175</v>
      </c>
      <c r="E34" s="83" t="s">
        <v>34</v>
      </c>
      <c r="F34" s="83" t="s">
        <v>176</v>
      </c>
      <c r="G34" s="83" t="s">
        <v>177</v>
      </c>
      <c r="H34" s="83" t="str">
        <f>'E-Cargo MM  '!AR21</f>
        <v>Energy Efficiency</v>
      </c>
      <c r="O34" s="98"/>
      <c r="P34" s="81" t="s">
        <v>174</v>
      </c>
      <c r="Q34" s="81" t="s">
        <v>126</v>
      </c>
      <c r="R34" s="81" t="s">
        <v>177</v>
      </c>
      <c r="S34" s="81" t="s">
        <v>176</v>
      </c>
      <c r="T34" s="81" t="str">
        <f>'ICE-Cargo MM '!AO21</f>
        <v>Energy Efficiency</v>
      </c>
    </row>
    <row r="35" spans="2:20" x14ac:dyDescent="0.25">
      <c r="B35" s="88">
        <f>'E-Cargo MM  '!AL22</f>
        <v>-50</v>
      </c>
      <c r="C35" s="86">
        <f>'E-Cargo MM  '!AM22</f>
        <v>-44.364042214479461</v>
      </c>
      <c r="D35" s="86">
        <f>'E-Cargo MM  '!AN22</f>
        <v>-2.4632499222029836</v>
      </c>
      <c r="E35" s="86">
        <f>'E-Cargo MM  '!AO22</f>
        <v>-10.656023161124246</v>
      </c>
      <c r="F35" s="86">
        <f>'E-Cargo MM  '!AP22</f>
        <v>-17.575140304890834</v>
      </c>
      <c r="G35" s="86">
        <f>'E-Cargo MM  '!AQ22</f>
        <v>-6.0889425115715419</v>
      </c>
      <c r="H35" s="86">
        <f>'E-Cargo MM  '!AR22</f>
        <v>2.4632499222029627</v>
      </c>
      <c r="O35" s="85">
        <f>'ICE-Cargo MM '!AJ22</f>
        <v>-50</v>
      </c>
      <c r="P35" s="87">
        <f>'ICE-Cargo MM '!AK22</f>
        <v>-15.964574810588511</v>
      </c>
      <c r="Q35" s="87">
        <f>'ICE-Cargo MM '!AL22</f>
        <v>-26.696761369401369</v>
      </c>
      <c r="R35" s="87">
        <f>'ICE-Cargo MM '!AM22</f>
        <v>-10.195532335192413</v>
      </c>
      <c r="S35" s="87">
        <f>'ICE-Cargo MM '!AN22</f>
        <v>-36.892293704593818</v>
      </c>
      <c r="T35" s="87">
        <f>'ICE-Cargo MM '!AO22</f>
        <v>26.696761369401383</v>
      </c>
    </row>
    <row r="36" spans="2:20" x14ac:dyDescent="0.25">
      <c r="B36" s="88">
        <f>'E-Cargo MM  '!AL23</f>
        <v>-40</v>
      </c>
      <c r="C36" s="86">
        <f>'E-Cargo MM  '!AM23</f>
        <v>-35.491233771583587</v>
      </c>
      <c r="D36" s="86">
        <f>'E-Cargo MM  '!AN23</f>
        <v>-1.9705999377623578</v>
      </c>
      <c r="E36" s="86">
        <f>'E-Cargo MM  '!AO23</f>
        <v>-8.5248185288993934</v>
      </c>
      <c r="F36" s="86">
        <f>'E-Cargo MM  '!AP23</f>
        <v>-15.864701818135938</v>
      </c>
      <c r="G36" s="86">
        <f>'E-Cargo MM  '!AQ23</f>
        <v>-4.871154009257217</v>
      </c>
      <c r="H36" s="86">
        <f>'E-Cargo MM  '!AR23</f>
        <v>1.9705999377623578</v>
      </c>
      <c r="O36" s="85">
        <f>'ICE-Cargo MM '!AJ23</f>
        <v>-40</v>
      </c>
      <c r="P36" s="87">
        <f>'ICE-Cargo MM '!AK23</f>
        <v>-12.771659848470804</v>
      </c>
      <c r="Q36" s="87">
        <f>'ICE-Cargo MM '!AL23</f>
        <v>-21.357409095521088</v>
      </c>
      <c r="R36" s="87">
        <f>'ICE-Cargo MM '!AM23</f>
        <v>-8.1564258681539332</v>
      </c>
      <c r="S36" s="87">
        <f>'ICE-Cargo MM '!AN23</f>
        <v>-29.513834963675063</v>
      </c>
      <c r="T36" s="87">
        <f>'ICE-Cargo MM '!AO23</f>
        <v>21.357409095521113</v>
      </c>
    </row>
    <row r="37" spans="2:20" x14ac:dyDescent="0.25">
      <c r="B37" s="88">
        <f>'E-Cargo MM  '!AL24</f>
        <v>-30</v>
      </c>
      <c r="C37" s="86">
        <f>'E-Cargo MM  '!AM24</f>
        <v>-26.618425328687689</v>
      </c>
      <c r="D37" s="86">
        <f>'E-Cargo MM  '!AN24</f>
        <v>-1.4779499533217524</v>
      </c>
      <c r="E37" s="86">
        <f>'E-Cargo MM  '!AO24</f>
        <v>-6.3936138966745419</v>
      </c>
      <c r="F37" s="86">
        <f>'E-Cargo MM  '!AP24</f>
        <v>-6.3599017107212008</v>
      </c>
      <c r="G37" s="86">
        <f>'E-Cargo MM  '!AQ24</f>
        <v>-3.6533655069429125</v>
      </c>
      <c r="H37" s="86">
        <f>'E-Cargo MM  '!AR24</f>
        <v>1.4779499533217944</v>
      </c>
      <c r="O37" s="85">
        <f>'ICE-Cargo MM '!AJ24</f>
        <v>-30</v>
      </c>
      <c r="P37" s="87">
        <f>'ICE-Cargo MM '!AK24</f>
        <v>-9.5787448863531015</v>
      </c>
      <c r="Q37" s="87">
        <f>'ICE-Cargo MM '!AL24</f>
        <v>-16.018056821640819</v>
      </c>
      <c r="R37" s="87">
        <f>'ICE-Cargo MM '!AM24</f>
        <v>-6.1173194011154663</v>
      </c>
      <c r="S37" s="87">
        <f>'ICE-Cargo MM '!AN24</f>
        <v>-22.135376222756285</v>
      </c>
      <c r="T37" s="87">
        <f>'ICE-Cargo MM '!AO24</f>
        <v>16.018056821640847</v>
      </c>
    </row>
    <row r="38" spans="2:20" x14ac:dyDescent="0.25">
      <c r="B38" s="88">
        <f>'E-Cargo MM  '!AL25</f>
        <v>-20</v>
      </c>
      <c r="C38" s="86">
        <f>'E-Cargo MM  '!AM25</f>
        <v>-17.745616885791787</v>
      </c>
      <c r="D38" s="86">
        <f>'E-Cargo MM  '!AN25</f>
        <v>-0.98529996888121019</v>
      </c>
      <c r="E38" s="86">
        <f>'E-Cargo MM  '!AO25</f>
        <v>-4.2624092644496816</v>
      </c>
      <c r="F38" s="86">
        <f>'E-Cargo MM  '!AP25</f>
        <v>-4.2597451429333155</v>
      </c>
      <c r="G38" s="86">
        <f>'E-Cargo MM  '!AQ25</f>
        <v>-2.4355770046285872</v>
      </c>
      <c r="H38" s="86">
        <f>'E-Cargo MM  '!AR25</f>
        <v>0.9852999688811892</v>
      </c>
      <c r="O38" s="85">
        <f>'ICE-Cargo MM '!AJ25</f>
        <v>-20</v>
      </c>
      <c r="P38" s="87">
        <f>'ICE-Cargo MM '!AK25</f>
        <v>-6.3858299242353951</v>
      </c>
      <c r="Q38" s="87">
        <f>'ICE-Cargo MM '!AL25</f>
        <v>-10.678704547760537</v>
      </c>
      <c r="R38" s="87">
        <f>'ICE-Cargo MM '!AM25</f>
        <v>-4.0782129340769728</v>
      </c>
      <c r="S38" s="87">
        <f>'ICE-Cargo MM '!AN25</f>
        <v>-14.756917481837522</v>
      </c>
      <c r="T38" s="87">
        <f>'ICE-Cargo MM '!AO25</f>
        <v>10.678704547760564</v>
      </c>
    </row>
    <row r="39" spans="2:20" x14ac:dyDescent="0.25">
      <c r="B39" s="88">
        <f>'E-Cargo MM  '!AL26</f>
        <v>-10</v>
      </c>
      <c r="C39" s="86">
        <f>'E-Cargo MM  '!AM26</f>
        <v>-8.8728084428958933</v>
      </c>
      <c r="D39" s="86">
        <f>'E-Cargo MM  '!AN26</f>
        <v>-0.49264998444058411</v>
      </c>
      <c r="E39" s="86">
        <f>'E-Cargo MM  '!AO26</f>
        <v>-2.1312046322248408</v>
      </c>
      <c r="F39" s="86">
        <f>'E-Cargo MM  '!AP26</f>
        <v>-2.1401026710937767</v>
      </c>
      <c r="G39" s="86">
        <f>'E-Cargo MM  '!AQ26</f>
        <v>-1.2177885023143042</v>
      </c>
      <c r="H39" s="86">
        <f>'E-Cargo MM  '!AR26</f>
        <v>0.49264998444056324</v>
      </c>
      <c r="O39" s="85">
        <f>'ICE-Cargo MM '!AJ26</f>
        <v>-10</v>
      </c>
      <c r="P39" s="87">
        <f>'ICE-Cargo MM '!AK26</f>
        <v>-3.1929149621176913</v>
      </c>
      <c r="Q39" s="87">
        <f>'ICE-Cargo MM '!AL26</f>
        <v>-5.3393522738802686</v>
      </c>
      <c r="R39" s="87">
        <f>'ICE-Cargo MM '!AM26</f>
        <v>-2.0391064670384935</v>
      </c>
      <c r="S39" s="87">
        <f>'ICE-Cargo MM '!AN26</f>
        <v>-7.378458740918747</v>
      </c>
      <c r="T39" s="87">
        <f>'ICE-Cargo MM '!AO26</f>
        <v>5.3393522738802952</v>
      </c>
    </row>
    <row r="40" spans="2:20" x14ac:dyDescent="0.25">
      <c r="B40" s="88">
        <f>'E-Cargo MM  '!AL27</f>
        <v>0</v>
      </c>
      <c r="C40" s="86">
        <f>'E-Cargo MM  '!AM27</f>
        <v>0</v>
      </c>
      <c r="D40" s="86">
        <f>'E-Cargo MM  '!AN27</f>
        <v>0</v>
      </c>
      <c r="E40" s="86">
        <f>'E-Cargo MM  '!AO27</f>
        <v>0</v>
      </c>
      <c r="F40" s="86">
        <f>'E-Cargo MM  '!AP27</f>
        <v>0</v>
      </c>
      <c r="G40" s="86">
        <f>'E-Cargo MM  '!AQ27</f>
        <v>0</v>
      </c>
      <c r="H40" s="86">
        <f>'E-Cargo MM  '!AR27</f>
        <v>0</v>
      </c>
      <c r="O40" s="85">
        <f>'ICE-Cargo MM '!AJ27</f>
        <v>0</v>
      </c>
      <c r="P40" s="87">
        <f>'ICE-Cargo MM '!AK27</f>
        <v>0</v>
      </c>
      <c r="Q40" s="87">
        <f>'ICE-Cargo MM '!AL27</f>
        <v>0</v>
      </c>
      <c r="R40" s="87">
        <f>'ICE-Cargo MM '!AM27</f>
        <v>0</v>
      </c>
      <c r="S40" s="87">
        <f>'ICE-Cargo MM '!AN27</f>
        <v>0</v>
      </c>
      <c r="T40" s="87">
        <f>'ICE-Cargo MM '!AO27</f>
        <v>0</v>
      </c>
    </row>
    <row r="41" spans="2:20" x14ac:dyDescent="0.25">
      <c r="B41" s="88">
        <f>'E-Cargo MM  '!AL28</f>
        <v>10</v>
      </c>
      <c r="C41" s="86">
        <f>'E-Cargo MM  '!AM28</f>
        <v>8.8728084428958933</v>
      </c>
      <c r="D41" s="86">
        <f>'E-Cargo MM  '!AN28</f>
        <v>0.49264998444056324</v>
      </c>
      <c r="E41" s="86">
        <f>'E-Cargo MM  '!AO28</f>
        <v>2.1312046322248408</v>
      </c>
      <c r="F41" s="86">
        <f>'E-Cargo MM  '!AP28</f>
        <v>2.1615858803107137</v>
      </c>
      <c r="G41" s="86">
        <f>'E-Cargo MM  '!AQ28</f>
        <v>1.2177885023142623</v>
      </c>
      <c r="H41" s="86">
        <f>'E-Cargo MM  '!AR28</f>
        <v>-0.49264998444058411</v>
      </c>
      <c r="O41" s="85">
        <f>'ICE-Cargo MM '!AJ28</f>
        <v>10</v>
      </c>
      <c r="P41" s="87">
        <f>'ICE-Cargo MM '!AK28</f>
        <v>3.1929149621177184</v>
      </c>
      <c r="Q41" s="87">
        <f>'ICE-Cargo MM '!AL28</f>
        <v>5.3393522738802952</v>
      </c>
      <c r="R41" s="87">
        <f>'ICE-Cargo MM '!AM28</f>
        <v>2.0391064670384935</v>
      </c>
      <c r="S41" s="87">
        <f>'ICE-Cargo MM '!AN28</f>
        <v>7.3784587409187754</v>
      </c>
      <c r="T41" s="87">
        <f>'ICE-Cargo MM '!AO28</f>
        <v>-5.3393522738802686</v>
      </c>
    </row>
    <row r="42" spans="2:20" x14ac:dyDescent="0.25">
      <c r="B42" s="88">
        <f>'E-Cargo MM  '!AL29</f>
        <v>20</v>
      </c>
      <c r="C42" s="86">
        <f>'E-Cargo MM  '!AM29</f>
        <v>17.745616885791765</v>
      </c>
      <c r="D42" s="86">
        <f>'E-Cargo MM  '!AN29</f>
        <v>0.9852999688811892</v>
      </c>
      <c r="E42" s="86">
        <f>'E-Cargo MM  '!AO29</f>
        <v>4.2624092644496603</v>
      </c>
      <c r="F42" s="86">
        <f>'E-Cargo MM  '!AP29</f>
        <v>3.8720243670656016</v>
      </c>
      <c r="G42" s="86">
        <f>'E-Cargo MM  '!AQ29</f>
        <v>2.4355770046286085</v>
      </c>
      <c r="H42" s="86">
        <f>'E-Cargo MM  '!AR29</f>
        <v>-0.98529996888121019</v>
      </c>
      <c r="O42" s="85">
        <f>'ICE-Cargo MM '!AJ29</f>
        <v>20</v>
      </c>
      <c r="P42" s="87">
        <f>'ICE-Cargo MM '!AK29</f>
        <v>6.3858299242354093</v>
      </c>
      <c r="Q42" s="87">
        <f>'ICE-Cargo MM '!AL29</f>
        <v>10.678704547760564</v>
      </c>
      <c r="R42" s="87">
        <f>'ICE-Cargo MM '!AM29</f>
        <v>4.0782129340769595</v>
      </c>
      <c r="S42" s="87">
        <f>'ICE-Cargo MM '!AN29</f>
        <v>14.756917481837537</v>
      </c>
      <c r="T42" s="87">
        <f>'ICE-Cargo MM '!AO29</f>
        <v>-10.678704547760537</v>
      </c>
    </row>
    <row r="43" spans="2:20" x14ac:dyDescent="0.25">
      <c r="B43" s="88">
        <f>'E-Cargo MM  '!AL30</f>
        <v>30</v>
      </c>
      <c r="C43" s="86">
        <f>'E-Cargo MM  '!AM30</f>
        <v>26.61842532868766</v>
      </c>
      <c r="D43" s="86">
        <f>'E-Cargo MM  '!AN30</f>
        <v>1.4779499533217944</v>
      </c>
      <c r="E43" s="86">
        <f>'E-Cargo MM  '!AO30</f>
        <v>6.3936138966745633</v>
      </c>
      <c r="F43" s="86">
        <f>'E-Cargo MM  '!AP30</f>
        <v>13.850529237713943</v>
      </c>
      <c r="G43" s="86">
        <f>'E-Cargo MM  '!AQ30</f>
        <v>3.6533655069428921</v>
      </c>
      <c r="H43" s="86">
        <f>'E-Cargo MM  '!AR30</f>
        <v>-1.4779499533217524</v>
      </c>
      <c r="O43" s="85">
        <f>'ICE-Cargo MM '!AJ30</f>
        <v>30</v>
      </c>
      <c r="P43" s="87">
        <f>'ICE-Cargo MM '!AK30</f>
        <v>9.5787448863531139</v>
      </c>
      <c r="Q43" s="87">
        <f>'ICE-Cargo MM '!AL30</f>
        <v>16.018056821640847</v>
      </c>
      <c r="R43" s="87">
        <f>'ICE-Cargo MM '!AM30</f>
        <v>6.1173194011154948</v>
      </c>
      <c r="S43" s="87">
        <f>'ICE-Cargo MM '!AN30</f>
        <v>22.1353762227563</v>
      </c>
      <c r="T43" s="87">
        <f>'ICE-Cargo MM '!AO30</f>
        <v>-16.018056821640819</v>
      </c>
    </row>
    <row r="44" spans="2:20" x14ac:dyDescent="0.25">
      <c r="B44" s="88">
        <f>'E-Cargo MM  '!AL31</f>
        <v>40</v>
      </c>
      <c r="C44" s="86">
        <f>'E-Cargo MM  '!AM31</f>
        <v>35.491233771583531</v>
      </c>
      <c r="D44" s="86">
        <f>'E-Cargo MM  '!AN31</f>
        <v>1.9705999377623578</v>
      </c>
      <c r="E44" s="86">
        <f>'E-Cargo MM  '!AO31</f>
        <v>8.5248185288993827</v>
      </c>
      <c r="F44" s="86">
        <f>'E-Cargo MM  '!AP31</f>
        <v>15.560967724468833</v>
      </c>
      <c r="G44" s="86">
        <f>'E-Cargo MM  '!AQ31</f>
        <v>4.8711540092572374</v>
      </c>
      <c r="H44" s="86">
        <f>'E-Cargo MM  '!AR31</f>
        <v>-1.9705999377623578</v>
      </c>
      <c r="O44" s="85">
        <f>'ICE-Cargo MM '!AJ31</f>
        <v>40</v>
      </c>
      <c r="P44" s="87">
        <f>'ICE-Cargo MM '!AK31</f>
        <v>12.771659848470819</v>
      </c>
      <c r="Q44" s="87">
        <f>'ICE-Cargo MM '!AL31</f>
        <v>21.357409095521113</v>
      </c>
      <c r="R44" s="87">
        <f>'ICE-Cargo MM '!AM31</f>
        <v>8.1564258681539599</v>
      </c>
      <c r="S44" s="87">
        <f>'ICE-Cargo MM '!AN31</f>
        <v>29.513834963675034</v>
      </c>
      <c r="T44" s="87">
        <f>'ICE-Cargo MM '!AO31</f>
        <v>-21.357409095521088</v>
      </c>
    </row>
    <row r="45" spans="2:20" x14ac:dyDescent="0.25">
      <c r="B45" s="88">
        <f>'E-Cargo MM  '!AL32</f>
        <v>50</v>
      </c>
      <c r="C45" s="86">
        <f>'E-Cargo MM  '!AM32</f>
        <v>44.364042214479468</v>
      </c>
      <c r="D45" s="86">
        <f>'E-Cargo MM  '!AN32</f>
        <v>2.4632499222029627</v>
      </c>
      <c r="E45" s="86">
        <f>'E-Cargo MM  '!AO32</f>
        <v>10.656023161124203</v>
      </c>
      <c r="F45" s="86">
        <f>'E-Cargo MM  '!AP32</f>
        <v>18.567718278736649</v>
      </c>
      <c r="G45" s="86">
        <f>'E-Cargo MM  '!AQ32</f>
        <v>6.0889425115715214</v>
      </c>
      <c r="H45" s="86">
        <f>'E-Cargo MM  '!AR32</f>
        <v>-2.4632499222029836</v>
      </c>
      <c r="O45" s="85">
        <f>'ICE-Cargo MM '!AJ32</f>
        <v>50</v>
      </c>
      <c r="P45" s="87">
        <f>'ICE-Cargo MM '!AK32</f>
        <v>15.964574810588525</v>
      </c>
      <c r="Q45" s="87">
        <f>'ICE-Cargo MM '!AL32</f>
        <v>26.696761369401383</v>
      </c>
      <c r="R45" s="87">
        <f>'ICE-Cargo MM '!AM32</f>
        <v>10.195532335192453</v>
      </c>
      <c r="S45" s="87">
        <f>'ICE-Cargo MM '!AN32</f>
        <v>36.892293704593847</v>
      </c>
      <c r="T45" s="87">
        <f>'ICE-Cargo MM '!AO32</f>
        <v>-26.696761369401369</v>
      </c>
    </row>
  </sheetData>
  <mergeCells count="12">
    <mergeCell ref="B33:B34"/>
    <mergeCell ref="C33:G33"/>
    <mergeCell ref="O33:O34"/>
    <mergeCell ref="P33:S33"/>
    <mergeCell ref="B3:B4"/>
    <mergeCell ref="C3:G3"/>
    <mergeCell ref="O3:O4"/>
    <mergeCell ref="P3:S3"/>
    <mergeCell ref="B18:B19"/>
    <mergeCell ref="C18:G18"/>
    <mergeCell ref="O18:O19"/>
    <mergeCell ref="P18:S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E-Bus MM</vt:lpstr>
      <vt:lpstr>ICE-Bus MM</vt:lpstr>
      <vt:lpstr>E-Truck MM </vt:lpstr>
      <vt:lpstr>ICE-Truck MM </vt:lpstr>
      <vt:lpstr>E-Cargo MM  </vt:lpstr>
      <vt:lpstr>ICE-Cargo MM </vt:lpstr>
      <vt:lpstr>Sensitivity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Arfie Ikhsan Firmansyah</dc:creator>
  <cp:lastModifiedBy>Valentinus Tri Frebrina Harisetyawan</cp:lastModifiedBy>
  <dcterms:created xsi:type="dcterms:W3CDTF">2015-06-05T18:17:20Z</dcterms:created>
  <dcterms:modified xsi:type="dcterms:W3CDTF">2024-09-30T04:47:58Z</dcterms:modified>
</cp:coreProperties>
</file>