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84" documentId="13_ncr:1_{70E822E1-5B42-4A42-BF9B-230BB48FA8E7}" xr6:coauthVersionLast="47" xr6:coauthVersionMax="47" xr10:uidLastSave="{30B56B0C-6B12-42F8-863B-56CFB2818762}"/>
  <bookViews>
    <workbookView xWindow="-120" yWindow="-120" windowWidth="29040" windowHeight="16440" firstSheet="1" activeTab="6" xr2:uid="{00000000-000D-0000-FFFF-FFFF00000000}"/>
  </bookViews>
  <sheets>
    <sheet name="E-Bus PH" sheetId="1" r:id="rId1"/>
    <sheet name="ICE-Bus PH" sheetId="2" r:id="rId2"/>
    <sheet name="E-Truck PH" sheetId="3" r:id="rId3"/>
    <sheet name="ICE-Truck PH" sheetId="4" r:id="rId4"/>
    <sheet name="E-Cargo PH" sheetId="5" r:id="rId5"/>
    <sheet name="ICE-Cargo PH" sheetId="6" r:id="rId6"/>
    <sheet name="Sensitivity" sheetId="8" r:id="rId7"/>
    <sheet name="Description" sheetId="7" r:id="rId8"/>
  </sheets>
  <externalReferences>
    <externalReference r:id="rId9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FI97aTQMJAfqLp/wcXPvJGb13FJ7/aq8KFeWTLdvu08="/>
    </ext>
  </extLst>
</workbook>
</file>

<file path=xl/calcChain.xml><?xml version="1.0" encoding="utf-8"?>
<calcChain xmlns="http://schemas.openxmlformats.org/spreadsheetml/2006/main">
  <c r="AA59" i="6" l="1"/>
  <c r="AC73" i="5"/>
  <c r="AC74" i="5"/>
  <c r="AC69" i="5"/>
  <c r="AA58" i="4"/>
  <c r="AA59" i="4"/>
  <c r="AC73" i="3"/>
  <c r="AC74" i="3"/>
  <c r="AA59" i="2"/>
  <c r="AC72" i="1"/>
  <c r="AC74" i="1"/>
  <c r="AO21" i="6"/>
  <c r="T34" i="8" s="1"/>
  <c r="AC64" i="6"/>
  <c r="AO32" i="6" s="1"/>
  <c r="T45" i="8" s="1"/>
  <c r="AC63" i="6"/>
  <c r="AO31" i="6" s="1"/>
  <c r="T44" i="8" s="1"/>
  <c r="AC62" i="6"/>
  <c r="AO30" i="6" s="1"/>
  <c r="T43" i="8" s="1"/>
  <c r="AC61" i="6"/>
  <c r="AO29" i="6" s="1"/>
  <c r="T42" i="8" s="1"/>
  <c r="AC60" i="6"/>
  <c r="AO28" i="6" s="1"/>
  <c r="T41" i="8" s="1"/>
  <c r="Z60" i="6"/>
  <c r="Z61" i="6" s="1"/>
  <c r="AA61" i="6" s="1"/>
  <c r="AC59" i="6"/>
  <c r="AO27" i="6" s="1"/>
  <c r="T40" i="8" s="1"/>
  <c r="AC58" i="6"/>
  <c r="AO26" i="6" s="1"/>
  <c r="T39" i="8" s="1"/>
  <c r="Z58" i="6"/>
  <c r="AA58" i="6" s="1"/>
  <c r="AC57" i="6"/>
  <c r="AO25" i="6" s="1"/>
  <c r="T38" i="8" s="1"/>
  <c r="Z57" i="6"/>
  <c r="AA57" i="6" s="1"/>
  <c r="AC56" i="6"/>
  <c r="AO24" i="6" s="1"/>
  <c r="T37" i="8" s="1"/>
  <c r="AC55" i="6"/>
  <c r="AO23" i="6" s="1"/>
  <c r="T36" i="8" s="1"/>
  <c r="AC54" i="6"/>
  <c r="AO22" i="6" s="1"/>
  <c r="T35" i="8" s="1"/>
  <c r="AA12" i="6"/>
  <c r="AR21" i="5"/>
  <c r="H34" i="8" s="1"/>
  <c r="AE79" i="5"/>
  <c r="AR32" i="5" s="1"/>
  <c r="H45" i="8" s="1"/>
  <c r="AE78" i="5"/>
  <c r="AR31" i="5" s="1"/>
  <c r="H44" i="8" s="1"/>
  <c r="AE77" i="5"/>
  <c r="AR30" i="5" s="1"/>
  <c r="H43" i="8" s="1"/>
  <c r="AE76" i="5"/>
  <c r="AR29" i="5" s="1"/>
  <c r="H42" i="8" s="1"/>
  <c r="AE75" i="5"/>
  <c r="AR28" i="5" s="1"/>
  <c r="H41" i="8" s="1"/>
  <c r="AB75" i="5"/>
  <c r="AB76" i="5" s="1"/>
  <c r="AC76" i="5" s="1"/>
  <c r="AE74" i="5"/>
  <c r="AR27" i="5" s="1"/>
  <c r="H40" i="8" s="1"/>
  <c r="AE73" i="5"/>
  <c r="AR26" i="5" s="1"/>
  <c r="H39" i="8" s="1"/>
  <c r="AB73" i="5"/>
  <c r="AE72" i="5"/>
  <c r="AR25" i="5" s="1"/>
  <c r="H38" i="8" s="1"/>
  <c r="AB72" i="5"/>
  <c r="AB71" i="5" s="1"/>
  <c r="AC71" i="5" s="1"/>
  <c r="AE71" i="5"/>
  <c r="AR24" i="5" s="1"/>
  <c r="H37" i="8" s="1"/>
  <c r="AE70" i="5"/>
  <c r="AR23" i="5" s="1"/>
  <c r="H36" i="8" s="1"/>
  <c r="AE69" i="5"/>
  <c r="AR22" i="5" s="1"/>
  <c r="H35" i="8" s="1"/>
  <c r="AC14" i="5"/>
  <c r="AO21" i="4"/>
  <c r="T19" i="8" s="1"/>
  <c r="AC64" i="4"/>
  <c r="AO32" i="4" s="1"/>
  <c r="T30" i="8" s="1"/>
  <c r="AC63" i="4"/>
  <c r="AO31" i="4" s="1"/>
  <c r="T29" i="8" s="1"/>
  <c r="AC62" i="4"/>
  <c r="AO30" i="4" s="1"/>
  <c r="T28" i="8" s="1"/>
  <c r="AC61" i="4"/>
  <c r="AO29" i="4" s="1"/>
  <c r="T27" i="8" s="1"/>
  <c r="AC60" i="4"/>
  <c r="AO28" i="4" s="1"/>
  <c r="T26" i="8" s="1"/>
  <c r="Z60" i="4"/>
  <c r="AA60" i="4" s="1"/>
  <c r="AC59" i="4"/>
  <c r="AO27" i="4" s="1"/>
  <c r="T25" i="8" s="1"/>
  <c r="AC58" i="4"/>
  <c r="AO26" i="4" s="1"/>
  <c r="T24" i="8" s="1"/>
  <c r="Z58" i="4"/>
  <c r="AC57" i="4"/>
  <c r="AO25" i="4" s="1"/>
  <c r="T23" i="8" s="1"/>
  <c r="Z57" i="4"/>
  <c r="Z56" i="4" s="1"/>
  <c r="AA56" i="4" s="1"/>
  <c r="AC56" i="4"/>
  <c r="AO24" i="4" s="1"/>
  <c r="T22" i="8" s="1"/>
  <c r="AC55" i="4"/>
  <c r="AO23" i="4" s="1"/>
  <c r="T21" i="8" s="1"/>
  <c r="AC54" i="4"/>
  <c r="AO22" i="4" s="1"/>
  <c r="T20" i="8" s="1"/>
  <c r="AA12" i="4"/>
  <c r="AR21" i="3"/>
  <c r="H19" i="8" s="1"/>
  <c r="AE79" i="3"/>
  <c r="AR32" i="3" s="1"/>
  <c r="H30" i="8" s="1"/>
  <c r="AE78" i="3"/>
  <c r="AR31" i="3" s="1"/>
  <c r="H29" i="8" s="1"/>
  <c r="AE77" i="3"/>
  <c r="AR30" i="3" s="1"/>
  <c r="H28" i="8" s="1"/>
  <c r="AE76" i="3"/>
  <c r="AR29" i="3" s="1"/>
  <c r="H27" i="8" s="1"/>
  <c r="AE75" i="3"/>
  <c r="AR28" i="3" s="1"/>
  <c r="H26" i="8" s="1"/>
  <c r="AB75" i="3"/>
  <c r="AB76" i="3" s="1"/>
  <c r="AE74" i="3"/>
  <c r="AR27" i="3" s="1"/>
  <c r="H25" i="8" s="1"/>
  <c r="AE73" i="3"/>
  <c r="AR26" i="3" s="1"/>
  <c r="H24" i="8" s="1"/>
  <c r="AB73" i="3"/>
  <c r="AE72" i="3"/>
  <c r="AR25" i="3" s="1"/>
  <c r="H23" i="8" s="1"/>
  <c r="AE71" i="3"/>
  <c r="AR24" i="3" s="1"/>
  <c r="H22" i="8" s="1"/>
  <c r="AE70" i="3"/>
  <c r="AR23" i="3" s="1"/>
  <c r="H21" i="8" s="1"/>
  <c r="AE69" i="3"/>
  <c r="AR22" i="3" s="1"/>
  <c r="H20" i="8" s="1"/>
  <c r="AC14" i="3"/>
  <c r="AO21" i="2"/>
  <c r="T4" i="8" s="1"/>
  <c r="AC64" i="2"/>
  <c r="AO32" i="2" s="1"/>
  <c r="T15" i="8" s="1"/>
  <c r="AC63" i="2"/>
  <c r="AO31" i="2" s="1"/>
  <c r="T14" i="8" s="1"/>
  <c r="AC62" i="2"/>
  <c r="AO30" i="2" s="1"/>
  <c r="T13" i="8" s="1"/>
  <c r="AC61" i="2"/>
  <c r="AO29" i="2" s="1"/>
  <c r="T12" i="8" s="1"/>
  <c r="AC60" i="2"/>
  <c r="AO28" i="2" s="1"/>
  <c r="T11" i="8" s="1"/>
  <c r="Z60" i="2"/>
  <c r="AA60" i="2" s="1"/>
  <c r="AC59" i="2"/>
  <c r="AO27" i="2" s="1"/>
  <c r="T10" i="8" s="1"/>
  <c r="AC58" i="2"/>
  <c r="AO26" i="2" s="1"/>
  <c r="T9" i="8" s="1"/>
  <c r="Z58" i="2"/>
  <c r="AA58" i="2" s="1"/>
  <c r="AC57" i="2"/>
  <c r="AO25" i="2" s="1"/>
  <c r="T8" i="8" s="1"/>
  <c r="AC56" i="2"/>
  <c r="AO24" i="2" s="1"/>
  <c r="T7" i="8" s="1"/>
  <c r="AC55" i="2"/>
  <c r="AO23" i="2" s="1"/>
  <c r="T6" i="8" s="1"/>
  <c r="AC54" i="2"/>
  <c r="AO22" i="2" s="1"/>
  <c r="T5" i="8" s="1"/>
  <c r="AA12" i="2"/>
  <c r="AR21" i="1"/>
  <c r="H4" i="8" s="1"/>
  <c r="AC14" i="1"/>
  <c r="AE79" i="1"/>
  <c r="AR32" i="1" s="1"/>
  <c r="H15" i="8" s="1"/>
  <c r="AE78" i="1"/>
  <c r="AR31" i="1" s="1"/>
  <c r="H14" i="8" s="1"/>
  <c r="AE77" i="1"/>
  <c r="AR30" i="1" s="1"/>
  <c r="H13" i="8" s="1"/>
  <c r="AE76" i="1"/>
  <c r="AR29" i="1" s="1"/>
  <c r="H12" i="8" s="1"/>
  <c r="AE75" i="1"/>
  <c r="AR28" i="1" s="1"/>
  <c r="H11" i="8" s="1"/>
  <c r="AB75" i="1"/>
  <c r="AB76" i="1" s="1"/>
  <c r="AC76" i="1" s="1"/>
  <c r="AE74" i="1"/>
  <c r="AR27" i="1" s="1"/>
  <c r="H10" i="8" s="1"/>
  <c r="AE73" i="1"/>
  <c r="AR26" i="1" s="1"/>
  <c r="H9" i="8" s="1"/>
  <c r="AB73" i="1"/>
  <c r="AB72" i="1" s="1"/>
  <c r="AE72" i="1"/>
  <c r="AR25" i="1" s="1"/>
  <c r="H8" i="8" s="1"/>
  <c r="AE71" i="1"/>
  <c r="AR24" i="1" s="1"/>
  <c r="H7" i="8" s="1"/>
  <c r="AE70" i="1"/>
  <c r="AR23" i="1" s="1"/>
  <c r="H6" i="8" s="1"/>
  <c r="AE69" i="1"/>
  <c r="AR22" i="1" s="1"/>
  <c r="H5" i="8" s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J46" i="1"/>
  <c r="AJ64" i="5"/>
  <c r="AJ63" i="5"/>
  <c r="AJ62" i="5"/>
  <c r="AJ61" i="5"/>
  <c r="AJ60" i="5"/>
  <c r="AG60" i="5"/>
  <c r="AG61" i="5" s="1"/>
  <c r="AJ59" i="5"/>
  <c r="AH59" i="5"/>
  <c r="AJ58" i="5"/>
  <c r="AG58" i="5"/>
  <c r="AH58" i="5" s="1"/>
  <c r="AJ57" i="5"/>
  <c r="AJ56" i="5"/>
  <c r="AJ55" i="5"/>
  <c r="AJ54" i="5"/>
  <c r="AJ64" i="3"/>
  <c r="AJ63" i="3"/>
  <c r="AJ62" i="3"/>
  <c r="AJ61" i="3"/>
  <c r="AJ60" i="3"/>
  <c r="AG60" i="3"/>
  <c r="AG61" i="3" s="1"/>
  <c r="AJ59" i="3"/>
  <c r="AH59" i="3"/>
  <c r="AJ58" i="3"/>
  <c r="AG58" i="3"/>
  <c r="AH58" i="3" s="1"/>
  <c r="AJ57" i="3"/>
  <c r="AG57" i="3"/>
  <c r="AG56" i="3" s="1"/>
  <c r="AJ56" i="3"/>
  <c r="AJ55" i="3"/>
  <c r="AJ54" i="3"/>
  <c r="AJ64" i="1"/>
  <c r="AJ63" i="1"/>
  <c r="AJ62" i="1"/>
  <c r="AJ61" i="1"/>
  <c r="AJ60" i="1"/>
  <c r="AG60" i="1"/>
  <c r="AG61" i="1" s="1"/>
  <c r="AJ59" i="1"/>
  <c r="AH59" i="1"/>
  <c r="AJ58" i="1"/>
  <c r="AG58" i="1"/>
  <c r="AH58" i="1" s="1"/>
  <c r="AJ57" i="1"/>
  <c r="AJ56" i="1"/>
  <c r="AJ55" i="1"/>
  <c r="AJ54" i="1"/>
  <c r="F48" i="5"/>
  <c r="F46" i="5"/>
  <c r="F47" i="5" s="1"/>
  <c r="F49" i="5" s="1"/>
  <c r="B46" i="5"/>
  <c r="B48" i="5" s="1"/>
  <c r="AC9" i="5" s="1"/>
  <c r="J26" i="5"/>
  <c r="F50" i="5" s="1"/>
  <c r="F52" i="5" s="1"/>
  <c r="F48" i="3"/>
  <c r="F47" i="3"/>
  <c r="F46" i="3"/>
  <c r="B46" i="3"/>
  <c r="J26" i="3"/>
  <c r="AC13" i="3" s="1"/>
  <c r="J26" i="1"/>
  <c r="AC13" i="1" s="1"/>
  <c r="F46" i="1"/>
  <c r="F47" i="1" s="1"/>
  <c r="F48" i="1"/>
  <c r="B46" i="1"/>
  <c r="J28" i="1"/>
  <c r="P54" i="6"/>
  <c r="AH49" i="6"/>
  <c r="AN32" i="6" s="1"/>
  <c r="S45" i="8" s="1"/>
  <c r="AC49" i="6"/>
  <c r="AM32" i="6" s="1"/>
  <c r="R45" i="8" s="1"/>
  <c r="AH48" i="6"/>
  <c r="AN31" i="6" s="1"/>
  <c r="S44" i="8" s="1"/>
  <c r="AC48" i="6"/>
  <c r="AM31" i="6" s="1"/>
  <c r="R44" i="8" s="1"/>
  <c r="AH47" i="6"/>
  <c r="AN30" i="6" s="1"/>
  <c r="S43" i="8" s="1"/>
  <c r="AC47" i="6"/>
  <c r="AM30" i="6" s="1"/>
  <c r="R43" i="8" s="1"/>
  <c r="AH46" i="6"/>
  <c r="AN29" i="6" s="1"/>
  <c r="S42" i="8" s="1"/>
  <c r="AC46" i="6"/>
  <c r="AM29" i="6" s="1"/>
  <c r="R42" i="8" s="1"/>
  <c r="AH45" i="6"/>
  <c r="AN28" i="6" s="1"/>
  <c r="S41" i="8" s="1"/>
  <c r="AE45" i="6"/>
  <c r="AE46" i="6" s="1"/>
  <c r="AC45" i="6"/>
  <c r="AM28" i="6" s="1"/>
  <c r="R41" i="8" s="1"/>
  <c r="Z45" i="6"/>
  <c r="AH44" i="6"/>
  <c r="AN27" i="6" s="1"/>
  <c r="S40" i="8" s="1"/>
  <c r="AF44" i="6"/>
  <c r="AC44" i="6"/>
  <c r="AM27" i="6" s="1"/>
  <c r="R40" i="8" s="1"/>
  <c r="AA44" i="6"/>
  <c r="AH43" i="6"/>
  <c r="AN26" i="6" s="1"/>
  <c r="S39" i="8" s="1"/>
  <c r="AE43" i="6"/>
  <c r="AF43" i="6" s="1"/>
  <c r="AC43" i="6"/>
  <c r="AM26" i="6" s="1"/>
  <c r="R39" i="8" s="1"/>
  <c r="Z43" i="6"/>
  <c r="J43" i="6"/>
  <c r="B43" i="6"/>
  <c r="B44" i="6" s="1"/>
  <c r="AH42" i="6"/>
  <c r="AN25" i="6" s="1"/>
  <c r="S38" i="8" s="1"/>
  <c r="AE42" i="6"/>
  <c r="AE41" i="6" s="1"/>
  <c r="AF41" i="6" s="1"/>
  <c r="AC42" i="6"/>
  <c r="AM25" i="6" s="1"/>
  <c r="R38" i="8" s="1"/>
  <c r="AH41" i="6"/>
  <c r="AN24" i="6" s="1"/>
  <c r="S37" i="8" s="1"/>
  <c r="AC41" i="6"/>
  <c r="AM24" i="6" s="1"/>
  <c r="R37" i="8" s="1"/>
  <c r="F41" i="6"/>
  <c r="AH40" i="6"/>
  <c r="AN23" i="6" s="1"/>
  <c r="S36" i="8" s="1"/>
  <c r="AC40" i="6"/>
  <c r="AM23" i="6" s="1"/>
  <c r="R36" i="8" s="1"/>
  <c r="AH39" i="6"/>
  <c r="AN22" i="6" s="1"/>
  <c r="S35" i="8" s="1"/>
  <c r="AC39" i="6"/>
  <c r="AM22" i="6" s="1"/>
  <c r="R35" i="8" s="1"/>
  <c r="B38" i="6"/>
  <c r="B37" i="6"/>
  <c r="B36" i="6"/>
  <c r="J35" i="6"/>
  <c r="B35" i="6"/>
  <c r="AH34" i="6"/>
  <c r="AK32" i="6" s="1"/>
  <c r="P45" i="8" s="1"/>
  <c r="AC34" i="6"/>
  <c r="AL32" i="6" s="1"/>
  <c r="Q45" i="8" s="1"/>
  <c r="J34" i="6"/>
  <c r="AH33" i="6"/>
  <c r="AK31" i="6" s="1"/>
  <c r="P44" i="8" s="1"/>
  <c r="AC33" i="6"/>
  <c r="AL31" i="6" s="1"/>
  <c r="Q44" i="8" s="1"/>
  <c r="J33" i="6"/>
  <c r="AH32" i="6"/>
  <c r="AK30" i="6" s="1"/>
  <c r="P43" i="8" s="1"/>
  <c r="AC32" i="6"/>
  <c r="AL30" i="6" s="1"/>
  <c r="Q43" i="8" s="1"/>
  <c r="J32" i="6"/>
  <c r="B32" i="6"/>
  <c r="B46" i="6" s="1"/>
  <c r="AH31" i="6"/>
  <c r="AK29" i="6" s="1"/>
  <c r="P42" i="8" s="1"/>
  <c r="AC31" i="6"/>
  <c r="AL29" i="6" s="1"/>
  <c r="Q42" i="8" s="1"/>
  <c r="B31" i="6"/>
  <c r="AH30" i="6"/>
  <c r="AK28" i="6" s="1"/>
  <c r="P41" i="8" s="1"/>
  <c r="AE30" i="6"/>
  <c r="AC30" i="6"/>
  <c r="AL28" i="6" s="1"/>
  <c r="Q41" i="8" s="1"/>
  <c r="Z30" i="6"/>
  <c r="AA30" i="6" s="1"/>
  <c r="AH29" i="6"/>
  <c r="AK27" i="6" s="1"/>
  <c r="P40" i="8" s="1"/>
  <c r="AF29" i="6"/>
  <c r="AC29" i="6"/>
  <c r="AL27" i="6" s="1"/>
  <c r="Q40" i="8" s="1"/>
  <c r="AA29" i="6"/>
  <c r="AH28" i="6"/>
  <c r="AK26" i="6" s="1"/>
  <c r="P39" i="8" s="1"/>
  <c r="AE28" i="6"/>
  <c r="AC28" i="6"/>
  <c r="AL26" i="6" s="1"/>
  <c r="Q39" i="8" s="1"/>
  <c r="Z28" i="6"/>
  <c r="Z27" i="6" s="1"/>
  <c r="AH27" i="6"/>
  <c r="AK25" i="6" s="1"/>
  <c r="P38" i="8" s="1"/>
  <c r="AC27" i="6"/>
  <c r="AL25" i="6" s="1"/>
  <c r="Q38" i="8" s="1"/>
  <c r="AH26" i="6"/>
  <c r="AK24" i="6" s="1"/>
  <c r="P37" i="8" s="1"/>
  <c r="AC26" i="6"/>
  <c r="AL24" i="6" s="1"/>
  <c r="Q37" i="8" s="1"/>
  <c r="AH25" i="6"/>
  <c r="AK23" i="6" s="1"/>
  <c r="P36" i="8" s="1"/>
  <c r="AC25" i="6"/>
  <c r="AL23" i="6" s="1"/>
  <c r="Q36" i="8" s="1"/>
  <c r="AH24" i="6"/>
  <c r="AK22" i="6" s="1"/>
  <c r="P35" i="8" s="1"/>
  <c r="AC24" i="6"/>
  <c r="AL22" i="6" s="1"/>
  <c r="Q35" i="8" s="1"/>
  <c r="J36" i="6"/>
  <c r="AA11" i="6" s="1"/>
  <c r="F13" i="6"/>
  <c r="F36" i="6" s="1"/>
  <c r="AA10" i="6"/>
  <c r="N10" i="6"/>
  <c r="N11" i="6" s="1"/>
  <c r="T11" i="6" s="1"/>
  <c r="T9" i="6"/>
  <c r="S9" i="6"/>
  <c r="AE64" i="5"/>
  <c r="AQ32" i="5" s="1"/>
  <c r="G45" i="8" s="1"/>
  <c r="AE63" i="5"/>
  <c r="AQ31" i="5" s="1"/>
  <c r="G44" i="8" s="1"/>
  <c r="AE62" i="5"/>
  <c r="AQ30" i="5" s="1"/>
  <c r="G43" i="8" s="1"/>
  <c r="AE61" i="5"/>
  <c r="AQ29" i="5" s="1"/>
  <c r="G42" i="8" s="1"/>
  <c r="AE60" i="5"/>
  <c r="AQ28" i="5" s="1"/>
  <c r="G41" i="8" s="1"/>
  <c r="AB60" i="5"/>
  <c r="AB61" i="5" s="1"/>
  <c r="AE59" i="5"/>
  <c r="AQ27" i="5" s="1"/>
  <c r="G40" i="8" s="1"/>
  <c r="AC59" i="5"/>
  <c r="AE58" i="5"/>
  <c r="AQ26" i="5" s="1"/>
  <c r="G39" i="8" s="1"/>
  <c r="AB58" i="5"/>
  <c r="AB57" i="5" s="1"/>
  <c r="AC57" i="5" s="1"/>
  <c r="AE57" i="5"/>
  <c r="AQ25" i="5" s="1"/>
  <c r="G38" i="8" s="1"/>
  <c r="AE56" i="5"/>
  <c r="AQ24" i="5" s="1"/>
  <c r="G37" i="8" s="1"/>
  <c r="AE55" i="5"/>
  <c r="AQ23" i="5" s="1"/>
  <c r="G36" i="8" s="1"/>
  <c r="AE54" i="5"/>
  <c r="AQ22" i="5" s="1"/>
  <c r="G35" i="8" s="1"/>
  <c r="P54" i="5"/>
  <c r="AJ49" i="5"/>
  <c r="AP32" i="5" s="1"/>
  <c r="F45" i="8" s="1"/>
  <c r="AE49" i="5"/>
  <c r="AO32" i="5" s="1"/>
  <c r="E45" i="8" s="1"/>
  <c r="AJ48" i="5"/>
  <c r="AP31" i="5" s="1"/>
  <c r="F44" i="8" s="1"/>
  <c r="AE48" i="5"/>
  <c r="AO31" i="5" s="1"/>
  <c r="E44" i="8" s="1"/>
  <c r="AJ47" i="5"/>
  <c r="AP30" i="5" s="1"/>
  <c r="F43" i="8" s="1"/>
  <c r="AE47" i="5"/>
  <c r="AO30" i="5" s="1"/>
  <c r="E43" i="8" s="1"/>
  <c r="B47" i="5"/>
  <c r="AJ46" i="5"/>
  <c r="AP29" i="5" s="1"/>
  <c r="F42" i="8" s="1"/>
  <c r="AE46" i="5"/>
  <c r="AO29" i="5" s="1"/>
  <c r="E42" i="8" s="1"/>
  <c r="AB46" i="5"/>
  <c r="J46" i="5"/>
  <c r="AJ45" i="5"/>
  <c r="AP28" i="5" s="1"/>
  <c r="F41" i="8" s="1"/>
  <c r="AG45" i="5"/>
  <c r="AE45" i="5"/>
  <c r="AO28" i="5" s="1"/>
  <c r="E41" i="8" s="1"/>
  <c r="AC45" i="5"/>
  <c r="AB45" i="5"/>
  <c r="B45" i="5"/>
  <c r="AJ44" i="5"/>
  <c r="AP27" i="5" s="1"/>
  <c r="F40" i="8" s="1"/>
  <c r="AH44" i="5"/>
  <c r="AE44" i="5"/>
  <c r="AO27" i="5" s="1"/>
  <c r="E40" i="8" s="1"/>
  <c r="AC44" i="5"/>
  <c r="AJ43" i="5"/>
  <c r="AP26" i="5" s="1"/>
  <c r="F39" i="8" s="1"/>
  <c r="AH43" i="5"/>
  <c r="AG43" i="5"/>
  <c r="AE43" i="5"/>
  <c r="AO26" i="5" s="1"/>
  <c r="E39" i="8" s="1"/>
  <c r="AB43" i="5"/>
  <c r="AB42" i="5" s="1"/>
  <c r="AJ42" i="5"/>
  <c r="AP25" i="5" s="1"/>
  <c r="F38" i="8" s="1"/>
  <c r="AG42" i="5"/>
  <c r="AH42" i="5" s="1"/>
  <c r="AE42" i="5"/>
  <c r="AO25" i="5" s="1"/>
  <c r="E38" i="8" s="1"/>
  <c r="AJ41" i="5"/>
  <c r="AP24" i="5" s="1"/>
  <c r="F37" i="8" s="1"/>
  <c r="AE41" i="5"/>
  <c r="AO24" i="5" s="1"/>
  <c r="E37" i="8" s="1"/>
  <c r="J41" i="5"/>
  <c r="AC12" i="5" s="1"/>
  <c r="AJ40" i="5"/>
  <c r="AP23" i="5" s="1"/>
  <c r="F36" i="8" s="1"/>
  <c r="AE40" i="5"/>
  <c r="AO23" i="5" s="1"/>
  <c r="E36" i="8" s="1"/>
  <c r="J40" i="5"/>
  <c r="AJ39" i="5"/>
  <c r="AP22" i="5" s="1"/>
  <c r="F35" i="8" s="1"/>
  <c r="AE39" i="5"/>
  <c r="AO22" i="5" s="1"/>
  <c r="E35" i="8" s="1"/>
  <c r="J39" i="5"/>
  <c r="J38" i="5"/>
  <c r="B38" i="5"/>
  <c r="F37" i="5"/>
  <c r="F40" i="5" s="1"/>
  <c r="B37" i="5"/>
  <c r="F36" i="5"/>
  <c r="F38" i="5" s="1"/>
  <c r="F41" i="5" s="1"/>
  <c r="B36" i="5"/>
  <c r="AJ34" i="5"/>
  <c r="AM32" i="5" s="1"/>
  <c r="C45" i="8" s="1"/>
  <c r="AE34" i="5"/>
  <c r="AN32" i="5" s="1"/>
  <c r="D45" i="8" s="1"/>
  <c r="J34" i="5"/>
  <c r="AJ33" i="5"/>
  <c r="AM31" i="5" s="1"/>
  <c r="C44" i="8" s="1"/>
  <c r="AE33" i="5"/>
  <c r="AN31" i="5" s="1"/>
  <c r="D44" i="8" s="1"/>
  <c r="AJ32" i="5"/>
  <c r="AM30" i="5" s="1"/>
  <c r="C43" i="8" s="1"/>
  <c r="AE32" i="5"/>
  <c r="AN30" i="5" s="1"/>
  <c r="D43" i="8" s="1"/>
  <c r="B32" i="5"/>
  <c r="AJ31" i="5"/>
  <c r="AM29" i="5" s="1"/>
  <c r="C42" i="8" s="1"/>
  <c r="AE31" i="5"/>
  <c r="AN29" i="5" s="1"/>
  <c r="D42" i="8" s="1"/>
  <c r="J31" i="5"/>
  <c r="U9" i="5" s="1"/>
  <c r="B31" i="5"/>
  <c r="AJ30" i="5"/>
  <c r="AM28" i="5" s="1"/>
  <c r="C41" i="8" s="1"/>
  <c r="AG30" i="5"/>
  <c r="AH30" i="5" s="1"/>
  <c r="AE30" i="5"/>
  <c r="AN28" i="5" s="1"/>
  <c r="D41" i="8" s="1"/>
  <c r="AB30" i="5"/>
  <c r="AJ29" i="5"/>
  <c r="AM27" i="5" s="1"/>
  <c r="C40" i="8" s="1"/>
  <c r="AH29" i="5"/>
  <c r="AE29" i="5"/>
  <c r="AN27" i="5" s="1"/>
  <c r="D40" i="8" s="1"/>
  <c r="AC29" i="5"/>
  <c r="AJ28" i="5"/>
  <c r="AM26" i="5" s="1"/>
  <c r="C39" i="8" s="1"/>
  <c r="AG28" i="5"/>
  <c r="AG27" i="5" s="1"/>
  <c r="AG26" i="5" s="1"/>
  <c r="AH26" i="5" s="1"/>
  <c r="AE28" i="5"/>
  <c r="AN26" i="5" s="1"/>
  <c r="D39" i="8" s="1"/>
  <c r="AB28" i="5"/>
  <c r="AJ27" i="5"/>
  <c r="AM25" i="5" s="1"/>
  <c r="C38" i="8" s="1"/>
  <c r="AE27" i="5"/>
  <c r="AN25" i="5" s="1"/>
  <c r="D38" i="8" s="1"/>
  <c r="AJ26" i="5"/>
  <c r="AM24" i="5" s="1"/>
  <c r="C37" i="8" s="1"/>
  <c r="AE26" i="5"/>
  <c r="AN24" i="5" s="1"/>
  <c r="D37" i="8" s="1"/>
  <c r="AJ25" i="5"/>
  <c r="AM23" i="5" s="1"/>
  <c r="C36" i="8" s="1"/>
  <c r="AE25" i="5"/>
  <c r="AN23" i="5" s="1"/>
  <c r="D36" i="8" s="1"/>
  <c r="AJ24" i="5"/>
  <c r="AM22" i="5" s="1"/>
  <c r="C35" i="8" s="1"/>
  <c r="AE24" i="5"/>
  <c r="AN22" i="5" s="1"/>
  <c r="D35" i="8" s="1"/>
  <c r="B16" i="5"/>
  <c r="B35" i="5" s="1"/>
  <c r="AC11" i="5"/>
  <c r="N10" i="5"/>
  <c r="N11" i="5" s="1"/>
  <c r="W9" i="5"/>
  <c r="T9" i="5"/>
  <c r="P54" i="4"/>
  <c r="AH49" i="4"/>
  <c r="AN32" i="4" s="1"/>
  <c r="S30" i="8" s="1"/>
  <c r="AC49" i="4"/>
  <c r="AM32" i="4" s="1"/>
  <c r="R30" i="8" s="1"/>
  <c r="AH48" i="4"/>
  <c r="AN31" i="4" s="1"/>
  <c r="S29" i="8" s="1"/>
  <c r="AC48" i="4"/>
  <c r="AM31" i="4" s="1"/>
  <c r="R29" i="8" s="1"/>
  <c r="AH47" i="4"/>
  <c r="AN30" i="4" s="1"/>
  <c r="S28" i="8" s="1"/>
  <c r="AC47" i="4"/>
  <c r="AM30" i="4" s="1"/>
  <c r="R28" i="8" s="1"/>
  <c r="AH46" i="4"/>
  <c r="AN29" i="4" s="1"/>
  <c r="S27" i="8" s="1"/>
  <c r="AC46" i="4"/>
  <c r="AM29" i="4" s="1"/>
  <c r="R27" i="8" s="1"/>
  <c r="AH45" i="4"/>
  <c r="AN28" i="4" s="1"/>
  <c r="S26" i="8" s="1"/>
  <c r="AE45" i="4"/>
  <c r="AF45" i="4" s="1"/>
  <c r="AC45" i="4"/>
  <c r="AM28" i="4" s="1"/>
  <c r="R26" i="8" s="1"/>
  <c r="Z45" i="4"/>
  <c r="Z46" i="4" s="1"/>
  <c r="AA46" i="4" s="1"/>
  <c r="AH44" i="4"/>
  <c r="AN27" i="4" s="1"/>
  <c r="S25" i="8" s="1"/>
  <c r="AF44" i="4"/>
  <c r="AC44" i="4"/>
  <c r="AM27" i="4" s="1"/>
  <c r="R25" i="8" s="1"/>
  <c r="AA44" i="4"/>
  <c r="AH43" i="4"/>
  <c r="AN26" i="4" s="1"/>
  <c r="S24" i="8" s="1"/>
  <c r="AE43" i="4"/>
  <c r="AC43" i="4"/>
  <c r="AM26" i="4" s="1"/>
  <c r="R24" i="8" s="1"/>
  <c r="Z43" i="4"/>
  <c r="AA43" i="4" s="1"/>
  <c r="J43" i="4"/>
  <c r="S9" i="4" s="1"/>
  <c r="B43" i="4"/>
  <c r="B44" i="4" s="1"/>
  <c r="B33" i="4" s="1"/>
  <c r="AH42" i="4"/>
  <c r="AN25" i="4" s="1"/>
  <c r="S23" i="8" s="1"/>
  <c r="AC42" i="4"/>
  <c r="AM25" i="4" s="1"/>
  <c r="R23" i="8" s="1"/>
  <c r="AH41" i="4"/>
  <c r="AN24" i="4" s="1"/>
  <c r="S22" i="8" s="1"/>
  <c r="AC41" i="4"/>
  <c r="AM24" i="4" s="1"/>
  <c r="R22" i="8" s="1"/>
  <c r="F41" i="4"/>
  <c r="AH40" i="4"/>
  <c r="AN23" i="4" s="1"/>
  <c r="S21" i="8" s="1"/>
  <c r="AC40" i="4"/>
  <c r="AM23" i="4" s="1"/>
  <c r="R21" i="8" s="1"/>
  <c r="AH39" i="4"/>
  <c r="AN22" i="4" s="1"/>
  <c r="S20" i="8" s="1"/>
  <c r="AC39" i="4"/>
  <c r="AM22" i="4" s="1"/>
  <c r="R20" i="8" s="1"/>
  <c r="B38" i="4"/>
  <c r="B37" i="4"/>
  <c r="J36" i="4"/>
  <c r="AA11" i="4" s="1"/>
  <c r="F36" i="4"/>
  <c r="F37" i="4" s="1"/>
  <c r="F38" i="4" s="1"/>
  <c r="Q9" i="4" s="1"/>
  <c r="B36" i="4"/>
  <c r="J35" i="4"/>
  <c r="B35" i="4"/>
  <c r="AH34" i="4"/>
  <c r="AK32" i="4" s="1"/>
  <c r="P30" i="8" s="1"/>
  <c r="AC34" i="4"/>
  <c r="AL32" i="4" s="1"/>
  <c r="Q30" i="8" s="1"/>
  <c r="J34" i="4"/>
  <c r="AH33" i="4"/>
  <c r="AK31" i="4" s="1"/>
  <c r="P29" i="8" s="1"/>
  <c r="AC33" i="4"/>
  <c r="AL31" i="4" s="1"/>
  <c r="Q29" i="8" s="1"/>
  <c r="J33" i="4"/>
  <c r="AH32" i="4"/>
  <c r="AK30" i="4" s="1"/>
  <c r="P28" i="8" s="1"/>
  <c r="AC32" i="4"/>
  <c r="AL30" i="4" s="1"/>
  <c r="Q28" i="8" s="1"/>
  <c r="J32" i="4"/>
  <c r="B32" i="4"/>
  <c r="AH31" i="4"/>
  <c r="AK29" i="4" s="1"/>
  <c r="P27" i="8" s="1"/>
  <c r="AC31" i="4"/>
  <c r="AL29" i="4" s="1"/>
  <c r="Q27" i="8" s="1"/>
  <c r="B31" i="4"/>
  <c r="AH30" i="4"/>
  <c r="AK28" i="4" s="1"/>
  <c r="P26" i="8" s="1"/>
  <c r="AE30" i="4"/>
  <c r="AE31" i="4" s="1"/>
  <c r="AC30" i="4"/>
  <c r="AL28" i="4" s="1"/>
  <c r="Q26" i="8" s="1"/>
  <c r="Z30" i="4"/>
  <c r="AA30" i="4" s="1"/>
  <c r="AH29" i="4"/>
  <c r="AK27" i="4" s="1"/>
  <c r="P25" i="8" s="1"/>
  <c r="AF29" i="4"/>
  <c r="AC29" i="4"/>
  <c r="AL27" i="4" s="1"/>
  <c r="Q25" i="8" s="1"/>
  <c r="AA29" i="4"/>
  <c r="AH28" i="4"/>
  <c r="AK26" i="4" s="1"/>
  <c r="P24" i="8" s="1"/>
  <c r="AE28" i="4"/>
  <c r="AE27" i="4" s="1"/>
  <c r="AF27" i="4" s="1"/>
  <c r="AC28" i="4"/>
  <c r="AL26" i="4" s="1"/>
  <c r="Q24" i="8" s="1"/>
  <c r="Z28" i="4"/>
  <c r="AH27" i="4"/>
  <c r="AK25" i="4" s="1"/>
  <c r="P23" i="8" s="1"/>
  <c r="AC27" i="4"/>
  <c r="AL25" i="4" s="1"/>
  <c r="Q23" i="8" s="1"/>
  <c r="AH26" i="4"/>
  <c r="AK24" i="4" s="1"/>
  <c r="P22" i="8" s="1"/>
  <c r="AC26" i="4"/>
  <c r="AL24" i="4" s="1"/>
  <c r="Q22" i="8" s="1"/>
  <c r="AH25" i="4"/>
  <c r="AK23" i="4" s="1"/>
  <c r="P21" i="8" s="1"/>
  <c r="AC25" i="4"/>
  <c r="AL23" i="4" s="1"/>
  <c r="Q21" i="8" s="1"/>
  <c r="AH24" i="4"/>
  <c r="AK22" i="4" s="1"/>
  <c r="P20" i="8" s="1"/>
  <c r="AC24" i="4"/>
  <c r="AL22" i="4" s="1"/>
  <c r="Q20" i="8" s="1"/>
  <c r="AA10" i="4"/>
  <c r="N10" i="4"/>
  <c r="S10" i="4" s="1"/>
  <c r="T9" i="4"/>
  <c r="AE64" i="3"/>
  <c r="AQ32" i="3" s="1"/>
  <c r="G30" i="8" s="1"/>
  <c r="AE63" i="3"/>
  <c r="AQ31" i="3" s="1"/>
  <c r="G29" i="8" s="1"/>
  <c r="AE62" i="3"/>
  <c r="AQ30" i="3" s="1"/>
  <c r="G28" i="8" s="1"/>
  <c r="AE61" i="3"/>
  <c r="AQ29" i="3" s="1"/>
  <c r="G27" i="8" s="1"/>
  <c r="AE60" i="3"/>
  <c r="AQ28" i="3" s="1"/>
  <c r="G26" i="8" s="1"/>
  <c r="AB60" i="3"/>
  <c r="AB61" i="3" s="1"/>
  <c r="AE59" i="3"/>
  <c r="AQ27" i="3" s="1"/>
  <c r="G25" i="8" s="1"/>
  <c r="AC59" i="3"/>
  <c r="AE58" i="3"/>
  <c r="AQ26" i="3" s="1"/>
  <c r="G24" i="8" s="1"/>
  <c r="AB58" i="3"/>
  <c r="AC58" i="3" s="1"/>
  <c r="AE57" i="3"/>
  <c r="AQ25" i="3" s="1"/>
  <c r="G23" i="8" s="1"/>
  <c r="AE56" i="3"/>
  <c r="AQ24" i="3" s="1"/>
  <c r="G22" i="8" s="1"/>
  <c r="AE55" i="3"/>
  <c r="AQ23" i="3" s="1"/>
  <c r="G21" i="8" s="1"/>
  <c r="AE54" i="3"/>
  <c r="AQ22" i="3" s="1"/>
  <c r="G20" i="8" s="1"/>
  <c r="P54" i="3"/>
  <c r="AJ49" i="3"/>
  <c r="AP32" i="3" s="1"/>
  <c r="F30" i="8" s="1"/>
  <c r="AE49" i="3"/>
  <c r="AO32" i="3" s="1"/>
  <c r="E30" i="8" s="1"/>
  <c r="AJ48" i="3"/>
  <c r="AP31" i="3" s="1"/>
  <c r="F29" i="8" s="1"/>
  <c r="AE48" i="3"/>
  <c r="AO31" i="3" s="1"/>
  <c r="E29" i="8" s="1"/>
  <c r="AJ47" i="3"/>
  <c r="AP30" i="3" s="1"/>
  <c r="F28" i="8" s="1"/>
  <c r="AE47" i="3"/>
  <c r="AO30" i="3" s="1"/>
  <c r="E28" i="8" s="1"/>
  <c r="AJ46" i="3"/>
  <c r="AP29" i="3" s="1"/>
  <c r="F27" i="8" s="1"/>
  <c r="AE46" i="3"/>
  <c r="AO29" i="3" s="1"/>
  <c r="E27" i="8" s="1"/>
  <c r="J46" i="3"/>
  <c r="T9" i="3" s="1"/>
  <c r="B48" i="3"/>
  <c r="AC9" i="3" s="1"/>
  <c r="AJ45" i="3"/>
  <c r="AP28" i="3" s="1"/>
  <c r="F26" i="8" s="1"/>
  <c r="AG45" i="3"/>
  <c r="AE45" i="3"/>
  <c r="AO28" i="3" s="1"/>
  <c r="E26" i="8" s="1"/>
  <c r="AB45" i="3"/>
  <c r="AC45" i="3" s="1"/>
  <c r="B45" i="3"/>
  <c r="B47" i="3" s="1"/>
  <c r="AJ44" i="3"/>
  <c r="AP27" i="3" s="1"/>
  <c r="F25" i="8" s="1"/>
  <c r="AH44" i="3"/>
  <c r="AE44" i="3"/>
  <c r="AO27" i="3" s="1"/>
  <c r="E25" i="8" s="1"/>
  <c r="AC44" i="3"/>
  <c r="AJ43" i="3"/>
  <c r="AP26" i="3" s="1"/>
  <c r="F24" i="8" s="1"/>
  <c r="AG43" i="3"/>
  <c r="AG42" i="3" s="1"/>
  <c r="AG41" i="3" s="1"/>
  <c r="AE43" i="3"/>
  <c r="AO26" i="3" s="1"/>
  <c r="E24" i="8" s="1"/>
  <c r="AB43" i="3"/>
  <c r="AC43" i="3" s="1"/>
  <c r="AJ42" i="3"/>
  <c r="AP25" i="3" s="1"/>
  <c r="F23" i="8" s="1"/>
  <c r="AE42" i="3"/>
  <c r="AO25" i="3" s="1"/>
  <c r="E23" i="8" s="1"/>
  <c r="AJ41" i="3"/>
  <c r="AP24" i="3" s="1"/>
  <c r="F22" i="8" s="1"/>
  <c r="AE41" i="3"/>
  <c r="AO24" i="3" s="1"/>
  <c r="E22" i="8" s="1"/>
  <c r="J41" i="3"/>
  <c r="AC12" i="3" s="1"/>
  <c r="AJ40" i="3"/>
  <c r="AP23" i="3" s="1"/>
  <c r="F21" i="8" s="1"/>
  <c r="AE40" i="3"/>
  <c r="AO23" i="3" s="1"/>
  <c r="E21" i="8" s="1"/>
  <c r="J40" i="3"/>
  <c r="AJ39" i="3"/>
  <c r="AP22" i="3" s="1"/>
  <c r="F20" i="8" s="1"/>
  <c r="AE39" i="3"/>
  <c r="AO22" i="3" s="1"/>
  <c r="E20" i="8" s="1"/>
  <c r="J39" i="3"/>
  <c r="J38" i="3"/>
  <c r="B38" i="3"/>
  <c r="F37" i="3"/>
  <c r="F40" i="3" s="1"/>
  <c r="B37" i="3"/>
  <c r="F36" i="3"/>
  <c r="F38" i="3" s="1"/>
  <c r="F41" i="3" s="1"/>
  <c r="Q9" i="3" s="1"/>
  <c r="B36" i="3"/>
  <c r="AJ34" i="3"/>
  <c r="AM32" i="3" s="1"/>
  <c r="C30" i="8" s="1"/>
  <c r="AE34" i="3"/>
  <c r="AN32" i="3" s="1"/>
  <c r="D30" i="8" s="1"/>
  <c r="J34" i="3"/>
  <c r="AJ33" i="3"/>
  <c r="AM31" i="3" s="1"/>
  <c r="C29" i="8" s="1"/>
  <c r="AE33" i="3"/>
  <c r="AN31" i="3" s="1"/>
  <c r="D29" i="8" s="1"/>
  <c r="AJ32" i="3"/>
  <c r="AM30" i="3" s="1"/>
  <c r="C28" i="8" s="1"/>
  <c r="AE32" i="3"/>
  <c r="AN30" i="3" s="1"/>
  <c r="D28" i="8" s="1"/>
  <c r="B32" i="3"/>
  <c r="AJ31" i="3"/>
  <c r="AM29" i="3" s="1"/>
  <c r="C27" i="8" s="1"/>
  <c r="AE31" i="3"/>
  <c r="AN29" i="3" s="1"/>
  <c r="D27" i="8" s="1"/>
  <c r="J31" i="3"/>
  <c r="B31" i="3"/>
  <c r="AJ30" i="3"/>
  <c r="AM28" i="3" s="1"/>
  <c r="C26" i="8" s="1"/>
  <c r="AG30" i="3"/>
  <c r="AH30" i="3" s="1"/>
  <c r="AE30" i="3"/>
  <c r="AN28" i="3" s="1"/>
  <c r="D26" i="8" s="1"/>
  <c r="AB30" i="3"/>
  <c r="AC30" i="3" s="1"/>
  <c r="AJ29" i="3"/>
  <c r="AM27" i="3" s="1"/>
  <c r="C25" i="8" s="1"/>
  <c r="AH29" i="3"/>
  <c r="AE29" i="3"/>
  <c r="AN27" i="3" s="1"/>
  <c r="D25" i="8" s="1"/>
  <c r="AC29" i="3"/>
  <c r="AJ28" i="3"/>
  <c r="AM26" i="3" s="1"/>
  <c r="C24" i="8" s="1"/>
  <c r="AG28" i="3"/>
  <c r="AH28" i="3" s="1"/>
  <c r="AE28" i="3"/>
  <c r="AN26" i="3" s="1"/>
  <c r="D24" i="8" s="1"/>
  <c r="AB28" i="3"/>
  <c r="AC28" i="3" s="1"/>
  <c r="AJ27" i="3"/>
  <c r="AM25" i="3" s="1"/>
  <c r="C23" i="8" s="1"/>
  <c r="AE27" i="3"/>
  <c r="AN25" i="3" s="1"/>
  <c r="D23" i="8" s="1"/>
  <c r="AJ26" i="3"/>
  <c r="AM24" i="3" s="1"/>
  <c r="C22" i="8" s="1"/>
  <c r="AE26" i="3"/>
  <c r="AN24" i="3" s="1"/>
  <c r="D22" i="8" s="1"/>
  <c r="AJ25" i="3"/>
  <c r="AM23" i="3" s="1"/>
  <c r="C21" i="8" s="1"/>
  <c r="AE25" i="3"/>
  <c r="AN23" i="3" s="1"/>
  <c r="D21" i="8" s="1"/>
  <c r="AJ24" i="3"/>
  <c r="AM22" i="3" s="1"/>
  <c r="C20" i="8" s="1"/>
  <c r="AE24" i="3"/>
  <c r="AN22" i="3" s="1"/>
  <c r="D20" i="8" s="1"/>
  <c r="B16" i="3"/>
  <c r="B35" i="3" s="1"/>
  <c r="AC11" i="3"/>
  <c r="N10" i="3"/>
  <c r="N11" i="3" s="1"/>
  <c r="W9" i="3"/>
  <c r="AC8" i="3"/>
  <c r="P54" i="2"/>
  <c r="AH49" i="2"/>
  <c r="AN32" i="2" s="1"/>
  <c r="S15" i="8" s="1"/>
  <c r="AC49" i="2"/>
  <c r="AM32" i="2" s="1"/>
  <c r="R15" i="8" s="1"/>
  <c r="AH48" i="2"/>
  <c r="AN31" i="2" s="1"/>
  <c r="S14" i="8" s="1"/>
  <c r="AC48" i="2"/>
  <c r="AM31" i="2" s="1"/>
  <c r="R14" i="8" s="1"/>
  <c r="Z48" i="2"/>
  <c r="Z49" i="2" s="1"/>
  <c r="AA49" i="2" s="1"/>
  <c r="AH47" i="2"/>
  <c r="AN30" i="2" s="1"/>
  <c r="S13" i="8" s="1"/>
  <c r="AC47" i="2"/>
  <c r="AM30" i="2" s="1"/>
  <c r="R13" i="8" s="1"/>
  <c r="AH46" i="2"/>
  <c r="AN29" i="2" s="1"/>
  <c r="S12" i="8" s="1"/>
  <c r="AC46" i="2"/>
  <c r="AM29" i="2" s="1"/>
  <c r="R12" i="8" s="1"/>
  <c r="AH45" i="2"/>
  <c r="AN28" i="2" s="1"/>
  <c r="S11" i="8" s="1"/>
  <c r="AE45" i="2"/>
  <c r="AE46" i="2" s="1"/>
  <c r="AC45" i="2"/>
  <c r="AM28" i="2" s="1"/>
  <c r="R11" i="8" s="1"/>
  <c r="Z45" i="2"/>
  <c r="Z46" i="2" s="1"/>
  <c r="Z47" i="2" s="1"/>
  <c r="AA47" i="2" s="1"/>
  <c r="AH44" i="2"/>
  <c r="AN27" i="2" s="1"/>
  <c r="S10" i="8" s="1"/>
  <c r="AF44" i="2"/>
  <c r="AC44" i="2"/>
  <c r="AM27" i="2" s="1"/>
  <c r="R10" i="8" s="1"/>
  <c r="AA44" i="2"/>
  <c r="AH43" i="2"/>
  <c r="AN26" i="2" s="1"/>
  <c r="S9" i="8" s="1"/>
  <c r="AE43" i="2"/>
  <c r="AF43" i="2" s="1"/>
  <c r="AC43" i="2"/>
  <c r="AM26" i="2" s="1"/>
  <c r="R9" i="8" s="1"/>
  <c r="Z43" i="2"/>
  <c r="AA43" i="2" s="1"/>
  <c r="J43" i="2"/>
  <c r="S9" i="2" s="1"/>
  <c r="B43" i="2"/>
  <c r="B44" i="2" s="1"/>
  <c r="AH42" i="2"/>
  <c r="AN25" i="2" s="1"/>
  <c r="S8" i="8" s="1"/>
  <c r="AC42" i="2"/>
  <c r="AM25" i="2" s="1"/>
  <c r="R8" i="8" s="1"/>
  <c r="AH41" i="2"/>
  <c r="AN24" i="2" s="1"/>
  <c r="S7" i="8" s="1"/>
  <c r="AC41" i="2"/>
  <c r="AM24" i="2" s="1"/>
  <c r="R7" i="8" s="1"/>
  <c r="F41" i="2"/>
  <c r="AH40" i="2"/>
  <c r="AN23" i="2" s="1"/>
  <c r="S6" i="8" s="1"/>
  <c r="AC40" i="2"/>
  <c r="AM23" i="2" s="1"/>
  <c r="R6" i="8" s="1"/>
  <c r="AH39" i="2"/>
  <c r="AN22" i="2" s="1"/>
  <c r="S5" i="8" s="1"/>
  <c r="AC39" i="2"/>
  <c r="AM22" i="2" s="1"/>
  <c r="R5" i="8" s="1"/>
  <c r="B38" i="2"/>
  <c r="B37" i="2"/>
  <c r="F36" i="2"/>
  <c r="F37" i="2" s="1"/>
  <c r="F38" i="2" s="1"/>
  <c r="B36" i="2"/>
  <c r="J35" i="2"/>
  <c r="B35" i="2"/>
  <c r="AH34" i="2"/>
  <c r="AK32" i="2" s="1"/>
  <c r="P15" i="8" s="1"/>
  <c r="AC34" i="2"/>
  <c r="AL32" i="2" s="1"/>
  <c r="Q15" i="8" s="1"/>
  <c r="J34" i="2"/>
  <c r="AH33" i="2"/>
  <c r="AK31" i="2" s="1"/>
  <c r="P14" i="8" s="1"/>
  <c r="AC33" i="2"/>
  <c r="AL31" i="2" s="1"/>
  <c r="Q14" i="8" s="1"/>
  <c r="J33" i="2"/>
  <c r="AH32" i="2"/>
  <c r="AK30" i="2" s="1"/>
  <c r="P13" i="8" s="1"/>
  <c r="AC32" i="2"/>
  <c r="AL30" i="2" s="1"/>
  <c r="Q13" i="8" s="1"/>
  <c r="J32" i="2"/>
  <c r="B32" i="2"/>
  <c r="AH31" i="2"/>
  <c r="AK29" i="2" s="1"/>
  <c r="P12" i="8" s="1"/>
  <c r="AC31" i="2"/>
  <c r="AL29" i="2" s="1"/>
  <c r="Q12" i="8" s="1"/>
  <c r="B31" i="2"/>
  <c r="AH30" i="2"/>
  <c r="AK28" i="2" s="1"/>
  <c r="P11" i="8" s="1"/>
  <c r="AE30" i="2"/>
  <c r="AE31" i="2" s="1"/>
  <c r="AC30" i="2"/>
  <c r="AL28" i="2" s="1"/>
  <c r="Q11" i="8" s="1"/>
  <c r="Z30" i="2"/>
  <c r="AH29" i="2"/>
  <c r="AK27" i="2" s="1"/>
  <c r="P10" i="8" s="1"/>
  <c r="AF29" i="2"/>
  <c r="AC29" i="2"/>
  <c r="AL27" i="2" s="1"/>
  <c r="Q10" i="8" s="1"/>
  <c r="AA29" i="2"/>
  <c r="AH28" i="2"/>
  <c r="AK26" i="2" s="1"/>
  <c r="P9" i="8" s="1"/>
  <c r="AE28" i="2"/>
  <c r="AF28" i="2" s="1"/>
  <c r="AC28" i="2"/>
  <c r="AL26" i="2" s="1"/>
  <c r="Q9" i="8" s="1"/>
  <c r="AA28" i="2"/>
  <c r="Z28" i="2"/>
  <c r="AH27" i="2"/>
  <c r="AK25" i="2" s="1"/>
  <c r="P8" i="8" s="1"/>
  <c r="AC27" i="2"/>
  <c r="AL25" i="2" s="1"/>
  <c r="Q8" i="8" s="1"/>
  <c r="Z27" i="2"/>
  <c r="AH26" i="2"/>
  <c r="AK24" i="2" s="1"/>
  <c r="P7" i="8" s="1"/>
  <c r="AC26" i="2"/>
  <c r="AL24" i="2" s="1"/>
  <c r="Q7" i="8" s="1"/>
  <c r="AH25" i="2"/>
  <c r="AK23" i="2" s="1"/>
  <c r="P6" i="8" s="1"/>
  <c r="AC25" i="2"/>
  <c r="AL23" i="2" s="1"/>
  <c r="Q6" i="8" s="1"/>
  <c r="AH24" i="2"/>
  <c r="AK22" i="2" s="1"/>
  <c r="P5" i="8" s="1"/>
  <c r="AC24" i="2"/>
  <c r="AL22" i="2" s="1"/>
  <c r="Q5" i="8" s="1"/>
  <c r="J36" i="2"/>
  <c r="AA11" i="2" s="1"/>
  <c r="AA10" i="2"/>
  <c r="N10" i="2"/>
  <c r="W9" i="2"/>
  <c r="T9" i="2"/>
  <c r="AA8" i="2"/>
  <c r="AE64" i="1"/>
  <c r="AQ32" i="1" s="1"/>
  <c r="G15" i="8" s="1"/>
  <c r="AE63" i="1"/>
  <c r="AQ31" i="1" s="1"/>
  <c r="G14" i="8" s="1"/>
  <c r="AE62" i="1"/>
  <c r="AQ30" i="1" s="1"/>
  <c r="G13" i="8" s="1"/>
  <c r="AE61" i="1"/>
  <c r="AQ29" i="1" s="1"/>
  <c r="G12" i="8" s="1"/>
  <c r="AE60" i="1"/>
  <c r="AQ28" i="1" s="1"/>
  <c r="G11" i="8" s="1"/>
  <c r="AB60" i="1"/>
  <c r="AC60" i="1" s="1"/>
  <c r="AE59" i="1"/>
  <c r="AQ27" i="1" s="1"/>
  <c r="G10" i="8" s="1"/>
  <c r="AC59" i="1"/>
  <c r="AE58" i="1"/>
  <c r="AQ26" i="1" s="1"/>
  <c r="G9" i="8" s="1"/>
  <c r="AB58" i="1"/>
  <c r="AC58" i="1" s="1"/>
  <c r="AE57" i="1"/>
  <c r="AQ25" i="1" s="1"/>
  <c r="G8" i="8" s="1"/>
  <c r="AE56" i="1"/>
  <c r="AQ24" i="1" s="1"/>
  <c r="G7" i="8" s="1"/>
  <c r="AE55" i="1"/>
  <c r="AQ23" i="1" s="1"/>
  <c r="G6" i="8" s="1"/>
  <c r="AE54" i="1"/>
  <c r="AQ22" i="1" s="1"/>
  <c r="G5" i="8" s="1"/>
  <c r="P54" i="1"/>
  <c r="AJ49" i="1"/>
  <c r="AP32" i="1" s="1"/>
  <c r="F15" i="8" s="1"/>
  <c r="AE49" i="1"/>
  <c r="AO32" i="1" s="1"/>
  <c r="E15" i="8" s="1"/>
  <c r="AJ48" i="1"/>
  <c r="AP31" i="1" s="1"/>
  <c r="F14" i="8" s="1"/>
  <c r="AE48" i="1"/>
  <c r="AO31" i="1" s="1"/>
  <c r="E14" i="8" s="1"/>
  <c r="B48" i="1"/>
  <c r="AC9" i="1" s="1"/>
  <c r="AJ47" i="1"/>
  <c r="AP30" i="1" s="1"/>
  <c r="F13" i="8" s="1"/>
  <c r="AE47" i="1"/>
  <c r="AO30" i="1" s="1"/>
  <c r="E13" i="8" s="1"/>
  <c r="AJ46" i="1"/>
  <c r="AP29" i="1" s="1"/>
  <c r="F12" i="8" s="1"/>
  <c r="AE46" i="1"/>
  <c r="AO29" i="1" s="1"/>
  <c r="E12" i="8" s="1"/>
  <c r="T9" i="1"/>
  <c r="AJ45" i="1"/>
  <c r="AP28" i="1" s="1"/>
  <c r="F11" i="8" s="1"/>
  <c r="AG45" i="1"/>
  <c r="AG46" i="1" s="1"/>
  <c r="AG47" i="1" s="1"/>
  <c r="AE45" i="1"/>
  <c r="AO28" i="1" s="1"/>
  <c r="E11" i="8" s="1"/>
  <c r="AB45" i="1"/>
  <c r="AC45" i="1" s="1"/>
  <c r="B45" i="1"/>
  <c r="B47" i="1" s="1"/>
  <c r="AJ44" i="1"/>
  <c r="AP27" i="1" s="1"/>
  <c r="F10" i="8" s="1"/>
  <c r="AH44" i="1"/>
  <c r="AE44" i="1"/>
  <c r="AO27" i="1" s="1"/>
  <c r="E10" i="8" s="1"/>
  <c r="AC44" i="1"/>
  <c r="AJ43" i="1"/>
  <c r="AP26" i="1" s="1"/>
  <c r="F9" i="8" s="1"/>
  <c r="AG43" i="1"/>
  <c r="AH43" i="1" s="1"/>
  <c r="AE43" i="1"/>
  <c r="AO26" i="1" s="1"/>
  <c r="E9" i="8" s="1"/>
  <c r="AB43" i="1"/>
  <c r="AB42" i="1" s="1"/>
  <c r="AC42" i="1" s="1"/>
  <c r="AJ42" i="1"/>
  <c r="AP25" i="1" s="1"/>
  <c r="F8" i="8" s="1"/>
  <c r="AE42" i="1"/>
  <c r="AO25" i="1" s="1"/>
  <c r="E8" i="8" s="1"/>
  <c r="AJ41" i="1"/>
  <c r="AP24" i="1" s="1"/>
  <c r="F7" i="8" s="1"/>
  <c r="AE41" i="1"/>
  <c r="AO24" i="1" s="1"/>
  <c r="E7" i="8" s="1"/>
  <c r="J41" i="1"/>
  <c r="AC12" i="1" s="1"/>
  <c r="AJ40" i="1"/>
  <c r="AP23" i="1" s="1"/>
  <c r="F6" i="8" s="1"/>
  <c r="AE40" i="1"/>
  <c r="AO23" i="1" s="1"/>
  <c r="E6" i="8" s="1"/>
  <c r="J40" i="1"/>
  <c r="AJ39" i="1"/>
  <c r="AP22" i="1" s="1"/>
  <c r="F5" i="8" s="1"/>
  <c r="AE39" i="1"/>
  <c r="AO22" i="1" s="1"/>
  <c r="E5" i="8" s="1"/>
  <c r="J39" i="1"/>
  <c r="J38" i="1"/>
  <c r="F38" i="1"/>
  <c r="F41" i="1" s="1"/>
  <c r="Q9" i="1" s="1"/>
  <c r="B38" i="1"/>
  <c r="F37" i="1"/>
  <c r="F40" i="1" s="1"/>
  <c r="R9" i="1" s="1"/>
  <c r="B37" i="1"/>
  <c r="F36" i="1"/>
  <c r="B36" i="1"/>
  <c r="AJ34" i="1"/>
  <c r="AM32" i="1" s="1"/>
  <c r="C15" i="8" s="1"/>
  <c r="AE34" i="1"/>
  <c r="AN32" i="1" s="1"/>
  <c r="D15" i="8" s="1"/>
  <c r="J34" i="1"/>
  <c r="AJ33" i="1"/>
  <c r="AM31" i="1" s="1"/>
  <c r="C14" i="8" s="1"/>
  <c r="AE33" i="1"/>
  <c r="AN31" i="1" s="1"/>
  <c r="D14" i="8" s="1"/>
  <c r="AJ32" i="1"/>
  <c r="AM30" i="1" s="1"/>
  <c r="C13" i="8" s="1"/>
  <c r="AE32" i="1"/>
  <c r="AN30" i="1" s="1"/>
  <c r="D13" i="8" s="1"/>
  <c r="B32" i="1"/>
  <c r="AJ31" i="1"/>
  <c r="AM29" i="1" s="1"/>
  <c r="C12" i="8" s="1"/>
  <c r="AE31" i="1"/>
  <c r="AN29" i="1" s="1"/>
  <c r="D12" i="8" s="1"/>
  <c r="J31" i="1"/>
  <c r="U9" i="1" s="1"/>
  <c r="B31" i="1"/>
  <c r="AJ30" i="1"/>
  <c r="AM28" i="1" s="1"/>
  <c r="C11" i="8" s="1"/>
  <c r="AG30" i="1"/>
  <c r="AH30" i="1" s="1"/>
  <c r="AE30" i="1"/>
  <c r="AN28" i="1" s="1"/>
  <c r="D11" i="8" s="1"/>
  <c r="AB30" i="1"/>
  <c r="AB31" i="1" s="1"/>
  <c r="AJ29" i="1"/>
  <c r="AM27" i="1" s="1"/>
  <c r="C10" i="8" s="1"/>
  <c r="AH29" i="1"/>
  <c r="AE29" i="1"/>
  <c r="AN27" i="1" s="1"/>
  <c r="D10" i="8" s="1"/>
  <c r="AC29" i="1"/>
  <c r="AJ28" i="1"/>
  <c r="AM26" i="1" s="1"/>
  <c r="C9" i="8" s="1"/>
  <c r="AG28" i="1"/>
  <c r="AG27" i="1" s="1"/>
  <c r="AG26" i="1" s="1"/>
  <c r="AE28" i="1"/>
  <c r="AN26" i="1" s="1"/>
  <c r="D9" i="8" s="1"/>
  <c r="AC28" i="1"/>
  <c r="AB28" i="1"/>
  <c r="AJ27" i="1"/>
  <c r="AM25" i="1" s="1"/>
  <c r="C8" i="8" s="1"/>
  <c r="AE27" i="1"/>
  <c r="AN25" i="1" s="1"/>
  <c r="D8" i="8" s="1"/>
  <c r="AB27" i="1"/>
  <c r="AB26" i="1" s="1"/>
  <c r="AB25" i="1" s="1"/>
  <c r="AJ26" i="1"/>
  <c r="AM24" i="1" s="1"/>
  <c r="C7" i="8" s="1"/>
  <c r="AE26" i="1"/>
  <c r="AN24" i="1" s="1"/>
  <c r="D7" i="8" s="1"/>
  <c r="AJ25" i="1"/>
  <c r="AM23" i="1" s="1"/>
  <c r="C6" i="8" s="1"/>
  <c r="AE25" i="1"/>
  <c r="AN23" i="1" s="1"/>
  <c r="D6" i="8" s="1"/>
  <c r="AJ24" i="1"/>
  <c r="AM22" i="1" s="1"/>
  <c r="C5" i="8" s="1"/>
  <c r="AE24" i="1"/>
  <c r="AN22" i="1" s="1"/>
  <c r="D5" i="8" s="1"/>
  <c r="B16" i="1"/>
  <c r="B35" i="1" s="1"/>
  <c r="AC11" i="1"/>
  <c r="N10" i="1"/>
  <c r="W10" i="1" s="1"/>
  <c r="W9" i="1"/>
  <c r="AC8" i="1"/>
  <c r="AB77" i="3" l="1"/>
  <c r="AC77" i="3" s="1"/>
  <c r="AC76" i="3"/>
  <c r="S10" i="2"/>
  <c r="AB41" i="1"/>
  <c r="AC75" i="3"/>
  <c r="W10" i="5"/>
  <c r="F49" i="3"/>
  <c r="AC72" i="5"/>
  <c r="AA60" i="6"/>
  <c r="F50" i="1"/>
  <c r="AC75" i="1"/>
  <c r="AA46" i="2"/>
  <c r="F50" i="3"/>
  <c r="F51" i="3" s="1"/>
  <c r="AG57" i="1"/>
  <c r="AG56" i="1" s="1"/>
  <c r="Z61" i="2"/>
  <c r="AG42" i="1"/>
  <c r="AH42" i="1" s="1"/>
  <c r="N11" i="4"/>
  <c r="N12" i="4" s="1"/>
  <c r="Z42" i="4"/>
  <c r="Z41" i="4" s="1"/>
  <c r="Z40" i="4" s="1"/>
  <c r="Z39" i="4" s="1"/>
  <c r="AB56" i="5"/>
  <c r="AC56" i="5" s="1"/>
  <c r="AC73" i="1"/>
  <c r="AC13" i="5"/>
  <c r="AA57" i="4"/>
  <c r="AC75" i="5"/>
  <c r="Z62" i="6"/>
  <c r="AA62" i="6" s="1"/>
  <c r="Z56" i="6"/>
  <c r="AA56" i="6" s="1"/>
  <c r="AB70" i="5"/>
  <c r="AC70" i="5" s="1"/>
  <c r="AB77" i="5"/>
  <c r="AC77" i="5" s="1"/>
  <c r="Z55" i="4"/>
  <c r="AA55" i="4" s="1"/>
  <c r="Z61" i="4"/>
  <c r="AA61" i="4" s="1"/>
  <c r="AB72" i="3"/>
  <c r="AC72" i="3" s="1"/>
  <c r="Z57" i="2"/>
  <c r="AA57" i="2" s="1"/>
  <c r="AB77" i="1"/>
  <c r="AC77" i="1" s="1"/>
  <c r="AB71" i="1"/>
  <c r="AC71" i="1" s="1"/>
  <c r="T11" i="3"/>
  <c r="F51" i="5"/>
  <c r="J32" i="5" s="1"/>
  <c r="AG62" i="5"/>
  <c r="AH61" i="5"/>
  <c r="AG57" i="5"/>
  <c r="AH60" i="5"/>
  <c r="AH61" i="3"/>
  <c r="AG62" i="3"/>
  <c r="AG55" i="3"/>
  <c r="AH56" i="3"/>
  <c r="AH57" i="3"/>
  <c r="AH60" i="3"/>
  <c r="AG62" i="1"/>
  <c r="AH61" i="1"/>
  <c r="AH56" i="1"/>
  <c r="AG55" i="1"/>
  <c r="AH57" i="1"/>
  <c r="AH60" i="1"/>
  <c r="F52" i="3"/>
  <c r="J32" i="3" s="1"/>
  <c r="V10" i="3" s="1"/>
  <c r="AG27" i="3"/>
  <c r="AG25" i="5"/>
  <c r="AG31" i="3"/>
  <c r="AH31" i="3" s="1"/>
  <c r="F49" i="1"/>
  <c r="AH28" i="5"/>
  <c r="AG31" i="1"/>
  <c r="AG32" i="1" s="1"/>
  <c r="AE46" i="4"/>
  <c r="AE47" i="4" s="1"/>
  <c r="AF47" i="4" s="1"/>
  <c r="AC26" i="1"/>
  <c r="AH42" i="3"/>
  <c r="AC58" i="5"/>
  <c r="AB57" i="1"/>
  <c r="AB56" i="1" s="1"/>
  <c r="AB55" i="1" s="1"/>
  <c r="AC55" i="1" s="1"/>
  <c r="B46" i="4"/>
  <c r="AG31" i="5"/>
  <c r="AH31" i="5" s="1"/>
  <c r="AG41" i="5"/>
  <c r="T10" i="3"/>
  <c r="T10" i="4"/>
  <c r="S10" i="6"/>
  <c r="Z9" i="5"/>
  <c r="U11" i="3"/>
  <c r="B51" i="5"/>
  <c r="U11" i="5"/>
  <c r="J31" i="2"/>
  <c r="R10" i="2" s="1"/>
  <c r="B51" i="1"/>
  <c r="AF46" i="2"/>
  <c r="AE47" i="2"/>
  <c r="AE48" i="2" s="1"/>
  <c r="R9" i="5"/>
  <c r="R10" i="5"/>
  <c r="AC61" i="3"/>
  <c r="AB62" i="3"/>
  <c r="AF46" i="6"/>
  <c r="AE47" i="6"/>
  <c r="AE48" i="6" s="1"/>
  <c r="Q9" i="2"/>
  <c r="Q10" i="2"/>
  <c r="AE32" i="4"/>
  <c r="AF31" i="4"/>
  <c r="Z26" i="6"/>
  <c r="AA27" i="6"/>
  <c r="AF30" i="2"/>
  <c r="AC60" i="3"/>
  <c r="AA45" i="4"/>
  <c r="S11" i="6"/>
  <c r="AA28" i="6"/>
  <c r="AF42" i="6"/>
  <c r="AF45" i="6"/>
  <c r="AE42" i="2"/>
  <c r="U10" i="3"/>
  <c r="W10" i="4"/>
  <c r="J37" i="1"/>
  <c r="S9" i="1" s="1"/>
  <c r="AB61" i="1"/>
  <c r="AF45" i="2"/>
  <c r="AB46" i="3"/>
  <c r="AB57" i="3"/>
  <c r="AA8" i="4"/>
  <c r="AE26" i="4"/>
  <c r="AE25" i="4" s="1"/>
  <c r="AF30" i="4"/>
  <c r="AC8" i="5"/>
  <c r="AB55" i="5"/>
  <c r="AB54" i="5" s="1"/>
  <c r="AC54" i="5" s="1"/>
  <c r="B34" i="4"/>
  <c r="B45" i="4" s="1"/>
  <c r="AH27" i="1"/>
  <c r="AG41" i="1"/>
  <c r="AH41" i="1" s="1"/>
  <c r="B49" i="1"/>
  <c r="B33" i="1" s="1"/>
  <c r="W9" i="4"/>
  <c r="Z31" i="4"/>
  <c r="AE48" i="4"/>
  <c r="AE49" i="4" s="1"/>
  <c r="AF49" i="4" s="1"/>
  <c r="AC60" i="5"/>
  <c r="AE27" i="2"/>
  <c r="AE26" i="2" s="1"/>
  <c r="U9" i="3"/>
  <c r="AC43" i="1"/>
  <c r="AB42" i="3"/>
  <c r="AB41" i="3" s="1"/>
  <c r="W10" i="2"/>
  <c r="Q10" i="3"/>
  <c r="AB27" i="3"/>
  <c r="B51" i="3"/>
  <c r="Q10" i="4"/>
  <c r="Z10" i="5"/>
  <c r="J37" i="5"/>
  <c r="S9" i="5" s="1"/>
  <c r="J31" i="6"/>
  <c r="R9" i="6" s="1"/>
  <c r="J37" i="3"/>
  <c r="S9" i="3" s="1"/>
  <c r="AH26" i="1"/>
  <c r="AG25" i="1"/>
  <c r="AC25" i="1"/>
  <c r="AB24" i="1"/>
  <c r="AC24" i="1" s="1"/>
  <c r="AB32" i="1"/>
  <c r="AC31" i="1"/>
  <c r="AG33" i="1"/>
  <c r="AH32" i="1"/>
  <c r="AG48" i="1"/>
  <c r="AH47" i="1"/>
  <c r="U10" i="1"/>
  <c r="AF43" i="4"/>
  <c r="AE42" i="4"/>
  <c r="Q10" i="1"/>
  <c r="AH31" i="1"/>
  <c r="Z9" i="1"/>
  <c r="R10" i="1"/>
  <c r="AC27" i="1"/>
  <c r="AH28" i="1"/>
  <c r="AC41" i="1"/>
  <c r="AB40" i="1"/>
  <c r="AB39" i="1" s="1"/>
  <c r="AH45" i="1"/>
  <c r="AH46" i="1"/>
  <c r="Z26" i="2"/>
  <c r="AA27" i="2"/>
  <c r="Z42" i="2"/>
  <c r="AA48" i="2"/>
  <c r="Z10" i="3"/>
  <c r="AH45" i="3"/>
  <c r="AG46" i="3"/>
  <c r="AF48" i="4"/>
  <c r="AC28" i="5"/>
  <c r="AB27" i="5"/>
  <c r="T10" i="1"/>
  <c r="AG26" i="3"/>
  <c r="AH27" i="3"/>
  <c r="R10" i="3"/>
  <c r="R9" i="3"/>
  <c r="N11" i="1"/>
  <c r="AC30" i="1"/>
  <c r="Z10" i="1"/>
  <c r="AB46" i="1"/>
  <c r="AC56" i="1"/>
  <c r="AE32" i="2"/>
  <c r="AF31" i="2"/>
  <c r="Z9" i="3"/>
  <c r="W11" i="4"/>
  <c r="Q11" i="4"/>
  <c r="T11" i="4"/>
  <c r="S11" i="4"/>
  <c r="AH41" i="3"/>
  <c r="AG40" i="3"/>
  <c r="AB47" i="3"/>
  <c r="AC46" i="3"/>
  <c r="Z27" i="4"/>
  <c r="AA28" i="4"/>
  <c r="N11" i="2"/>
  <c r="Z31" i="2"/>
  <c r="AA30" i="2"/>
  <c r="B34" i="2"/>
  <c r="N12" i="3"/>
  <c r="W11" i="3"/>
  <c r="R11" i="3"/>
  <c r="AH43" i="3"/>
  <c r="B49" i="3"/>
  <c r="AF46" i="4"/>
  <c r="Q9" i="5"/>
  <c r="Q10" i="5"/>
  <c r="Z46" i="6"/>
  <c r="AA45" i="6"/>
  <c r="T10" i="2"/>
  <c r="B46" i="2"/>
  <c r="B33" i="2"/>
  <c r="AA45" i="2"/>
  <c r="Q11" i="3"/>
  <c r="Z11" i="3"/>
  <c r="AB31" i="3"/>
  <c r="T11" i="5"/>
  <c r="Z11" i="5"/>
  <c r="W11" i="5"/>
  <c r="R11" i="5"/>
  <c r="AC30" i="5"/>
  <c r="AB31" i="5"/>
  <c r="AB41" i="5"/>
  <c r="AC42" i="5"/>
  <c r="AF28" i="6"/>
  <c r="AE27" i="6"/>
  <c r="B33" i="6"/>
  <c r="W9" i="6"/>
  <c r="B34" i="6"/>
  <c r="W10" i="3"/>
  <c r="AF26" i="4"/>
  <c r="AF28" i="4"/>
  <c r="J31" i="4"/>
  <c r="Z47" i="4"/>
  <c r="Q11" i="5"/>
  <c r="N12" i="5"/>
  <c r="AC43" i="5"/>
  <c r="B49" i="5"/>
  <c r="AH27" i="5"/>
  <c r="AE31" i="6"/>
  <c r="AF30" i="6"/>
  <c r="T10" i="5"/>
  <c r="U10" i="5"/>
  <c r="AH41" i="5"/>
  <c r="AG40" i="5"/>
  <c r="AH45" i="5"/>
  <c r="AG46" i="5"/>
  <c r="AC46" i="5"/>
  <c r="AB47" i="5"/>
  <c r="AB62" i="5"/>
  <c r="AC61" i="5"/>
  <c r="W11" i="6"/>
  <c r="N12" i="6"/>
  <c r="W10" i="6"/>
  <c r="T10" i="6"/>
  <c r="F37" i="6"/>
  <c r="F38" i="6" s="1"/>
  <c r="Q11" i="6" s="1"/>
  <c r="AA8" i="6"/>
  <c r="Z42" i="6"/>
  <c r="AA43" i="6"/>
  <c r="AA26" i="6"/>
  <c r="Z25" i="6"/>
  <c r="Z31" i="6"/>
  <c r="AE40" i="6"/>
  <c r="AF47" i="6"/>
  <c r="AB54" i="1" l="1"/>
  <c r="AC54" i="1" s="1"/>
  <c r="AG32" i="3"/>
  <c r="AA42" i="4"/>
  <c r="Z62" i="2"/>
  <c r="AA61" i="2"/>
  <c r="AC57" i="1"/>
  <c r="AB78" i="3"/>
  <c r="AC78" i="3" s="1"/>
  <c r="AC55" i="5"/>
  <c r="AA41" i="4"/>
  <c r="AF27" i="2"/>
  <c r="F52" i="1"/>
  <c r="Z55" i="6"/>
  <c r="AA55" i="6" s="1"/>
  <c r="Z63" i="6"/>
  <c r="AA63" i="6" s="1"/>
  <c r="AB78" i="5"/>
  <c r="AC78" i="5" s="1"/>
  <c r="Z62" i="4"/>
  <c r="AA62" i="4" s="1"/>
  <c r="Z54" i="4"/>
  <c r="AA54" i="4" s="1"/>
  <c r="AB71" i="3"/>
  <c r="AC71" i="3" s="1"/>
  <c r="Z56" i="2"/>
  <c r="AA56" i="2" s="1"/>
  <c r="AB78" i="1"/>
  <c r="AC78" i="1" s="1"/>
  <c r="AB70" i="1"/>
  <c r="AC70" i="1" s="1"/>
  <c r="V9" i="5"/>
  <c r="V10" i="5"/>
  <c r="V11" i="5"/>
  <c r="AG56" i="5"/>
  <c r="AH57" i="5"/>
  <c r="AG63" i="5"/>
  <c r="AH62" i="5"/>
  <c r="AH55" i="3"/>
  <c r="AG54" i="3"/>
  <c r="AH54" i="3" s="1"/>
  <c r="AG63" i="3"/>
  <c r="AH62" i="3"/>
  <c r="V11" i="3"/>
  <c r="V9" i="3"/>
  <c r="AH55" i="1"/>
  <c r="AG54" i="1"/>
  <c r="AH54" i="1" s="1"/>
  <c r="AG63" i="1"/>
  <c r="AH62" i="1"/>
  <c r="AC42" i="3"/>
  <c r="AG32" i="5"/>
  <c r="AG33" i="5" s="1"/>
  <c r="AH25" i="5"/>
  <c r="AG24" i="5"/>
  <c r="AH24" i="5" s="1"/>
  <c r="B45" i="2"/>
  <c r="B47" i="2" s="1"/>
  <c r="B47" i="4"/>
  <c r="AF47" i="2"/>
  <c r="F51" i="1"/>
  <c r="J32" i="1" s="1"/>
  <c r="V11" i="1" s="1"/>
  <c r="R10" i="6"/>
  <c r="R11" i="6"/>
  <c r="S11" i="3"/>
  <c r="R9" i="2"/>
  <c r="S10" i="1"/>
  <c r="S11" i="5"/>
  <c r="AB40" i="3"/>
  <c r="AC41" i="3"/>
  <c r="AF25" i="4"/>
  <c r="AE24" i="4"/>
  <c r="AF24" i="4" s="1"/>
  <c r="AF48" i="6"/>
  <c r="AE49" i="6"/>
  <c r="AF49" i="6" s="1"/>
  <c r="AE41" i="2"/>
  <c r="AF42" i="2"/>
  <c r="AF26" i="2"/>
  <c r="AE25" i="2"/>
  <c r="S10" i="5"/>
  <c r="AC62" i="3"/>
  <c r="AB63" i="3"/>
  <c r="B45" i="6"/>
  <c r="B47" i="6" s="1"/>
  <c r="AA9" i="6" s="1"/>
  <c r="AG40" i="1"/>
  <c r="AC27" i="3"/>
  <c r="AB26" i="3"/>
  <c r="AC61" i="1"/>
  <c r="AB62" i="1"/>
  <c r="AF32" i="4"/>
  <c r="AE33" i="4"/>
  <c r="AC57" i="3"/>
  <c r="AB56" i="3"/>
  <c r="B34" i="1"/>
  <c r="B50" i="1" s="1"/>
  <c r="B52" i="1" s="1"/>
  <c r="F31" i="1" s="1"/>
  <c r="O8" i="1" s="1"/>
  <c r="AA31" i="4"/>
  <c r="Z32" i="4"/>
  <c r="S10" i="3"/>
  <c r="F31" i="2"/>
  <c r="O8" i="2" s="1"/>
  <c r="AA9" i="2"/>
  <c r="AA42" i="6"/>
  <c r="Z41" i="6"/>
  <c r="AE32" i="6"/>
  <c r="AF31" i="6"/>
  <c r="Z48" i="4"/>
  <c r="AA47" i="4"/>
  <c r="AA39" i="4"/>
  <c r="AA40" i="4"/>
  <c r="S11" i="2"/>
  <c r="W11" i="2"/>
  <c r="R11" i="2"/>
  <c r="N12" i="2"/>
  <c r="T11" i="2"/>
  <c r="Q11" i="2"/>
  <c r="AH32" i="3"/>
  <c r="AG33" i="3"/>
  <c r="AG34" i="1"/>
  <c r="AH34" i="1" s="1"/>
  <c r="AH33" i="1"/>
  <c r="F31" i="4"/>
  <c r="O8" i="4" s="1"/>
  <c r="AA9" i="4"/>
  <c r="AC31" i="5"/>
  <c r="AB32" i="5"/>
  <c r="AC31" i="3"/>
  <c r="AB32" i="3"/>
  <c r="B34" i="3"/>
  <c r="B33" i="3"/>
  <c r="AF48" i="2"/>
  <c r="AE49" i="2"/>
  <c r="AF49" i="2" s="1"/>
  <c r="Z41" i="2"/>
  <c r="AA42" i="2"/>
  <c r="AC40" i="1"/>
  <c r="AC39" i="1"/>
  <c r="Z32" i="6"/>
  <c r="AA31" i="6"/>
  <c r="Q10" i="6"/>
  <c r="Q9" i="6"/>
  <c r="AC47" i="5"/>
  <c r="AB48" i="5"/>
  <c r="AH40" i="5"/>
  <c r="AG39" i="5"/>
  <c r="AH39" i="5" s="1"/>
  <c r="R10" i="4"/>
  <c r="R9" i="4"/>
  <c r="AA46" i="6"/>
  <c r="Z47" i="6"/>
  <c r="N13" i="3"/>
  <c r="W12" i="3"/>
  <c r="S12" i="3"/>
  <c r="V12" i="3"/>
  <c r="R12" i="3"/>
  <c r="T12" i="3"/>
  <c r="Z12" i="3"/>
  <c r="Q12" i="3"/>
  <c r="U12" i="3"/>
  <c r="AH32" i="5"/>
  <c r="AB48" i="3"/>
  <c r="AC47" i="3"/>
  <c r="AG49" i="1"/>
  <c r="AH49" i="1" s="1"/>
  <c r="AH48" i="1"/>
  <c r="AC32" i="1"/>
  <c r="AB33" i="1"/>
  <c r="AH25" i="1"/>
  <c r="AG24" i="1"/>
  <c r="AH24" i="1" s="1"/>
  <c r="AG47" i="5"/>
  <c r="AH46" i="5"/>
  <c r="AF27" i="6"/>
  <c r="AE26" i="6"/>
  <c r="Z26" i="4"/>
  <c r="AA27" i="4"/>
  <c r="AE33" i="2"/>
  <c r="AF32" i="2"/>
  <c r="T11" i="1"/>
  <c r="W11" i="1"/>
  <c r="R11" i="1"/>
  <c r="Z11" i="1"/>
  <c r="N12" i="1"/>
  <c r="Q11" i="1"/>
  <c r="U11" i="1"/>
  <c r="S11" i="1"/>
  <c r="AB26" i="5"/>
  <c r="AC27" i="5"/>
  <c r="AG47" i="3"/>
  <c r="AH46" i="3"/>
  <c r="AF40" i="6"/>
  <c r="AE39" i="6"/>
  <c r="AF39" i="6" s="1"/>
  <c r="T12" i="5"/>
  <c r="W12" i="5"/>
  <c r="R12" i="5"/>
  <c r="N13" i="5"/>
  <c r="V12" i="5"/>
  <c r="Q12" i="5"/>
  <c r="Z12" i="5"/>
  <c r="U12" i="5"/>
  <c r="S12" i="5"/>
  <c r="AG25" i="3"/>
  <c r="AH26" i="3"/>
  <c r="Z24" i="6"/>
  <c r="AA24" i="6" s="1"/>
  <c r="AA25" i="6"/>
  <c r="N13" i="6"/>
  <c r="T12" i="6"/>
  <c r="S12" i="6"/>
  <c r="R12" i="6"/>
  <c r="W12" i="6"/>
  <c r="Q12" i="6"/>
  <c r="AC62" i="5"/>
  <c r="AB63" i="5"/>
  <c r="B33" i="5"/>
  <c r="B34" i="5"/>
  <c r="AC41" i="5"/>
  <c r="AB40" i="5"/>
  <c r="AB39" i="5" s="1"/>
  <c r="Z32" i="2"/>
  <c r="AA31" i="2"/>
  <c r="AH40" i="3"/>
  <c r="AG39" i="3"/>
  <c r="AH39" i="3" s="1"/>
  <c r="Q12" i="4"/>
  <c r="T12" i="4"/>
  <c r="S12" i="4"/>
  <c r="R12" i="4"/>
  <c r="N13" i="4"/>
  <c r="W12" i="4"/>
  <c r="R11" i="4"/>
  <c r="AB47" i="1"/>
  <c r="AC46" i="1"/>
  <c r="Z25" i="2"/>
  <c r="AA26" i="2"/>
  <c r="AH40" i="1"/>
  <c r="AG39" i="1"/>
  <c r="AH39" i="1" s="1"/>
  <c r="AE41" i="4"/>
  <c r="AF42" i="4"/>
  <c r="AB79" i="3" l="1"/>
  <c r="AC79" i="3" s="1"/>
  <c r="AA62" i="2"/>
  <c r="Z63" i="2"/>
  <c r="Z64" i="6"/>
  <c r="AA64" i="6" s="1"/>
  <c r="Z54" i="6"/>
  <c r="AA54" i="6" s="1"/>
  <c r="AB79" i="5"/>
  <c r="AC79" i="5" s="1"/>
  <c r="Z63" i="4"/>
  <c r="AA63" i="4" s="1"/>
  <c r="AB70" i="3"/>
  <c r="AC70" i="3" s="1"/>
  <c r="Z55" i="2"/>
  <c r="AA55" i="2" s="1"/>
  <c r="AB79" i="1"/>
  <c r="AC79" i="1" s="1"/>
  <c r="AB69" i="1"/>
  <c r="AC69" i="1" s="1"/>
  <c r="AG64" i="5"/>
  <c r="AH64" i="5" s="1"/>
  <c r="AH63" i="5"/>
  <c r="AH56" i="5"/>
  <c r="AG55" i="5"/>
  <c r="AG64" i="3"/>
  <c r="AH64" i="3" s="1"/>
  <c r="AH63" i="3"/>
  <c r="AG64" i="1"/>
  <c r="AH64" i="1" s="1"/>
  <c r="AH63" i="1"/>
  <c r="V9" i="1"/>
  <c r="V10" i="1"/>
  <c r="F31" i="6"/>
  <c r="O8" i="6" s="1"/>
  <c r="U8" i="6" s="1"/>
  <c r="AB55" i="3"/>
  <c r="AB54" i="3" s="1"/>
  <c r="AC56" i="3"/>
  <c r="AE40" i="2"/>
  <c r="AF41" i="2"/>
  <c r="AC63" i="3"/>
  <c r="AB64" i="3"/>
  <c r="AC64" i="3" s="1"/>
  <c r="AB63" i="1"/>
  <c r="AC62" i="1"/>
  <c r="AF33" i="4"/>
  <c r="AE34" i="4"/>
  <c r="AF34" i="4" s="1"/>
  <c r="AC10" i="1"/>
  <c r="Z33" i="4"/>
  <c r="AA32" i="4"/>
  <c r="AE24" i="2"/>
  <c r="AF24" i="2" s="1"/>
  <c r="AF25" i="2"/>
  <c r="AC26" i="3"/>
  <c r="AB25" i="3"/>
  <c r="AC40" i="3"/>
  <c r="AB39" i="3"/>
  <c r="AC39" i="3" s="1"/>
  <c r="Q13" i="4"/>
  <c r="T13" i="4"/>
  <c r="S13" i="4"/>
  <c r="R13" i="4"/>
  <c r="N14" i="4"/>
  <c r="W13" i="4"/>
  <c r="AF26" i="6"/>
  <c r="AE25" i="6"/>
  <c r="AG34" i="5"/>
  <c r="AH34" i="5" s="1"/>
  <c r="AH33" i="5"/>
  <c r="O49" i="4"/>
  <c r="U8" i="4"/>
  <c r="W12" i="2"/>
  <c r="R12" i="2"/>
  <c r="Q12" i="2"/>
  <c r="N13" i="2"/>
  <c r="T12" i="2"/>
  <c r="S12" i="2"/>
  <c r="O49" i="2"/>
  <c r="U8" i="2"/>
  <c r="AH47" i="3"/>
  <c r="AG48" i="3"/>
  <c r="Z49" i="4"/>
  <c r="AA49" i="4" s="1"/>
  <c r="AA48" i="4"/>
  <c r="AC47" i="1"/>
  <c r="AB48" i="1"/>
  <c r="B50" i="5"/>
  <c r="B52" i="5" s="1"/>
  <c r="W13" i="3"/>
  <c r="S13" i="3"/>
  <c r="N14" i="3"/>
  <c r="V13" i="3"/>
  <c r="R13" i="3"/>
  <c r="U13" i="3"/>
  <c r="T13" i="3"/>
  <c r="Q13" i="3"/>
  <c r="Z13" i="3"/>
  <c r="AB49" i="5"/>
  <c r="AC49" i="5" s="1"/>
  <c r="AC48" i="5"/>
  <c r="B50" i="3"/>
  <c r="B52" i="3" s="1"/>
  <c r="AC32" i="5"/>
  <c r="AB33" i="5"/>
  <c r="F32" i="4"/>
  <c r="AE33" i="6"/>
  <c r="AF32" i="6"/>
  <c r="F32" i="1"/>
  <c r="F32" i="2"/>
  <c r="T13" i="5"/>
  <c r="V13" i="5"/>
  <c r="Q13" i="5"/>
  <c r="N14" i="5"/>
  <c r="U13" i="5"/>
  <c r="Z13" i="5"/>
  <c r="W13" i="5"/>
  <c r="R13" i="5"/>
  <c r="S13" i="5"/>
  <c r="Z25" i="4"/>
  <c r="AA26" i="4"/>
  <c r="AC32" i="3"/>
  <c r="AB33" i="3"/>
  <c r="AG34" i="3"/>
  <c r="AH34" i="3" s="1"/>
  <c r="AH33" i="3"/>
  <c r="Z33" i="2"/>
  <c r="AA32" i="2"/>
  <c r="AC40" i="5"/>
  <c r="AC39" i="5"/>
  <c r="AC63" i="5"/>
  <c r="AB64" i="5"/>
  <c r="AC64" i="5" s="1"/>
  <c r="N14" i="6"/>
  <c r="S13" i="6"/>
  <c r="T13" i="6"/>
  <c r="W13" i="6"/>
  <c r="R13" i="6"/>
  <c r="Q13" i="6"/>
  <c r="AH25" i="3"/>
  <c r="AG24" i="3"/>
  <c r="AH24" i="3" s="1"/>
  <c r="AB25" i="5"/>
  <c r="AC26" i="5"/>
  <c r="AE34" i="2"/>
  <c r="AF34" i="2" s="1"/>
  <c r="AF33" i="2"/>
  <c r="AB34" i="1"/>
  <c r="AC34" i="1" s="1"/>
  <c r="AC33" i="1"/>
  <c r="AB49" i="3"/>
  <c r="AC49" i="3" s="1"/>
  <c r="AC48" i="3"/>
  <c r="AE40" i="4"/>
  <c r="AF41" i="4"/>
  <c r="Z24" i="2"/>
  <c r="AA24" i="2" s="1"/>
  <c r="AA25" i="2"/>
  <c r="T12" i="1"/>
  <c r="N13" i="1"/>
  <c r="V12" i="1"/>
  <c r="Q12" i="1"/>
  <c r="Z12" i="1"/>
  <c r="W12" i="1"/>
  <c r="U12" i="1"/>
  <c r="S12" i="1"/>
  <c r="R12" i="1"/>
  <c r="AG48" i="5"/>
  <c r="AH47" i="5"/>
  <c r="AA47" i="6"/>
  <c r="Z48" i="6"/>
  <c r="Z33" i="6"/>
  <c r="AA32" i="6"/>
  <c r="AA41" i="2"/>
  <c r="Z40" i="2"/>
  <c r="Z39" i="2" s="1"/>
  <c r="AA41" i="6"/>
  <c r="Z40" i="6"/>
  <c r="Z39" i="6" s="1"/>
  <c r="O49" i="1"/>
  <c r="X8" i="1"/>
  <c r="AA63" i="2" l="1"/>
  <c r="Z64" i="2"/>
  <c r="AA64" i="2" s="1"/>
  <c r="Z64" i="4"/>
  <c r="AA64" i="4" s="1"/>
  <c r="AB69" i="3"/>
  <c r="AC69" i="3" s="1"/>
  <c r="Z54" i="2"/>
  <c r="AA54" i="2" s="1"/>
  <c r="AG54" i="5"/>
  <c r="AH54" i="5" s="1"/>
  <c r="AH55" i="5"/>
  <c r="O49" i="6"/>
  <c r="F32" i="6"/>
  <c r="F33" i="6" s="1"/>
  <c r="P12" i="6" s="1"/>
  <c r="U12" i="6" s="1"/>
  <c r="Z34" i="4"/>
  <c r="AA34" i="4" s="1"/>
  <c r="AA33" i="4"/>
  <c r="AF40" i="2"/>
  <c r="AE39" i="2"/>
  <c r="AF39" i="2" s="1"/>
  <c r="AB24" i="3"/>
  <c r="AC24" i="3" s="1"/>
  <c r="AC25" i="3"/>
  <c r="AC54" i="3"/>
  <c r="AC55" i="3"/>
  <c r="AB64" i="1"/>
  <c r="AC64" i="1" s="1"/>
  <c r="AC63" i="1"/>
  <c r="AA40" i="6"/>
  <c r="AA39" i="6"/>
  <c r="N15" i="6"/>
  <c r="S14" i="6"/>
  <c r="R14" i="6"/>
  <c r="W14" i="6"/>
  <c r="Q14" i="6"/>
  <c r="P14" i="6"/>
  <c r="T14" i="6"/>
  <c r="Z14" i="5"/>
  <c r="U14" i="5"/>
  <c r="Q14" i="5"/>
  <c r="V14" i="5"/>
  <c r="P14" i="5"/>
  <c r="T14" i="5"/>
  <c r="N15" i="5"/>
  <c r="W14" i="5"/>
  <c r="S14" i="5"/>
  <c r="R14" i="5"/>
  <c r="AB34" i="5"/>
  <c r="AC34" i="5" s="1"/>
  <c r="AC33" i="5"/>
  <c r="Q14" i="4"/>
  <c r="T14" i="4"/>
  <c r="P14" i="4"/>
  <c r="S14" i="4"/>
  <c r="R14" i="4"/>
  <c r="N15" i="4"/>
  <c r="W14" i="4"/>
  <c r="AE34" i="6"/>
  <c r="AF34" i="6" s="1"/>
  <c r="AF33" i="6"/>
  <c r="F31" i="5"/>
  <c r="O8" i="5" s="1"/>
  <c r="AC10" i="5"/>
  <c r="AF25" i="6"/>
  <c r="AE24" i="6"/>
  <c r="AF24" i="6" s="1"/>
  <c r="Z34" i="6"/>
  <c r="AA34" i="6" s="1"/>
  <c r="AA33" i="6"/>
  <c r="AG49" i="5"/>
  <c r="AH49" i="5" s="1"/>
  <c r="AH48" i="5"/>
  <c r="T13" i="1"/>
  <c r="N14" i="1"/>
  <c r="U13" i="1"/>
  <c r="W13" i="1"/>
  <c r="V13" i="1"/>
  <c r="Z13" i="1"/>
  <c r="S13" i="1"/>
  <c r="R13" i="1"/>
  <c r="Q13" i="1"/>
  <c r="AE39" i="4"/>
  <c r="AF39" i="4" s="1"/>
  <c r="AF40" i="4"/>
  <c r="Z34" i="2"/>
  <c r="AA34" i="2" s="1"/>
  <c r="AA33" i="2"/>
  <c r="Z24" i="4"/>
  <c r="AA24" i="4" s="1"/>
  <c r="AA25" i="4"/>
  <c r="F33" i="2"/>
  <c r="P12" i="2" s="1"/>
  <c r="U12" i="2" s="1"/>
  <c r="AC10" i="3"/>
  <c r="F31" i="3"/>
  <c r="O8" i="3" s="1"/>
  <c r="AB49" i="1"/>
  <c r="AC49" i="1" s="1"/>
  <c r="AC48" i="1"/>
  <c r="T14" i="3"/>
  <c r="P14" i="3"/>
  <c r="W14" i="3"/>
  <c r="S14" i="3"/>
  <c r="N15" i="3"/>
  <c r="R14" i="3"/>
  <c r="Z14" i="3"/>
  <c r="Q14" i="3"/>
  <c r="V14" i="3"/>
  <c r="U14" i="3"/>
  <c r="AA40" i="2"/>
  <c r="AA39" i="2"/>
  <c r="Z49" i="6"/>
  <c r="AA49" i="6" s="1"/>
  <c r="AA48" i="6"/>
  <c r="AC25" i="5"/>
  <c r="AB24" i="5"/>
  <c r="AC24" i="5" s="1"/>
  <c r="AC33" i="3"/>
  <c r="AB34" i="3"/>
  <c r="AC34" i="3" s="1"/>
  <c r="F33" i="1"/>
  <c r="P12" i="1" s="1"/>
  <c r="X12" i="1" s="1"/>
  <c r="F33" i="4"/>
  <c r="P9" i="4" s="1"/>
  <c r="AG49" i="3"/>
  <c r="AH49" i="3" s="1"/>
  <c r="AH48" i="3"/>
  <c r="W13" i="2"/>
  <c r="R13" i="2"/>
  <c r="Q13" i="2"/>
  <c r="N14" i="2"/>
  <c r="T13" i="2"/>
  <c r="S13" i="2"/>
  <c r="P10" i="6" l="1"/>
  <c r="U10" i="6" s="1"/>
  <c r="P9" i="6"/>
  <c r="U9" i="6" s="1"/>
  <c r="P11" i="6"/>
  <c r="U11" i="6" s="1"/>
  <c r="P13" i="6"/>
  <c r="U13" i="6" s="1"/>
  <c r="P11" i="2"/>
  <c r="U11" i="2" s="1"/>
  <c r="F32" i="5"/>
  <c r="F33" i="5" s="1"/>
  <c r="P10" i="2"/>
  <c r="U10" i="2" s="1"/>
  <c r="P9" i="2"/>
  <c r="U9" i="2" s="1"/>
  <c r="P13" i="2"/>
  <c r="U13" i="2" s="1"/>
  <c r="P10" i="1"/>
  <c r="X10" i="1" s="1"/>
  <c r="P11" i="1"/>
  <c r="X11" i="1" s="1"/>
  <c r="P13" i="4"/>
  <c r="U13" i="4" s="1"/>
  <c r="P11" i="4"/>
  <c r="U11" i="4" s="1"/>
  <c r="U9" i="4"/>
  <c r="X14" i="3"/>
  <c r="X8" i="3"/>
  <c r="O49" i="3"/>
  <c r="V15" i="5"/>
  <c r="R15" i="5"/>
  <c r="Z15" i="5"/>
  <c r="U15" i="5"/>
  <c r="Q15" i="5"/>
  <c r="S15" i="5"/>
  <c r="P15" i="5"/>
  <c r="N16" i="5"/>
  <c r="T15" i="5"/>
  <c r="W15" i="5"/>
  <c r="U14" i="6"/>
  <c r="W14" i="2"/>
  <c r="R14" i="2"/>
  <c r="Q14" i="2"/>
  <c r="N15" i="2"/>
  <c r="T14" i="2"/>
  <c r="S14" i="2"/>
  <c r="P14" i="2"/>
  <c r="P10" i="4"/>
  <c r="U10" i="4" s="1"/>
  <c r="Z15" i="3"/>
  <c r="U15" i="3"/>
  <c r="Q15" i="3"/>
  <c r="T15" i="3"/>
  <c r="P15" i="3"/>
  <c r="W15" i="3"/>
  <c r="V15" i="3"/>
  <c r="N16" i="3"/>
  <c r="R15" i="3"/>
  <c r="S15" i="3"/>
  <c r="F32" i="3"/>
  <c r="Z14" i="1"/>
  <c r="U14" i="1"/>
  <c r="Q14" i="1"/>
  <c r="N15" i="1"/>
  <c r="T14" i="1"/>
  <c r="W14" i="1"/>
  <c r="V14" i="1"/>
  <c r="S14" i="1"/>
  <c r="R14" i="1"/>
  <c r="P14" i="1"/>
  <c r="U14" i="4"/>
  <c r="N16" i="6"/>
  <c r="S15" i="6"/>
  <c r="P15" i="6"/>
  <c r="T15" i="6"/>
  <c r="R15" i="6"/>
  <c r="Q15" i="6"/>
  <c r="W15" i="6"/>
  <c r="P12" i="4"/>
  <c r="U12" i="4" s="1"/>
  <c r="P9" i="1"/>
  <c r="P13" i="1"/>
  <c r="X13" i="1" s="1"/>
  <c r="O49" i="5"/>
  <c r="X8" i="5"/>
  <c r="Q15" i="4"/>
  <c r="T15" i="4"/>
  <c r="P15" i="4"/>
  <c r="S15" i="4"/>
  <c r="R15" i="4"/>
  <c r="N16" i="4"/>
  <c r="W15" i="4"/>
  <c r="X14" i="5"/>
  <c r="P11" i="5" l="1"/>
  <c r="X11" i="5" s="1"/>
  <c r="P12" i="5"/>
  <c r="X12" i="5" s="1"/>
  <c r="P13" i="5"/>
  <c r="X13" i="5" s="1"/>
  <c r="P9" i="5"/>
  <c r="X9" i="5" s="1"/>
  <c r="X14" i="1"/>
  <c r="P10" i="5"/>
  <c r="X10" i="5" s="1"/>
  <c r="U14" i="2"/>
  <c r="U15" i="4"/>
  <c r="U15" i="6"/>
  <c r="F33" i="3"/>
  <c r="P10" i="3" s="1"/>
  <c r="X10" i="3" s="1"/>
  <c r="Q16" i="4"/>
  <c r="T16" i="4"/>
  <c r="P16" i="4"/>
  <c r="S16" i="4"/>
  <c r="R16" i="4"/>
  <c r="N17" i="4"/>
  <c r="W16" i="4"/>
  <c r="V15" i="1"/>
  <c r="R15" i="1"/>
  <c r="Z15" i="1"/>
  <c r="T15" i="1"/>
  <c r="N16" i="1"/>
  <c r="P15" i="1"/>
  <c r="S15" i="1"/>
  <c r="W15" i="1"/>
  <c r="Q15" i="1"/>
  <c r="U15" i="1"/>
  <c r="X15" i="3"/>
  <c r="N17" i="5"/>
  <c r="V16" i="5"/>
  <c r="R16" i="5"/>
  <c r="Z16" i="5"/>
  <c r="U16" i="5"/>
  <c r="Q16" i="5"/>
  <c r="T16" i="5"/>
  <c r="S16" i="5"/>
  <c r="W16" i="5"/>
  <c r="P16" i="5"/>
  <c r="X9" i="1"/>
  <c r="N17" i="6"/>
  <c r="S16" i="6"/>
  <c r="R16" i="6"/>
  <c r="W16" i="6"/>
  <c r="Q16" i="6"/>
  <c r="T16" i="6"/>
  <c r="P16" i="6"/>
  <c r="Z16" i="3"/>
  <c r="U16" i="3"/>
  <c r="Q16" i="3"/>
  <c r="T16" i="3"/>
  <c r="P16" i="3"/>
  <c r="S16" i="3"/>
  <c r="N17" i="3"/>
  <c r="R16" i="3"/>
  <c r="W16" i="3"/>
  <c r="V16" i="3"/>
  <c r="W15" i="2"/>
  <c r="R15" i="2"/>
  <c r="Q15" i="2"/>
  <c r="N16" i="2"/>
  <c r="T15" i="2"/>
  <c r="S15" i="2"/>
  <c r="P15" i="2"/>
  <c r="X15" i="5"/>
  <c r="P12" i="3" l="1"/>
  <c r="X12" i="3" s="1"/>
  <c r="U16" i="4"/>
  <c r="W16" i="2"/>
  <c r="R16" i="2"/>
  <c r="Q16" i="2"/>
  <c r="N17" i="2"/>
  <c r="T16" i="2"/>
  <c r="S16" i="2"/>
  <c r="P16" i="2"/>
  <c r="X15" i="1"/>
  <c r="X16" i="3"/>
  <c r="N18" i="6"/>
  <c r="S17" i="6"/>
  <c r="P17" i="6"/>
  <c r="T17" i="6"/>
  <c r="W17" i="6"/>
  <c r="Q17" i="6"/>
  <c r="R17" i="6"/>
  <c r="W17" i="5"/>
  <c r="S17" i="5"/>
  <c r="N18" i="5"/>
  <c r="V17" i="5"/>
  <c r="R17" i="5"/>
  <c r="Z17" i="5"/>
  <c r="Q17" i="5"/>
  <c r="P17" i="5"/>
  <c r="T17" i="5"/>
  <c r="U17" i="5"/>
  <c r="N17" i="1"/>
  <c r="V16" i="1"/>
  <c r="R16" i="1"/>
  <c r="W16" i="1"/>
  <c r="Q16" i="1"/>
  <c r="Z16" i="1"/>
  <c r="S16" i="1"/>
  <c r="U16" i="1"/>
  <c r="P16" i="1"/>
  <c r="T16" i="1"/>
  <c r="T17" i="4"/>
  <c r="P17" i="4"/>
  <c r="N18" i="4"/>
  <c r="S17" i="4"/>
  <c r="R17" i="4"/>
  <c r="Q17" i="4"/>
  <c r="W17" i="4"/>
  <c r="P11" i="3"/>
  <c r="X11" i="3" s="1"/>
  <c r="X16" i="5"/>
  <c r="U15" i="2"/>
  <c r="P9" i="3"/>
  <c r="N18" i="3"/>
  <c r="V17" i="3"/>
  <c r="R17" i="3"/>
  <c r="Z17" i="3"/>
  <c r="U17" i="3"/>
  <c r="Q17" i="3"/>
  <c r="P17" i="3"/>
  <c r="W17" i="3"/>
  <c r="T17" i="3"/>
  <c r="S17" i="3"/>
  <c r="U16" i="6"/>
  <c r="P13" i="3"/>
  <c r="X13" i="3" s="1"/>
  <c r="U16" i="2" l="1"/>
  <c r="T18" i="5"/>
  <c r="P18" i="5"/>
  <c r="W18" i="5"/>
  <c r="S18" i="5"/>
  <c r="V18" i="5"/>
  <c r="U18" i="5"/>
  <c r="Z18" i="5"/>
  <c r="R18" i="5"/>
  <c r="N19" i="5"/>
  <c r="Q18" i="5"/>
  <c r="W17" i="2"/>
  <c r="R17" i="2"/>
  <c r="Q17" i="2"/>
  <c r="N18" i="2"/>
  <c r="T17" i="2"/>
  <c r="S17" i="2"/>
  <c r="P17" i="2"/>
  <c r="W18" i="3"/>
  <c r="S18" i="3"/>
  <c r="N19" i="3"/>
  <c r="V18" i="3"/>
  <c r="R18" i="3"/>
  <c r="U18" i="3"/>
  <c r="T18" i="3"/>
  <c r="Z18" i="3"/>
  <c r="P18" i="3"/>
  <c r="Q18" i="3"/>
  <c r="U17" i="4"/>
  <c r="T18" i="4"/>
  <c r="P18" i="4"/>
  <c r="N19" i="4"/>
  <c r="S18" i="4"/>
  <c r="R18" i="4"/>
  <c r="Q18" i="4"/>
  <c r="W18" i="4"/>
  <c r="W17" i="1"/>
  <c r="S17" i="1"/>
  <c r="V17" i="1"/>
  <c r="Q17" i="1"/>
  <c r="T17" i="1"/>
  <c r="N18" i="1"/>
  <c r="U17" i="1"/>
  <c r="P17" i="1"/>
  <c r="Z17" i="1"/>
  <c r="R17" i="1"/>
  <c r="X9" i="3"/>
  <c r="W18" i="6"/>
  <c r="S18" i="6"/>
  <c r="R18" i="6"/>
  <c r="N19" i="6"/>
  <c r="Q18" i="6"/>
  <c r="P18" i="6"/>
  <c r="T18" i="6"/>
  <c r="X16" i="1"/>
  <c r="U17" i="6"/>
  <c r="X17" i="3"/>
  <c r="X17" i="5"/>
  <c r="U18" i="6" l="1"/>
  <c r="X18" i="3"/>
  <c r="U17" i="2"/>
  <c r="Z19" i="5"/>
  <c r="U19" i="5"/>
  <c r="Q19" i="5"/>
  <c r="T19" i="5"/>
  <c r="P19" i="5"/>
  <c r="S19" i="5"/>
  <c r="N20" i="5"/>
  <c r="R19" i="5"/>
  <c r="W19" i="5"/>
  <c r="V19" i="5"/>
  <c r="W18" i="2"/>
  <c r="R18" i="2"/>
  <c r="Q18" i="2"/>
  <c r="N19" i="2"/>
  <c r="T18" i="2"/>
  <c r="S18" i="2"/>
  <c r="P18" i="2"/>
  <c r="X18" i="5"/>
  <c r="W19" i="6"/>
  <c r="R19" i="6"/>
  <c r="P19" i="6"/>
  <c r="N20" i="6"/>
  <c r="Q19" i="6"/>
  <c r="T19" i="6"/>
  <c r="S19" i="6"/>
  <c r="X17" i="1"/>
  <c r="N20" i="4"/>
  <c r="T19" i="4"/>
  <c r="P19" i="4"/>
  <c r="S19" i="4"/>
  <c r="R19" i="4"/>
  <c r="Q19" i="4"/>
  <c r="W19" i="4"/>
  <c r="T19" i="3"/>
  <c r="P19" i="3"/>
  <c r="W19" i="3"/>
  <c r="S19" i="3"/>
  <c r="N20" i="3"/>
  <c r="R19" i="3"/>
  <c r="Z19" i="3"/>
  <c r="Q19" i="3"/>
  <c r="U19" i="3"/>
  <c r="V19" i="3"/>
  <c r="T18" i="1"/>
  <c r="P18" i="1"/>
  <c r="V18" i="1"/>
  <c r="Q18" i="1"/>
  <c r="S18" i="1"/>
  <c r="W18" i="1"/>
  <c r="N19" i="1"/>
  <c r="U18" i="1"/>
  <c r="Z18" i="1"/>
  <c r="R18" i="1"/>
  <c r="U18" i="4"/>
  <c r="U19" i="6" l="1"/>
  <c r="X19" i="3"/>
  <c r="N21" i="4"/>
  <c r="S20" i="4"/>
  <c r="W20" i="4"/>
  <c r="R20" i="4"/>
  <c r="P20" i="4"/>
  <c r="T20" i="4"/>
  <c r="Q20" i="4"/>
  <c r="U18" i="2"/>
  <c r="X19" i="5"/>
  <c r="W19" i="2"/>
  <c r="R19" i="2"/>
  <c r="Q19" i="2"/>
  <c r="T19" i="2"/>
  <c r="N20" i="2"/>
  <c r="S19" i="2"/>
  <c r="P19" i="2"/>
  <c r="Z19" i="1"/>
  <c r="U19" i="1"/>
  <c r="Q19" i="1"/>
  <c r="V19" i="1"/>
  <c r="P19" i="1"/>
  <c r="S19" i="1"/>
  <c r="W19" i="1"/>
  <c r="N20" i="1"/>
  <c r="T19" i="1"/>
  <c r="R19" i="1"/>
  <c r="Z20" i="3"/>
  <c r="U20" i="3"/>
  <c r="Q20" i="3"/>
  <c r="T20" i="3"/>
  <c r="P20" i="3"/>
  <c r="W20" i="3"/>
  <c r="V20" i="3"/>
  <c r="S20" i="3"/>
  <c r="R20" i="3"/>
  <c r="N21" i="3"/>
  <c r="X18" i="1"/>
  <c r="U19" i="4"/>
  <c r="Q20" i="6"/>
  <c r="N21" i="6"/>
  <c r="R20" i="6"/>
  <c r="W20" i="6"/>
  <c r="T20" i="6"/>
  <c r="S20" i="6"/>
  <c r="P20" i="6"/>
  <c r="N21" i="5"/>
  <c r="V20" i="5"/>
  <c r="R20" i="5"/>
  <c r="Z20" i="5"/>
  <c r="U20" i="5"/>
  <c r="Q20" i="5"/>
  <c r="P20" i="5"/>
  <c r="W20" i="5"/>
  <c r="S20" i="5"/>
  <c r="T20" i="5"/>
  <c r="Q20" i="2" l="1"/>
  <c r="T20" i="2"/>
  <c r="P20" i="2"/>
  <c r="W20" i="2"/>
  <c r="S20" i="2"/>
  <c r="N21" i="2"/>
  <c r="R20" i="2"/>
  <c r="W21" i="5"/>
  <c r="S21" i="5"/>
  <c r="N22" i="5"/>
  <c r="V21" i="5"/>
  <c r="R21" i="5"/>
  <c r="U21" i="5"/>
  <c r="T21" i="5"/>
  <c r="Q21" i="5"/>
  <c r="Z21" i="5"/>
  <c r="P21" i="5"/>
  <c r="X19" i="1"/>
  <c r="U20" i="4"/>
  <c r="N22" i="4"/>
  <c r="S21" i="4"/>
  <c r="W21" i="4"/>
  <c r="R21" i="4"/>
  <c r="P21" i="4"/>
  <c r="Q21" i="4"/>
  <c r="T21" i="4"/>
  <c r="U20" i="6"/>
  <c r="N22" i="3"/>
  <c r="V21" i="3"/>
  <c r="R21" i="3"/>
  <c r="Z21" i="3"/>
  <c r="U21" i="3"/>
  <c r="Q21" i="3"/>
  <c r="T21" i="3"/>
  <c r="S21" i="3"/>
  <c r="W21" i="3"/>
  <c r="P21" i="3"/>
  <c r="N21" i="1"/>
  <c r="V20" i="1"/>
  <c r="R20" i="1"/>
  <c r="U20" i="1"/>
  <c r="P20" i="1"/>
  <c r="S20" i="1"/>
  <c r="Q20" i="1"/>
  <c r="Z20" i="1"/>
  <c r="T20" i="1"/>
  <c r="W20" i="1"/>
  <c r="U19" i="2"/>
  <c r="X20" i="5"/>
  <c r="Q21" i="6"/>
  <c r="T21" i="6"/>
  <c r="W21" i="6"/>
  <c r="S21" i="6"/>
  <c r="P21" i="6"/>
  <c r="N22" i="6"/>
  <c r="R21" i="6"/>
  <c r="X20" i="3"/>
  <c r="U21" i="4" l="1"/>
  <c r="U21" i="6"/>
  <c r="U20" i="2"/>
  <c r="W22" i="3"/>
  <c r="S22" i="3"/>
  <c r="N23" i="3"/>
  <c r="V22" i="3"/>
  <c r="R22" i="3"/>
  <c r="Z22" i="3"/>
  <c r="Q22" i="3"/>
  <c r="P22" i="3"/>
  <c r="T22" i="3"/>
  <c r="U22" i="3"/>
  <c r="N23" i="4"/>
  <c r="S22" i="4"/>
  <c r="W22" i="4"/>
  <c r="R22" i="4"/>
  <c r="P22" i="4"/>
  <c r="T22" i="4"/>
  <c r="Q22" i="4"/>
  <c r="X20" i="1"/>
  <c r="W21" i="1"/>
  <c r="S21" i="1"/>
  <c r="N22" i="1"/>
  <c r="U21" i="1"/>
  <c r="P21" i="1"/>
  <c r="Q21" i="1"/>
  <c r="Z21" i="1"/>
  <c r="T21" i="1"/>
  <c r="R21" i="1"/>
  <c r="V21" i="1"/>
  <c r="T22" i="5"/>
  <c r="P22" i="5"/>
  <c r="W22" i="5"/>
  <c r="S22" i="5"/>
  <c r="N23" i="5"/>
  <c r="R22" i="5"/>
  <c r="Z22" i="5"/>
  <c r="Q22" i="5"/>
  <c r="V22" i="5"/>
  <c r="U22" i="5"/>
  <c r="Q21" i="2"/>
  <c r="T21" i="2"/>
  <c r="P21" i="2"/>
  <c r="W21" i="2"/>
  <c r="S21" i="2"/>
  <c r="N22" i="2"/>
  <c r="R21" i="2"/>
  <c r="Q22" i="6"/>
  <c r="N23" i="6"/>
  <c r="R22" i="6"/>
  <c r="T22" i="6"/>
  <c r="S22" i="6"/>
  <c r="W22" i="6"/>
  <c r="P22" i="6"/>
  <c r="X21" i="3"/>
  <c r="X21" i="5"/>
  <c r="U22" i="4" l="1"/>
  <c r="U21" i="2"/>
  <c r="X22" i="5"/>
  <c r="N24" i="3"/>
  <c r="T23" i="3"/>
  <c r="P23" i="3"/>
  <c r="W23" i="3"/>
  <c r="S23" i="3"/>
  <c r="V23" i="3"/>
  <c r="U23" i="3"/>
  <c r="R23" i="3"/>
  <c r="Z23" i="3"/>
  <c r="Q23" i="3"/>
  <c r="Z23" i="5"/>
  <c r="U23" i="5"/>
  <c r="Q23" i="5"/>
  <c r="N24" i="5"/>
  <c r="T23" i="5"/>
  <c r="P23" i="5"/>
  <c r="W23" i="5"/>
  <c r="V23" i="5"/>
  <c r="R23" i="5"/>
  <c r="S23" i="5"/>
  <c r="T22" i="1"/>
  <c r="P22" i="1"/>
  <c r="N23" i="1"/>
  <c r="U22" i="1"/>
  <c r="W22" i="1"/>
  <c r="Q22" i="1"/>
  <c r="Z22" i="1"/>
  <c r="S22" i="1"/>
  <c r="R22" i="1"/>
  <c r="V22" i="1"/>
  <c r="S23" i="4"/>
  <c r="W23" i="4"/>
  <c r="R23" i="4"/>
  <c r="P23" i="4"/>
  <c r="Q23" i="4"/>
  <c r="N24" i="4"/>
  <c r="T23" i="4"/>
  <c r="U22" i="6"/>
  <c r="Q22" i="2"/>
  <c r="T22" i="2"/>
  <c r="P22" i="2"/>
  <c r="W22" i="2"/>
  <c r="S22" i="2"/>
  <c r="N23" i="2"/>
  <c r="R22" i="2"/>
  <c r="N24" i="6"/>
  <c r="Q23" i="6"/>
  <c r="T23" i="6"/>
  <c r="S23" i="6"/>
  <c r="R23" i="6"/>
  <c r="P23" i="6"/>
  <c r="W23" i="6"/>
  <c r="X21" i="1"/>
  <c r="X22" i="3"/>
  <c r="U23" i="6" l="1"/>
  <c r="X22" i="1"/>
  <c r="U22" i="2"/>
  <c r="W24" i="3"/>
  <c r="S24" i="3"/>
  <c r="V24" i="3"/>
  <c r="R24" i="3"/>
  <c r="N25" i="3"/>
  <c r="Z24" i="3"/>
  <c r="Q24" i="3"/>
  <c r="P24" i="3"/>
  <c r="U24" i="3"/>
  <c r="T24" i="3"/>
  <c r="S24" i="6"/>
  <c r="P24" i="6"/>
  <c r="Q24" i="6"/>
  <c r="N25" i="6"/>
  <c r="W24" i="6"/>
  <c r="R24" i="6"/>
  <c r="T24" i="6"/>
  <c r="U23" i="4"/>
  <c r="N25" i="5"/>
  <c r="T24" i="5"/>
  <c r="P24" i="5"/>
  <c r="W24" i="5"/>
  <c r="S24" i="5"/>
  <c r="R24" i="5"/>
  <c r="Z24" i="5"/>
  <c r="Q24" i="5"/>
  <c r="U24" i="5"/>
  <c r="V24" i="5"/>
  <c r="N24" i="2"/>
  <c r="Q23" i="2"/>
  <c r="T23" i="2"/>
  <c r="P23" i="2"/>
  <c r="W23" i="2"/>
  <c r="S23" i="2"/>
  <c r="R23" i="2"/>
  <c r="N25" i="4"/>
  <c r="Q24" i="4"/>
  <c r="T24" i="4"/>
  <c r="P24" i="4"/>
  <c r="W24" i="4"/>
  <c r="S24" i="4"/>
  <c r="R24" i="4"/>
  <c r="X23" i="5"/>
  <c r="Z23" i="1"/>
  <c r="U23" i="1"/>
  <c r="Q23" i="1"/>
  <c r="T23" i="1"/>
  <c r="W23" i="1"/>
  <c r="P23" i="1"/>
  <c r="S23" i="1"/>
  <c r="N24" i="1"/>
  <c r="R23" i="1"/>
  <c r="V23" i="1"/>
  <c r="X23" i="3"/>
  <c r="U24" i="4" l="1"/>
  <c r="X23" i="1"/>
  <c r="S24" i="2"/>
  <c r="W24" i="2"/>
  <c r="R24" i="2"/>
  <c r="T24" i="2"/>
  <c r="Q24" i="2"/>
  <c r="N25" i="2"/>
  <c r="P24" i="2"/>
  <c r="X24" i="5"/>
  <c r="V25" i="3"/>
  <c r="R25" i="3"/>
  <c r="Z25" i="3"/>
  <c r="U25" i="3"/>
  <c r="Q25" i="3"/>
  <c r="W25" i="3"/>
  <c r="T25" i="3"/>
  <c r="P25" i="3"/>
  <c r="S25" i="3"/>
  <c r="N26" i="3"/>
  <c r="S25" i="4"/>
  <c r="W25" i="4"/>
  <c r="R25" i="4"/>
  <c r="T25" i="4"/>
  <c r="Q25" i="4"/>
  <c r="P25" i="4"/>
  <c r="N26" i="4"/>
  <c r="U23" i="2"/>
  <c r="U24" i="6"/>
  <c r="X24" i="3"/>
  <c r="N25" i="1"/>
  <c r="T24" i="1"/>
  <c r="P24" i="1"/>
  <c r="W24" i="1"/>
  <c r="R24" i="1"/>
  <c r="U24" i="1"/>
  <c r="Z24" i="1"/>
  <c r="V24" i="1"/>
  <c r="Q24" i="1"/>
  <c r="S24" i="1"/>
  <c r="W25" i="5"/>
  <c r="S25" i="5"/>
  <c r="V25" i="5"/>
  <c r="R25" i="5"/>
  <c r="U25" i="5"/>
  <c r="T25" i="5"/>
  <c r="N26" i="5"/>
  <c r="Z25" i="5"/>
  <c r="Q25" i="5"/>
  <c r="P25" i="5"/>
  <c r="N26" i="6"/>
  <c r="Q25" i="6"/>
  <c r="R25" i="6"/>
  <c r="P25" i="6"/>
  <c r="W25" i="6"/>
  <c r="S25" i="6"/>
  <c r="T25" i="6"/>
  <c r="X24" i="1" l="1"/>
  <c r="U25" i="4"/>
  <c r="U24" i="2"/>
  <c r="S26" i="6"/>
  <c r="N27" i="6"/>
  <c r="R26" i="6"/>
  <c r="W26" i="6"/>
  <c r="P26" i="6"/>
  <c r="Q26" i="6"/>
  <c r="T26" i="6"/>
  <c r="V26" i="5"/>
  <c r="R26" i="5"/>
  <c r="Z26" i="5"/>
  <c r="U26" i="5"/>
  <c r="Q26" i="5"/>
  <c r="S26" i="5"/>
  <c r="N27" i="5"/>
  <c r="P26" i="5"/>
  <c r="T26" i="5"/>
  <c r="W26" i="5"/>
  <c r="W25" i="1"/>
  <c r="S25" i="1"/>
  <c r="U25" i="1"/>
  <c r="P25" i="1"/>
  <c r="R25" i="1"/>
  <c r="N26" i="1"/>
  <c r="V25" i="1"/>
  <c r="Q25" i="1"/>
  <c r="Z25" i="1"/>
  <c r="T25" i="1"/>
  <c r="Z26" i="3"/>
  <c r="U26" i="3"/>
  <c r="Q26" i="3"/>
  <c r="N27" i="3"/>
  <c r="T26" i="3"/>
  <c r="P26" i="3"/>
  <c r="V26" i="3"/>
  <c r="S26" i="3"/>
  <c r="W26" i="3"/>
  <c r="R26" i="3"/>
  <c r="N26" i="2"/>
  <c r="Q25" i="2"/>
  <c r="T25" i="2"/>
  <c r="P25" i="2"/>
  <c r="W25" i="2"/>
  <c r="S25" i="2"/>
  <c r="R25" i="2"/>
  <c r="X25" i="3"/>
  <c r="U25" i="6"/>
  <c r="X25" i="5"/>
  <c r="N27" i="4"/>
  <c r="Q26" i="4"/>
  <c r="T26" i="4"/>
  <c r="P26" i="4"/>
  <c r="W26" i="4"/>
  <c r="S26" i="4"/>
  <c r="R26" i="4"/>
  <c r="U26" i="4" l="1"/>
  <c r="N28" i="6"/>
  <c r="Q27" i="6"/>
  <c r="T27" i="6"/>
  <c r="P27" i="6"/>
  <c r="W27" i="6"/>
  <c r="S27" i="6"/>
  <c r="R27" i="6"/>
  <c r="V26" i="1"/>
  <c r="R26" i="1"/>
  <c r="S26" i="1"/>
  <c r="W26" i="1"/>
  <c r="Q26" i="1"/>
  <c r="N27" i="1"/>
  <c r="U26" i="1"/>
  <c r="P26" i="1"/>
  <c r="Z26" i="1"/>
  <c r="T26" i="1"/>
  <c r="U25" i="2"/>
  <c r="X26" i="3"/>
  <c r="X25" i="1"/>
  <c r="U26" i="6"/>
  <c r="N28" i="3"/>
  <c r="T27" i="3"/>
  <c r="P27" i="3"/>
  <c r="W27" i="3"/>
  <c r="S27" i="3"/>
  <c r="R27" i="3"/>
  <c r="Z27" i="3"/>
  <c r="Q27" i="3"/>
  <c r="V27" i="3"/>
  <c r="U27" i="3"/>
  <c r="X26" i="5"/>
  <c r="S26" i="2"/>
  <c r="W26" i="2"/>
  <c r="R26" i="2"/>
  <c r="T26" i="2"/>
  <c r="Q26" i="2"/>
  <c r="P26" i="2"/>
  <c r="N27" i="2"/>
  <c r="Z27" i="5"/>
  <c r="U27" i="5"/>
  <c r="Q27" i="5"/>
  <c r="N28" i="5"/>
  <c r="T27" i="5"/>
  <c r="P27" i="5"/>
  <c r="R27" i="5"/>
  <c r="W27" i="5"/>
  <c r="S27" i="5"/>
  <c r="V27" i="5"/>
  <c r="S27" i="4"/>
  <c r="W27" i="4"/>
  <c r="R27" i="4"/>
  <c r="T27" i="4"/>
  <c r="Q27" i="4"/>
  <c r="N28" i="4"/>
  <c r="P27" i="4"/>
  <c r="U27" i="4" l="1"/>
  <c r="U27" i="6"/>
  <c r="X27" i="3"/>
  <c r="N29" i="5"/>
  <c r="T28" i="5"/>
  <c r="P28" i="5"/>
  <c r="W28" i="5"/>
  <c r="S28" i="5"/>
  <c r="V28" i="5"/>
  <c r="U28" i="5"/>
  <c r="Z28" i="5"/>
  <c r="R28" i="5"/>
  <c r="Q28" i="5"/>
  <c r="N28" i="2"/>
  <c r="Q27" i="2"/>
  <c r="T27" i="2"/>
  <c r="P27" i="2"/>
  <c r="W27" i="2"/>
  <c r="S27" i="2"/>
  <c r="R27" i="2"/>
  <c r="X26" i="1"/>
  <c r="N29" i="4"/>
  <c r="Q28" i="4"/>
  <c r="T28" i="4"/>
  <c r="P28" i="4"/>
  <c r="W28" i="4"/>
  <c r="S28" i="4"/>
  <c r="R28" i="4"/>
  <c r="U26" i="2"/>
  <c r="W28" i="3"/>
  <c r="S28" i="3"/>
  <c r="V28" i="3"/>
  <c r="R28" i="3"/>
  <c r="U28" i="3"/>
  <c r="N29" i="3"/>
  <c r="T28" i="3"/>
  <c r="Q28" i="3"/>
  <c r="P28" i="3"/>
  <c r="Z28" i="3"/>
  <c r="X27" i="5"/>
  <c r="Z27" i="1"/>
  <c r="U27" i="1"/>
  <c r="Q27" i="1"/>
  <c r="W27" i="1"/>
  <c r="R27" i="1"/>
  <c r="T27" i="1"/>
  <c r="N28" i="1"/>
  <c r="V27" i="1"/>
  <c r="P27" i="1"/>
  <c r="S27" i="1"/>
  <c r="S28" i="6"/>
  <c r="P28" i="6"/>
  <c r="T28" i="6"/>
  <c r="N29" i="6"/>
  <c r="R28" i="6"/>
  <c r="Q28" i="6"/>
  <c r="W28" i="6"/>
  <c r="N29" i="1" l="1"/>
  <c r="T28" i="1"/>
  <c r="P28" i="1"/>
  <c r="V28" i="1"/>
  <c r="Q28" i="1"/>
  <c r="R28" i="1"/>
  <c r="U28" i="1"/>
  <c r="Z28" i="1"/>
  <c r="S28" i="1"/>
  <c r="W28" i="1"/>
  <c r="S28" i="2"/>
  <c r="W28" i="2"/>
  <c r="R28" i="2"/>
  <c r="T28" i="2"/>
  <c r="Q28" i="2"/>
  <c r="N29" i="2"/>
  <c r="P28" i="2"/>
  <c r="X28" i="5"/>
  <c r="N30" i="4"/>
  <c r="S29" i="4"/>
  <c r="W29" i="4"/>
  <c r="R29" i="4"/>
  <c r="T29" i="4"/>
  <c r="Q29" i="4"/>
  <c r="P29" i="4"/>
  <c r="X27" i="1"/>
  <c r="U28" i="4"/>
  <c r="U27" i="2"/>
  <c r="N30" i="3"/>
  <c r="V29" i="3"/>
  <c r="R29" i="3"/>
  <c r="Z29" i="3"/>
  <c r="U29" i="3"/>
  <c r="Q29" i="3"/>
  <c r="P29" i="3"/>
  <c r="W29" i="3"/>
  <c r="T29" i="3"/>
  <c r="S29" i="3"/>
  <c r="Q29" i="6"/>
  <c r="W29" i="6"/>
  <c r="P29" i="6"/>
  <c r="R29" i="6"/>
  <c r="N30" i="6"/>
  <c r="T29" i="6"/>
  <c r="S29" i="6"/>
  <c r="X28" i="3"/>
  <c r="U28" i="6"/>
  <c r="W29" i="5"/>
  <c r="S29" i="5"/>
  <c r="N30" i="5"/>
  <c r="V29" i="5"/>
  <c r="R29" i="5"/>
  <c r="Z29" i="5"/>
  <c r="Q29" i="5"/>
  <c r="P29" i="5"/>
  <c r="U29" i="5"/>
  <c r="T29" i="5"/>
  <c r="Q30" i="6" l="1"/>
  <c r="N31" i="6"/>
  <c r="S30" i="6"/>
  <c r="P30" i="6"/>
  <c r="W30" i="6"/>
  <c r="T30" i="6"/>
  <c r="R30" i="6"/>
  <c r="X29" i="3"/>
  <c r="S30" i="4"/>
  <c r="W30" i="4"/>
  <c r="R30" i="4"/>
  <c r="T30" i="4"/>
  <c r="Q30" i="4"/>
  <c r="P30" i="4"/>
  <c r="N31" i="4"/>
  <c r="X28" i="1"/>
  <c r="T30" i="5"/>
  <c r="P30" i="5"/>
  <c r="N31" i="5"/>
  <c r="W30" i="5"/>
  <c r="S30" i="5"/>
  <c r="V30" i="5"/>
  <c r="U30" i="5"/>
  <c r="Q30" i="5"/>
  <c r="Z30" i="5"/>
  <c r="R30" i="5"/>
  <c r="Q29" i="2"/>
  <c r="T29" i="2"/>
  <c r="P29" i="2"/>
  <c r="R29" i="2"/>
  <c r="N30" i="2"/>
  <c r="W29" i="2"/>
  <c r="S29" i="2"/>
  <c r="X29" i="5"/>
  <c r="U29" i="6"/>
  <c r="N31" i="3"/>
  <c r="W30" i="3"/>
  <c r="S30" i="3"/>
  <c r="V30" i="3"/>
  <c r="R30" i="3"/>
  <c r="U30" i="3"/>
  <c r="T30" i="3"/>
  <c r="Z30" i="3"/>
  <c r="Q30" i="3"/>
  <c r="P30" i="3"/>
  <c r="U29" i="4"/>
  <c r="U28" i="2"/>
  <c r="W29" i="1"/>
  <c r="S29" i="1"/>
  <c r="Z29" i="1"/>
  <c r="T29" i="1"/>
  <c r="V29" i="1"/>
  <c r="U29" i="1"/>
  <c r="R29" i="1"/>
  <c r="Q29" i="1"/>
  <c r="N30" i="1"/>
  <c r="P29" i="1"/>
  <c r="U30" i="6" l="1"/>
  <c r="N32" i="3"/>
  <c r="W31" i="3"/>
  <c r="S31" i="3"/>
  <c r="V31" i="3"/>
  <c r="R31" i="3"/>
  <c r="T31" i="3"/>
  <c r="Z31" i="3"/>
  <c r="Q31" i="3"/>
  <c r="P31" i="3"/>
  <c r="U31" i="3"/>
  <c r="T31" i="5"/>
  <c r="P31" i="5"/>
  <c r="N32" i="5"/>
  <c r="W31" i="5"/>
  <c r="S31" i="5"/>
  <c r="U31" i="5"/>
  <c r="R31" i="5"/>
  <c r="Z31" i="5"/>
  <c r="V31" i="5"/>
  <c r="Q31" i="5"/>
  <c r="W31" i="4"/>
  <c r="R31" i="4"/>
  <c r="Q31" i="4"/>
  <c r="T31" i="4"/>
  <c r="S31" i="4"/>
  <c r="N32" i="4"/>
  <c r="P31" i="4"/>
  <c r="X30" i="5"/>
  <c r="U30" i="4"/>
  <c r="N32" i="6"/>
  <c r="T31" i="6"/>
  <c r="P31" i="6"/>
  <c r="Q31" i="6"/>
  <c r="W31" i="6"/>
  <c r="S31" i="6"/>
  <c r="R31" i="6"/>
  <c r="T30" i="1"/>
  <c r="P30" i="1"/>
  <c r="Z30" i="1"/>
  <c r="S30" i="1"/>
  <c r="N31" i="1"/>
  <c r="V30" i="1"/>
  <c r="Q30" i="1"/>
  <c r="W30" i="1"/>
  <c r="R30" i="1"/>
  <c r="U30" i="1"/>
  <c r="Q30" i="2"/>
  <c r="N31" i="2"/>
  <c r="T30" i="2"/>
  <c r="P30" i="2"/>
  <c r="R30" i="2"/>
  <c r="S30" i="2"/>
  <c r="W30" i="2"/>
  <c r="X29" i="1"/>
  <c r="X30" i="3"/>
  <c r="U29" i="2"/>
  <c r="U31" i="4" l="1"/>
  <c r="U30" i="2"/>
  <c r="N32" i="2"/>
  <c r="T31" i="2"/>
  <c r="P31" i="2"/>
  <c r="S31" i="2"/>
  <c r="R31" i="2"/>
  <c r="Q31" i="2"/>
  <c r="W31" i="2"/>
  <c r="U31" i="6"/>
  <c r="X31" i="5"/>
  <c r="S32" i="6"/>
  <c r="R32" i="6"/>
  <c r="T32" i="6"/>
  <c r="N33" i="6"/>
  <c r="Q32" i="6"/>
  <c r="P32" i="6"/>
  <c r="W32" i="6"/>
  <c r="Q32" i="4"/>
  <c r="N33" i="4"/>
  <c r="T32" i="4"/>
  <c r="P32" i="4"/>
  <c r="W32" i="4"/>
  <c r="S32" i="4"/>
  <c r="R32" i="4"/>
  <c r="X30" i="1"/>
  <c r="T31" i="1"/>
  <c r="P31" i="1"/>
  <c r="W31" i="1"/>
  <c r="R31" i="1"/>
  <c r="Z31" i="1"/>
  <c r="N32" i="1"/>
  <c r="V31" i="1"/>
  <c r="Q31" i="1"/>
  <c r="U31" i="1"/>
  <c r="S31" i="1"/>
  <c r="T32" i="5"/>
  <c r="P32" i="5"/>
  <c r="W32" i="5"/>
  <c r="S32" i="5"/>
  <c r="R32" i="5"/>
  <c r="Z32" i="5"/>
  <c r="Q32" i="5"/>
  <c r="U32" i="5"/>
  <c r="N33" i="5"/>
  <c r="V32" i="5"/>
  <c r="X31" i="3"/>
  <c r="W32" i="3"/>
  <c r="S32" i="3"/>
  <c r="N33" i="3"/>
  <c r="V32" i="3"/>
  <c r="R32" i="3"/>
  <c r="T32" i="3"/>
  <c r="Z32" i="3"/>
  <c r="Q32" i="3"/>
  <c r="P32" i="3"/>
  <c r="U32" i="3"/>
  <c r="U32" i="6" l="1"/>
  <c r="U31" i="2"/>
  <c r="Z33" i="5"/>
  <c r="U33" i="5"/>
  <c r="Q33" i="5"/>
  <c r="T33" i="5"/>
  <c r="P33" i="5"/>
  <c r="S33" i="5"/>
  <c r="R33" i="5"/>
  <c r="W33" i="5"/>
  <c r="V33" i="5"/>
  <c r="N34" i="5"/>
  <c r="T32" i="1"/>
  <c r="P32" i="1"/>
  <c r="V32" i="1"/>
  <c r="Q32" i="1"/>
  <c r="N33" i="1"/>
  <c r="Z32" i="1"/>
  <c r="U32" i="1"/>
  <c r="S32" i="1"/>
  <c r="W32" i="1"/>
  <c r="R32" i="1"/>
  <c r="T33" i="3"/>
  <c r="P33" i="3"/>
  <c r="W33" i="3"/>
  <c r="S33" i="3"/>
  <c r="N34" i="3"/>
  <c r="V33" i="3"/>
  <c r="U33" i="3"/>
  <c r="R33" i="3"/>
  <c r="Z33" i="3"/>
  <c r="Q33" i="3"/>
  <c r="X32" i="5"/>
  <c r="U32" i="4"/>
  <c r="T33" i="4"/>
  <c r="P33" i="4"/>
  <c r="N34" i="4"/>
  <c r="S33" i="4"/>
  <c r="Q33" i="4"/>
  <c r="W33" i="4"/>
  <c r="R33" i="4"/>
  <c r="X32" i="3"/>
  <c r="X31" i="1"/>
  <c r="W33" i="6"/>
  <c r="R33" i="6"/>
  <c r="Q33" i="6"/>
  <c r="N34" i="6"/>
  <c r="P33" i="6"/>
  <c r="S33" i="6"/>
  <c r="T33" i="6"/>
  <c r="S32" i="2"/>
  <c r="W32" i="2"/>
  <c r="R32" i="2"/>
  <c r="T32" i="2"/>
  <c r="P32" i="2"/>
  <c r="N33" i="2"/>
  <c r="Q32" i="2"/>
  <c r="X32" i="1" l="1"/>
  <c r="T34" i="4"/>
  <c r="P34" i="4"/>
  <c r="N35" i="4"/>
  <c r="S34" i="4"/>
  <c r="W34" i="4"/>
  <c r="R34" i="4"/>
  <c r="Q34" i="4"/>
  <c r="Z33" i="1"/>
  <c r="U33" i="1"/>
  <c r="Q33" i="1"/>
  <c r="W33" i="1"/>
  <c r="R33" i="1"/>
  <c r="V33" i="1"/>
  <c r="P33" i="1"/>
  <c r="T33" i="1"/>
  <c r="N34" i="1"/>
  <c r="S33" i="1"/>
  <c r="W33" i="2"/>
  <c r="R33" i="2"/>
  <c r="Q33" i="2"/>
  <c r="N34" i="2"/>
  <c r="S33" i="2"/>
  <c r="P33" i="2"/>
  <c r="T33" i="2"/>
  <c r="U33" i="6"/>
  <c r="U33" i="4"/>
  <c r="X33" i="3"/>
  <c r="V34" i="5"/>
  <c r="R34" i="5"/>
  <c r="N35" i="5"/>
  <c r="Z34" i="5"/>
  <c r="U34" i="5"/>
  <c r="Q34" i="5"/>
  <c r="T34" i="5"/>
  <c r="S34" i="5"/>
  <c r="W34" i="5"/>
  <c r="P34" i="5"/>
  <c r="U32" i="2"/>
  <c r="W34" i="6"/>
  <c r="R34" i="6"/>
  <c r="N35" i="6"/>
  <c r="P34" i="6"/>
  <c r="T34" i="6"/>
  <c r="S34" i="6"/>
  <c r="Q34" i="6"/>
  <c r="N35" i="3"/>
  <c r="Z34" i="3"/>
  <c r="U34" i="3"/>
  <c r="Q34" i="3"/>
  <c r="T34" i="3"/>
  <c r="P34" i="3"/>
  <c r="W34" i="3"/>
  <c r="V34" i="3"/>
  <c r="S34" i="3"/>
  <c r="R34" i="3"/>
  <c r="X33" i="5"/>
  <c r="X34" i="3" l="1"/>
  <c r="U33" i="2"/>
  <c r="W35" i="3"/>
  <c r="S35" i="3"/>
  <c r="V35" i="3"/>
  <c r="R35" i="3"/>
  <c r="T35" i="3"/>
  <c r="Z35" i="3"/>
  <c r="Q35" i="3"/>
  <c r="N36" i="3"/>
  <c r="P35" i="3"/>
  <c r="U35" i="3"/>
  <c r="U34" i="6"/>
  <c r="N36" i="5"/>
  <c r="T35" i="5"/>
  <c r="P35" i="5"/>
  <c r="W35" i="5"/>
  <c r="S35" i="5"/>
  <c r="R35" i="5"/>
  <c r="Z35" i="5"/>
  <c r="Q35" i="5"/>
  <c r="U35" i="5"/>
  <c r="V35" i="5"/>
  <c r="X33" i="1"/>
  <c r="U34" i="4"/>
  <c r="N36" i="6"/>
  <c r="W35" i="6"/>
  <c r="R35" i="6"/>
  <c r="T35" i="6"/>
  <c r="S35" i="6"/>
  <c r="Q35" i="6"/>
  <c r="P35" i="6"/>
  <c r="X34" i="5"/>
  <c r="W34" i="2"/>
  <c r="R34" i="2"/>
  <c r="Q34" i="2"/>
  <c r="T34" i="2"/>
  <c r="N35" i="2"/>
  <c r="P34" i="2"/>
  <c r="S34" i="2"/>
  <c r="T35" i="4"/>
  <c r="P35" i="4"/>
  <c r="S35" i="4"/>
  <c r="R35" i="4"/>
  <c r="N36" i="4"/>
  <c r="W35" i="4"/>
  <c r="Q35" i="4"/>
  <c r="V34" i="1"/>
  <c r="R34" i="1"/>
  <c r="S34" i="1"/>
  <c r="U34" i="1"/>
  <c r="T34" i="1"/>
  <c r="N35" i="1"/>
  <c r="W34" i="1"/>
  <c r="Q34" i="1"/>
  <c r="P34" i="1"/>
  <c r="Z34" i="1"/>
  <c r="U35" i="4" l="1"/>
  <c r="N36" i="2"/>
  <c r="W35" i="2"/>
  <c r="R35" i="2"/>
  <c r="Q35" i="2"/>
  <c r="P35" i="2"/>
  <c r="S35" i="2"/>
  <c r="T35" i="2"/>
  <c r="W36" i="5"/>
  <c r="S36" i="5"/>
  <c r="V36" i="5"/>
  <c r="R36" i="5"/>
  <c r="T36" i="5"/>
  <c r="N37" i="5"/>
  <c r="Z36" i="5"/>
  <c r="Q36" i="5"/>
  <c r="P36" i="5"/>
  <c r="U36" i="5"/>
  <c r="V36" i="3"/>
  <c r="R36" i="3"/>
  <c r="N37" i="3"/>
  <c r="Z36" i="3"/>
  <c r="U36" i="3"/>
  <c r="Q36" i="3"/>
  <c r="S36" i="3"/>
  <c r="P36" i="3"/>
  <c r="W36" i="3"/>
  <c r="T36" i="3"/>
  <c r="N36" i="1"/>
  <c r="T35" i="1"/>
  <c r="P35" i="1"/>
  <c r="V35" i="1"/>
  <c r="Q35" i="1"/>
  <c r="Z35" i="1"/>
  <c r="W35" i="1"/>
  <c r="U35" i="1"/>
  <c r="S35" i="1"/>
  <c r="R35" i="1"/>
  <c r="N37" i="4"/>
  <c r="Q36" i="4"/>
  <c r="T36" i="4"/>
  <c r="P36" i="4"/>
  <c r="W36" i="4"/>
  <c r="S36" i="4"/>
  <c r="R36" i="4"/>
  <c r="U35" i="6"/>
  <c r="X35" i="5"/>
  <c r="S36" i="6"/>
  <c r="T36" i="6"/>
  <c r="R36" i="6"/>
  <c r="N37" i="6"/>
  <c r="Q36" i="6"/>
  <c r="P36" i="6"/>
  <c r="W36" i="6"/>
  <c r="X34" i="1"/>
  <c r="U34" i="2"/>
  <c r="X35" i="3"/>
  <c r="U36" i="6" l="1"/>
  <c r="X36" i="5"/>
  <c r="T37" i="3"/>
  <c r="P37" i="3"/>
  <c r="W37" i="3"/>
  <c r="S37" i="3"/>
  <c r="R37" i="3"/>
  <c r="Z37" i="3"/>
  <c r="Q37" i="3"/>
  <c r="N38" i="3"/>
  <c r="V37" i="3"/>
  <c r="U37" i="3"/>
  <c r="N38" i="6"/>
  <c r="Q37" i="6"/>
  <c r="S37" i="6"/>
  <c r="R37" i="6"/>
  <c r="W37" i="6"/>
  <c r="T37" i="6"/>
  <c r="P37" i="6"/>
  <c r="S37" i="4"/>
  <c r="W37" i="4"/>
  <c r="R37" i="4"/>
  <c r="N38" i="4"/>
  <c r="T37" i="4"/>
  <c r="Q37" i="4"/>
  <c r="P37" i="4"/>
  <c r="X35" i="1"/>
  <c r="W36" i="1"/>
  <c r="S36" i="1"/>
  <c r="N37" i="1"/>
  <c r="Z36" i="1"/>
  <c r="T36" i="1"/>
  <c r="V36" i="1"/>
  <c r="U36" i="1"/>
  <c r="P36" i="1"/>
  <c r="R36" i="1"/>
  <c r="Q36" i="1"/>
  <c r="U36" i="4"/>
  <c r="X36" i="3"/>
  <c r="N38" i="5"/>
  <c r="Z37" i="5"/>
  <c r="U37" i="5"/>
  <c r="Q37" i="5"/>
  <c r="T37" i="5"/>
  <c r="P37" i="5"/>
  <c r="R37" i="5"/>
  <c r="W37" i="5"/>
  <c r="V37" i="5"/>
  <c r="S37" i="5"/>
  <c r="U35" i="2"/>
  <c r="S36" i="2"/>
  <c r="W36" i="2"/>
  <c r="R36" i="2"/>
  <c r="N37" i="2"/>
  <c r="T36" i="2"/>
  <c r="P36" i="2"/>
  <c r="Q36" i="2"/>
  <c r="U37" i="4" l="1"/>
  <c r="U36" i="2"/>
  <c r="V38" i="3"/>
  <c r="R38" i="3"/>
  <c r="N39" i="3"/>
  <c r="Z38" i="3"/>
  <c r="U38" i="3"/>
  <c r="Q38" i="3"/>
  <c r="S38" i="3"/>
  <c r="P38" i="3"/>
  <c r="W38" i="3"/>
  <c r="T38" i="3"/>
  <c r="X37" i="5"/>
  <c r="S38" i="6"/>
  <c r="N39" i="6"/>
  <c r="T38" i="6"/>
  <c r="R38" i="6"/>
  <c r="W38" i="6"/>
  <c r="Q38" i="6"/>
  <c r="P38" i="6"/>
  <c r="X37" i="3"/>
  <c r="N38" i="2"/>
  <c r="Q37" i="2"/>
  <c r="T37" i="2"/>
  <c r="P37" i="2"/>
  <c r="R37" i="2"/>
  <c r="S37" i="2"/>
  <c r="W37" i="2"/>
  <c r="N38" i="1"/>
  <c r="Z37" i="1"/>
  <c r="U37" i="1"/>
  <c r="Q37" i="1"/>
  <c r="T37" i="1"/>
  <c r="W37" i="1"/>
  <c r="R37" i="1"/>
  <c r="V37" i="1"/>
  <c r="P37" i="1"/>
  <c r="S37" i="1"/>
  <c r="W38" i="5"/>
  <c r="S38" i="5"/>
  <c r="V38" i="5"/>
  <c r="R38" i="5"/>
  <c r="Z38" i="5"/>
  <c r="Q38" i="5"/>
  <c r="P38" i="5"/>
  <c r="U38" i="5"/>
  <c r="T38" i="5"/>
  <c r="N39" i="5"/>
  <c r="X36" i="1"/>
  <c r="N39" i="4"/>
  <c r="Q38" i="4"/>
  <c r="T38" i="4"/>
  <c r="P38" i="4"/>
  <c r="W38" i="4"/>
  <c r="R38" i="4"/>
  <c r="S38" i="4"/>
  <c r="U37" i="6"/>
  <c r="U38" i="4" l="1"/>
  <c r="X38" i="3"/>
  <c r="X37" i="1"/>
  <c r="U37" i="2"/>
  <c r="T39" i="3"/>
  <c r="P39" i="3"/>
  <c r="W39" i="3"/>
  <c r="S39" i="3"/>
  <c r="U39" i="3"/>
  <c r="R39" i="3"/>
  <c r="Z39" i="3"/>
  <c r="Q39" i="3"/>
  <c r="N40" i="3"/>
  <c r="V39" i="3"/>
  <c r="X38" i="5"/>
  <c r="Z39" i="5"/>
  <c r="U39" i="5"/>
  <c r="Q39" i="5"/>
  <c r="T39" i="5"/>
  <c r="P39" i="5"/>
  <c r="S39" i="5"/>
  <c r="R39" i="5"/>
  <c r="W39" i="5"/>
  <c r="V39" i="5"/>
  <c r="N40" i="5"/>
  <c r="U38" i="6"/>
  <c r="S39" i="4"/>
  <c r="W39" i="4"/>
  <c r="R39" i="4"/>
  <c r="N40" i="4"/>
  <c r="T39" i="4"/>
  <c r="Q39" i="4"/>
  <c r="P39" i="4"/>
  <c r="S38" i="2"/>
  <c r="W38" i="2"/>
  <c r="R38" i="2"/>
  <c r="P38" i="2"/>
  <c r="T38" i="2"/>
  <c r="N39" i="2"/>
  <c r="Q38" i="2"/>
  <c r="W38" i="1"/>
  <c r="S38" i="1"/>
  <c r="V38" i="1"/>
  <c r="Q38" i="1"/>
  <c r="T38" i="1"/>
  <c r="U38" i="1"/>
  <c r="P38" i="1"/>
  <c r="Z38" i="1"/>
  <c r="N39" i="1"/>
  <c r="R38" i="1"/>
  <c r="N40" i="6"/>
  <c r="Q39" i="6"/>
  <c r="T39" i="6"/>
  <c r="S39" i="6"/>
  <c r="W39" i="6"/>
  <c r="P39" i="6"/>
  <c r="R39" i="6"/>
  <c r="U39" i="4" l="1"/>
  <c r="U38" i="2"/>
  <c r="Q40" i="4"/>
  <c r="T40" i="4"/>
  <c r="P40" i="4"/>
  <c r="W40" i="4"/>
  <c r="S40" i="4"/>
  <c r="R40" i="4"/>
  <c r="N41" i="4"/>
  <c r="X39" i="3"/>
  <c r="Z39" i="1"/>
  <c r="U39" i="1"/>
  <c r="Q39" i="1"/>
  <c r="N40" i="1"/>
  <c r="S39" i="1"/>
  <c r="P39" i="1"/>
  <c r="T39" i="1"/>
  <c r="W39" i="1"/>
  <c r="R39" i="1"/>
  <c r="V39" i="1"/>
  <c r="N41" i="5"/>
  <c r="V40" i="5"/>
  <c r="R40" i="5"/>
  <c r="Z40" i="5"/>
  <c r="U40" i="5"/>
  <c r="Q40" i="5"/>
  <c r="S40" i="5"/>
  <c r="P40" i="5"/>
  <c r="W40" i="5"/>
  <c r="T40" i="5"/>
  <c r="Z40" i="3"/>
  <c r="U40" i="3"/>
  <c r="Q40" i="3"/>
  <c r="T40" i="3"/>
  <c r="P40" i="3"/>
  <c r="N41" i="3"/>
  <c r="V40" i="3"/>
  <c r="S40" i="3"/>
  <c r="R40" i="3"/>
  <c r="W40" i="3"/>
  <c r="X39" i="5"/>
  <c r="U39" i="6"/>
  <c r="S40" i="6"/>
  <c r="P40" i="6"/>
  <c r="N41" i="6"/>
  <c r="T40" i="6"/>
  <c r="W40" i="6"/>
  <c r="Q40" i="6"/>
  <c r="R40" i="6"/>
  <c r="X38" i="1"/>
  <c r="N40" i="2"/>
  <c r="Q39" i="2"/>
  <c r="T39" i="2"/>
  <c r="P39" i="2"/>
  <c r="W39" i="2"/>
  <c r="S39" i="2"/>
  <c r="R39" i="2"/>
  <c r="U40" i="4" l="1"/>
  <c r="U39" i="2"/>
  <c r="N41" i="1"/>
  <c r="V40" i="1"/>
  <c r="R40" i="1"/>
  <c r="Z40" i="1"/>
  <c r="T40" i="1"/>
  <c r="W40" i="1"/>
  <c r="P40" i="1"/>
  <c r="S40" i="1"/>
  <c r="Q40" i="1"/>
  <c r="U40" i="1"/>
  <c r="V41" i="3"/>
  <c r="R41" i="3"/>
  <c r="Z41" i="3"/>
  <c r="U41" i="3"/>
  <c r="Q41" i="3"/>
  <c r="W41" i="3"/>
  <c r="T41" i="3"/>
  <c r="S41" i="3"/>
  <c r="N42" i="3"/>
  <c r="P41" i="3"/>
  <c r="X40" i="5"/>
  <c r="X39" i="1"/>
  <c r="T41" i="6"/>
  <c r="P41" i="6"/>
  <c r="W41" i="6"/>
  <c r="Q41" i="6"/>
  <c r="R41" i="6"/>
  <c r="N42" i="6"/>
  <c r="S41" i="6"/>
  <c r="W41" i="5"/>
  <c r="S41" i="5"/>
  <c r="V41" i="5"/>
  <c r="R41" i="5"/>
  <c r="U41" i="5"/>
  <c r="T41" i="5"/>
  <c r="P41" i="5"/>
  <c r="N42" i="5"/>
  <c r="Z41" i="5"/>
  <c r="Q41" i="5"/>
  <c r="W41" i="4"/>
  <c r="R41" i="4"/>
  <c r="N42" i="4"/>
  <c r="Q41" i="4"/>
  <c r="S41" i="4"/>
  <c r="P41" i="4"/>
  <c r="T41" i="4"/>
  <c r="U40" i="6"/>
  <c r="S40" i="2"/>
  <c r="N41" i="2"/>
  <c r="W40" i="2"/>
  <c r="R40" i="2"/>
  <c r="T40" i="2"/>
  <c r="Q40" i="2"/>
  <c r="P40" i="2"/>
  <c r="X40" i="3"/>
  <c r="X41" i="5" l="1"/>
  <c r="U41" i="6"/>
  <c r="X41" i="3"/>
  <c r="Z42" i="3"/>
  <c r="U42" i="3"/>
  <c r="Q42" i="3"/>
  <c r="N43" i="3"/>
  <c r="T42" i="3"/>
  <c r="P42" i="3"/>
  <c r="V42" i="3"/>
  <c r="S42" i="3"/>
  <c r="R42" i="3"/>
  <c r="W42" i="3"/>
  <c r="U40" i="2"/>
  <c r="T42" i="4"/>
  <c r="P42" i="4"/>
  <c r="N43" i="4"/>
  <c r="S42" i="4"/>
  <c r="R42" i="4"/>
  <c r="Q42" i="4"/>
  <c r="W42" i="4"/>
  <c r="W42" i="6"/>
  <c r="R42" i="6"/>
  <c r="N43" i="6"/>
  <c r="Q42" i="6"/>
  <c r="P42" i="6"/>
  <c r="T42" i="6"/>
  <c r="S42" i="6"/>
  <c r="X40" i="1"/>
  <c r="T41" i="2"/>
  <c r="P41" i="2"/>
  <c r="S41" i="2"/>
  <c r="R41" i="2"/>
  <c r="Q41" i="2"/>
  <c r="N42" i="2"/>
  <c r="W41" i="2"/>
  <c r="U41" i="4"/>
  <c r="V42" i="5"/>
  <c r="R42" i="5"/>
  <c r="Z42" i="5"/>
  <c r="U42" i="5"/>
  <c r="Q42" i="5"/>
  <c r="N43" i="5"/>
  <c r="S42" i="5"/>
  <c r="P42" i="5"/>
  <c r="T42" i="5"/>
  <c r="W42" i="5"/>
  <c r="W41" i="1"/>
  <c r="S41" i="1"/>
  <c r="N42" i="1"/>
  <c r="V41" i="1"/>
  <c r="Q41" i="1"/>
  <c r="T41" i="1"/>
  <c r="R41" i="1"/>
  <c r="U41" i="1"/>
  <c r="P41" i="1"/>
  <c r="Z41" i="1"/>
  <c r="U41" i="2" l="1"/>
  <c r="V42" i="1"/>
  <c r="R42" i="1"/>
  <c r="Z42" i="1"/>
  <c r="T42" i="1"/>
  <c r="Q42" i="1"/>
  <c r="S42" i="1"/>
  <c r="W42" i="1"/>
  <c r="N43" i="1"/>
  <c r="U42" i="1"/>
  <c r="P42" i="1"/>
  <c r="T43" i="4"/>
  <c r="P43" i="4"/>
  <c r="S43" i="4"/>
  <c r="N44" i="4"/>
  <c r="R43" i="4"/>
  <c r="Q43" i="4"/>
  <c r="W43" i="4"/>
  <c r="X42" i="3"/>
  <c r="Z43" i="5"/>
  <c r="U43" i="5"/>
  <c r="Q43" i="5"/>
  <c r="N44" i="5"/>
  <c r="T43" i="5"/>
  <c r="P43" i="5"/>
  <c r="W43" i="5"/>
  <c r="V43" i="5"/>
  <c r="S43" i="5"/>
  <c r="R43" i="5"/>
  <c r="W42" i="2"/>
  <c r="R42" i="2"/>
  <c r="Q42" i="2"/>
  <c r="T42" i="2"/>
  <c r="S42" i="2"/>
  <c r="N43" i="2"/>
  <c r="P42" i="2"/>
  <c r="N44" i="3"/>
  <c r="T43" i="3"/>
  <c r="P43" i="3"/>
  <c r="W43" i="3"/>
  <c r="S43" i="3"/>
  <c r="R43" i="3"/>
  <c r="Z43" i="3"/>
  <c r="Q43" i="3"/>
  <c r="V43" i="3"/>
  <c r="U43" i="3"/>
  <c r="U42" i="6"/>
  <c r="X42" i="5"/>
  <c r="X41" i="1"/>
  <c r="N44" i="6"/>
  <c r="W43" i="6"/>
  <c r="R43" i="6"/>
  <c r="T43" i="6"/>
  <c r="S43" i="6"/>
  <c r="P43" i="6"/>
  <c r="Q43" i="6"/>
  <c r="U42" i="4"/>
  <c r="S44" i="6" l="1"/>
  <c r="T44" i="6"/>
  <c r="N45" i="6"/>
  <c r="R44" i="6"/>
  <c r="P44" i="6"/>
  <c r="W44" i="6"/>
  <c r="Q44" i="6"/>
  <c r="N45" i="3"/>
  <c r="W44" i="3"/>
  <c r="S44" i="3"/>
  <c r="V44" i="3"/>
  <c r="R44" i="3"/>
  <c r="U44" i="3"/>
  <c r="T44" i="3"/>
  <c r="Z44" i="3"/>
  <c r="Q44" i="3"/>
  <c r="P44" i="3"/>
  <c r="X43" i="5"/>
  <c r="U43" i="4"/>
  <c r="Z43" i="1"/>
  <c r="U43" i="1"/>
  <c r="Q43" i="1"/>
  <c r="N44" i="1"/>
  <c r="T43" i="1"/>
  <c r="S43" i="1"/>
  <c r="W43" i="1"/>
  <c r="P43" i="1"/>
  <c r="V43" i="1"/>
  <c r="R43" i="1"/>
  <c r="U42" i="2"/>
  <c r="U43" i="6"/>
  <c r="X43" i="3"/>
  <c r="N44" i="2"/>
  <c r="W43" i="2"/>
  <c r="R43" i="2"/>
  <c r="Q43" i="2"/>
  <c r="T43" i="2"/>
  <c r="S43" i="2"/>
  <c r="P43" i="2"/>
  <c r="V44" i="5"/>
  <c r="R44" i="5"/>
  <c r="U44" i="5"/>
  <c r="P44" i="5"/>
  <c r="Z44" i="5"/>
  <c r="T44" i="5"/>
  <c r="N45" i="5"/>
  <c r="S44" i="5"/>
  <c r="Q44" i="5"/>
  <c r="W44" i="5"/>
  <c r="Q44" i="4"/>
  <c r="N45" i="4"/>
  <c r="T44" i="4"/>
  <c r="P44" i="4"/>
  <c r="W44" i="4"/>
  <c r="R44" i="4"/>
  <c r="S44" i="4"/>
  <c r="X42" i="1"/>
  <c r="T44" i="1" l="1"/>
  <c r="P44" i="1"/>
  <c r="N45" i="1"/>
  <c r="W44" i="1"/>
  <c r="S44" i="1"/>
  <c r="V44" i="1"/>
  <c r="R44" i="1"/>
  <c r="Z44" i="1"/>
  <c r="Q44" i="1"/>
  <c r="U44" i="1"/>
  <c r="N46" i="6"/>
  <c r="W45" i="6"/>
  <c r="R45" i="6"/>
  <c r="P45" i="6"/>
  <c r="T45" i="6"/>
  <c r="Q45" i="6"/>
  <c r="S45" i="6"/>
  <c r="W45" i="3"/>
  <c r="S45" i="3"/>
  <c r="N46" i="3"/>
  <c r="V45" i="3"/>
  <c r="R45" i="3"/>
  <c r="P45" i="3"/>
  <c r="U45" i="3"/>
  <c r="T45" i="3"/>
  <c r="Z45" i="3"/>
  <c r="Q45" i="3"/>
  <c r="T45" i="4"/>
  <c r="P45" i="4"/>
  <c r="S45" i="4"/>
  <c r="W45" i="4"/>
  <c r="N46" i="4"/>
  <c r="R45" i="4"/>
  <c r="Q45" i="4"/>
  <c r="U43" i="2"/>
  <c r="X43" i="1"/>
  <c r="N46" i="5"/>
  <c r="V45" i="5"/>
  <c r="R45" i="5"/>
  <c r="S45" i="5"/>
  <c r="W45" i="5"/>
  <c r="Q45" i="5"/>
  <c r="Z45" i="5"/>
  <c r="U45" i="5"/>
  <c r="P45" i="5"/>
  <c r="T45" i="5"/>
  <c r="X44" i="5"/>
  <c r="U44" i="4"/>
  <c r="S44" i="2"/>
  <c r="W44" i="2"/>
  <c r="R44" i="2"/>
  <c r="Q44" i="2"/>
  <c r="N45" i="2"/>
  <c r="P44" i="2"/>
  <c r="T44" i="2"/>
  <c r="X44" i="3"/>
  <c r="U44" i="6"/>
  <c r="X45" i="3" l="1"/>
  <c r="S46" i="6"/>
  <c r="P46" i="6"/>
  <c r="N47" i="6"/>
  <c r="T46" i="6"/>
  <c r="Q46" i="6"/>
  <c r="W46" i="6"/>
  <c r="R46" i="6"/>
  <c r="T45" i="1"/>
  <c r="P45" i="1"/>
  <c r="W45" i="1"/>
  <c r="S45" i="1"/>
  <c r="R45" i="1"/>
  <c r="U45" i="1"/>
  <c r="N46" i="1"/>
  <c r="Z45" i="1"/>
  <c r="Q45" i="1"/>
  <c r="V45" i="1"/>
  <c r="T46" i="3"/>
  <c r="P46" i="3"/>
  <c r="W46" i="3"/>
  <c r="S46" i="3"/>
  <c r="V46" i="3"/>
  <c r="N47" i="3"/>
  <c r="U46" i="3"/>
  <c r="R46" i="3"/>
  <c r="Z46" i="3"/>
  <c r="Q46" i="3"/>
  <c r="U44" i="2"/>
  <c r="U45" i="6"/>
  <c r="X44" i="1"/>
  <c r="Q46" i="4"/>
  <c r="T46" i="4"/>
  <c r="P46" i="4"/>
  <c r="N47" i="4"/>
  <c r="R46" i="4"/>
  <c r="W46" i="4"/>
  <c r="S46" i="4"/>
  <c r="N46" i="2"/>
  <c r="W45" i="2"/>
  <c r="R45" i="2"/>
  <c r="Q45" i="2"/>
  <c r="P45" i="2"/>
  <c r="T45" i="2"/>
  <c r="S45" i="2"/>
  <c r="X45" i="5"/>
  <c r="W46" i="5"/>
  <c r="S46" i="5"/>
  <c r="Z46" i="5"/>
  <c r="T46" i="5"/>
  <c r="N47" i="5"/>
  <c r="R46" i="5"/>
  <c r="P46" i="5"/>
  <c r="V46" i="5"/>
  <c r="U46" i="5"/>
  <c r="Q46" i="5"/>
  <c r="U45" i="4"/>
  <c r="X46" i="5" l="1"/>
  <c r="V47" i="3"/>
  <c r="R47" i="3"/>
  <c r="N48" i="3"/>
  <c r="Z47" i="3"/>
  <c r="U47" i="3"/>
  <c r="Q47" i="3"/>
  <c r="P47" i="3"/>
  <c r="W47" i="3"/>
  <c r="T47" i="3"/>
  <c r="S47" i="3"/>
  <c r="T47" i="6"/>
  <c r="P47" i="6"/>
  <c r="W47" i="6"/>
  <c r="Q47" i="6"/>
  <c r="R47" i="6"/>
  <c r="N48" i="6"/>
  <c r="S47" i="6"/>
  <c r="N48" i="5"/>
  <c r="Z47" i="5"/>
  <c r="U47" i="5"/>
  <c r="Q47" i="5"/>
  <c r="V47" i="5"/>
  <c r="P47" i="5"/>
  <c r="T47" i="5"/>
  <c r="R47" i="5"/>
  <c r="W47" i="5"/>
  <c r="S47" i="5"/>
  <c r="U45" i="2"/>
  <c r="S46" i="2"/>
  <c r="N47" i="2"/>
  <c r="W46" i="2"/>
  <c r="R46" i="2"/>
  <c r="T46" i="2"/>
  <c r="P46" i="2"/>
  <c r="Q46" i="2"/>
  <c r="W47" i="4"/>
  <c r="R47" i="4"/>
  <c r="N48" i="4"/>
  <c r="Q47" i="4"/>
  <c r="T47" i="4"/>
  <c r="S47" i="4"/>
  <c r="P47" i="4"/>
  <c r="N47" i="1"/>
  <c r="Z46" i="1"/>
  <c r="U46" i="1"/>
  <c r="Q46" i="1"/>
  <c r="T46" i="1"/>
  <c r="P46" i="1"/>
  <c r="R46" i="1"/>
  <c r="W46" i="1"/>
  <c r="V46" i="1"/>
  <c r="S46" i="1"/>
  <c r="U46" i="6"/>
  <c r="X46" i="3"/>
  <c r="U46" i="4"/>
  <c r="X45" i="1"/>
  <c r="U47" i="6" l="1"/>
  <c r="X46" i="1"/>
  <c r="W48" i="6"/>
  <c r="R48" i="6"/>
  <c r="R49" i="6" s="1"/>
  <c r="Q48" i="6"/>
  <c r="Q49" i="6" s="1"/>
  <c r="P56" i="6" s="1"/>
  <c r="R56" i="6" s="1"/>
  <c r="P48" i="6"/>
  <c r="T48" i="6"/>
  <c r="T49" i="6" s="1"/>
  <c r="P58" i="6" s="1"/>
  <c r="R58" i="6" s="1"/>
  <c r="S48" i="6"/>
  <c r="S49" i="6" s="1"/>
  <c r="X47" i="5"/>
  <c r="X47" i="3"/>
  <c r="U47" i="4"/>
  <c r="T48" i="4"/>
  <c r="T49" i="4" s="1"/>
  <c r="P58" i="4" s="1"/>
  <c r="R58" i="4" s="1"/>
  <c r="P48" i="4"/>
  <c r="S48" i="4"/>
  <c r="S49" i="4" s="1"/>
  <c r="W48" i="4"/>
  <c r="R48" i="4"/>
  <c r="R49" i="4" s="1"/>
  <c r="Q48" i="4"/>
  <c r="Q49" i="4" s="1"/>
  <c r="P56" i="4" s="1"/>
  <c r="R56" i="4" s="1"/>
  <c r="U46" i="2"/>
  <c r="T47" i="2"/>
  <c r="P47" i="2"/>
  <c r="S47" i="2"/>
  <c r="R47" i="2"/>
  <c r="N48" i="2"/>
  <c r="W47" i="2"/>
  <c r="Q47" i="2"/>
  <c r="W48" i="5"/>
  <c r="W49" i="5" s="1"/>
  <c r="P59" i="5" s="1"/>
  <c r="R59" i="5" s="1"/>
  <c r="S48" i="5"/>
  <c r="S49" i="5" s="1"/>
  <c r="Z48" i="5"/>
  <c r="T48" i="5"/>
  <c r="T49" i="5" s="1"/>
  <c r="R48" i="5"/>
  <c r="R49" i="5" s="1"/>
  <c r="Q48" i="5"/>
  <c r="Q49" i="5" s="1"/>
  <c r="P48" i="5"/>
  <c r="U48" i="5"/>
  <c r="U49" i="5" s="1"/>
  <c r="V48" i="5"/>
  <c r="V49" i="5" s="1"/>
  <c r="W47" i="1"/>
  <c r="S47" i="1"/>
  <c r="R47" i="1"/>
  <c r="V47" i="1"/>
  <c r="U47" i="1"/>
  <c r="Q47" i="1"/>
  <c r="N48" i="1"/>
  <c r="T47" i="1"/>
  <c r="Z47" i="1"/>
  <c r="P47" i="1"/>
  <c r="T48" i="3"/>
  <c r="T49" i="3" s="1"/>
  <c r="P48" i="3"/>
  <c r="W48" i="3"/>
  <c r="W49" i="3" s="1"/>
  <c r="P59" i="3" s="1"/>
  <c r="R59" i="3" s="1"/>
  <c r="S48" i="3"/>
  <c r="S49" i="3" s="1"/>
  <c r="V48" i="3"/>
  <c r="V49" i="3" s="1"/>
  <c r="U48" i="3"/>
  <c r="U49" i="3" s="1"/>
  <c r="R48" i="3"/>
  <c r="R49" i="3" s="1"/>
  <c r="Q48" i="3"/>
  <c r="Q49" i="3" s="1"/>
  <c r="Z48" i="3"/>
  <c r="P58" i="3" l="1"/>
  <c r="R58" i="3" s="1"/>
  <c r="P58" i="5"/>
  <c r="R58" i="5" s="1"/>
  <c r="U48" i="4"/>
  <c r="U49" i="4" s="1"/>
  <c r="AB53" i="4" s="1"/>
  <c r="P49" i="4"/>
  <c r="P55" i="4" s="1"/>
  <c r="P56" i="3"/>
  <c r="R56" i="3" s="1"/>
  <c r="P57" i="3"/>
  <c r="R57" i="3" s="1"/>
  <c r="S50" i="3"/>
  <c r="X47" i="1"/>
  <c r="X48" i="5"/>
  <c r="X49" i="5" s="1"/>
  <c r="P49" i="5"/>
  <c r="P55" i="5" s="1"/>
  <c r="U47" i="2"/>
  <c r="P57" i="4"/>
  <c r="R57" i="4" s="1"/>
  <c r="R50" i="4"/>
  <c r="R50" i="6"/>
  <c r="P57" i="6"/>
  <c r="R57" i="6" s="1"/>
  <c r="X48" i="3"/>
  <c r="X49" i="3" s="1"/>
  <c r="P49" i="3"/>
  <c r="P55" i="3" s="1"/>
  <c r="U48" i="6"/>
  <c r="U49" i="6" s="1"/>
  <c r="AB53" i="6" s="1"/>
  <c r="P49" i="6"/>
  <c r="P55" i="6" s="1"/>
  <c r="Z48" i="1"/>
  <c r="U48" i="1"/>
  <c r="U49" i="1" s="1"/>
  <c r="Q48" i="1"/>
  <c r="Q49" i="1" s="1"/>
  <c r="T48" i="1"/>
  <c r="T49" i="1" s="1"/>
  <c r="P48" i="1"/>
  <c r="R48" i="1"/>
  <c r="R49" i="1" s="1"/>
  <c r="V48" i="1"/>
  <c r="V49" i="1" s="1"/>
  <c r="W48" i="1"/>
  <c r="W49" i="1" s="1"/>
  <c r="P59" i="1" s="1"/>
  <c r="R59" i="1" s="1"/>
  <c r="S48" i="1"/>
  <c r="S49" i="1" s="1"/>
  <c r="P56" i="5"/>
  <c r="R56" i="5" s="1"/>
  <c r="S50" i="5"/>
  <c r="P57" i="5"/>
  <c r="R57" i="5" s="1"/>
  <c r="W48" i="2"/>
  <c r="R48" i="2"/>
  <c r="R49" i="2" s="1"/>
  <c r="Q48" i="2"/>
  <c r="Q49" i="2" s="1"/>
  <c r="P56" i="2" s="1"/>
  <c r="R56" i="2" s="1"/>
  <c r="T48" i="2"/>
  <c r="T49" i="2" s="1"/>
  <c r="P58" i="2" s="1"/>
  <c r="R58" i="2" s="1"/>
  <c r="S48" i="2"/>
  <c r="S49" i="2" s="1"/>
  <c r="P48" i="2"/>
  <c r="AI53" i="5" l="1"/>
  <c r="AD68" i="5"/>
  <c r="AI53" i="3"/>
  <c r="AD68" i="3"/>
  <c r="P58" i="1"/>
  <c r="R58" i="1" s="1"/>
  <c r="U48" i="2"/>
  <c r="U49" i="2" s="1"/>
  <c r="AB53" i="2" s="1"/>
  <c r="P49" i="2"/>
  <c r="P55" i="2" s="1"/>
  <c r="R50" i="2"/>
  <c r="P57" i="2"/>
  <c r="R57" i="2" s="1"/>
  <c r="AI38" i="5"/>
  <c r="AD38" i="5"/>
  <c r="B2" i="5"/>
  <c r="B3" i="5" s="1"/>
  <c r="AD53" i="5"/>
  <c r="AI23" i="5"/>
  <c r="AD23" i="5"/>
  <c r="P57" i="1"/>
  <c r="R57" i="1" s="1"/>
  <c r="S50" i="1"/>
  <c r="X48" i="1"/>
  <c r="X49" i="1" s="1"/>
  <c r="P49" i="1"/>
  <c r="P55" i="1" s="1"/>
  <c r="AD38" i="3"/>
  <c r="B2" i="3"/>
  <c r="B3" i="3" s="1"/>
  <c r="AI23" i="3"/>
  <c r="AI38" i="3"/>
  <c r="AD53" i="3"/>
  <c r="AD23" i="3"/>
  <c r="R55" i="4"/>
  <c r="R60" i="4" s="1"/>
  <c r="P60" i="4"/>
  <c r="P60" i="6"/>
  <c r="R55" i="6"/>
  <c r="R60" i="6" s="1"/>
  <c r="AB23" i="4"/>
  <c r="AG38" i="4"/>
  <c r="AB38" i="4"/>
  <c r="AG23" i="4"/>
  <c r="B2" i="4"/>
  <c r="B3" i="4" s="1"/>
  <c r="R55" i="3"/>
  <c r="R60" i="3" s="1"/>
  <c r="P60" i="3"/>
  <c r="P56" i="1"/>
  <c r="R56" i="1" s="1"/>
  <c r="AB38" i="6"/>
  <c r="AG38" i="6"/>
  <c r="B2" i="6"/>
  <c r="B3" i="6" s="1"/>
  <c r="AG23" i="6"/>
  <c r="AB23" i="6"/>
  <c r="R55" i="5"/>
  <c r="R60" i="5" s="1"/>
  <c r="P60" i="5"/>
  <c r="AI53" i="1" l="1"/>
  <c r="AD68" i="1"/>
  <c r="P60" i="1"/>
  <c r="R55" i="1"/>
  <c r="R60" i="1" s="1"/>
  <c r="R55" i="2"/>
  <c r="R60" i="2" s="1"/>
  <c r="P60" i="2"/>
  <c r="AD53" i="1"/>
  <c r="AI38" i="1"/>
  <c r="AD23" i="1"/>
  <c r="AI23" i="1"/>
  <c r="AD38" i="1"/>
  <c r="B2" i="1"/>
  <c r="B3" i="1" s="1"/>
  <c r="AB38" i="2"/>
  <c r="AG23" i="2"/>
  <c r="AG38" i="2"/>
  <c r="AB23" i="2"/>
  <c r="B2" i="2"/>
  <c r="B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ID#AAABKUq-v7c
tc={D4CEFC3C-7325-4E34-A64D-30E52256CE03}    (2024-04-15 04:38:46)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ID#AAABKUq-v7w
tc={928E7189-DF96-4AF8-901E-1C3117C12B69}    (2024-04-15 04:38:46)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ID#AAABKUK_jec
tc={928E7189-DF96-4AF9-901E-1C3117C12B69}    (2024-04-15 04:38:46)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ID#AAABKUK-woI
tc={BEE3DC45-D192-48E4-B051-DA830092375D}    (2024-04-15 04:38:46)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ID#AAABKUq-v74
tc={E41ACF69-01B3-4294-ABBC-3CDD6864AE75}    (2024-04-15 04:38:46)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ID#AAABKUq-v78
tc={F2DB11B4-C1EA-4124-BA56-5F48EB7330B3}    (2024-04-15 04:38:46)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ID#AAABKUq-v64
tc={2DCAF1B8-77AA-42A4-BD93-796085497E3A}    (2024-04-15 04:38:46)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ID#AAABKUq-v6o
tc={385EEFF5-A841-4ED6-BE90-80A2C1B646C9}    (2024-04-15 04:38:46)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J1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ID#AAABKUq-v7k
Muhammad Indra al Irsyad    (2024-04-15 04:38:46)
Awalnya 15 tahun berbeda dengan Indo</t>
        </r>
      </text>
    </comment>
    <comment ref="F23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======
ID#AAABKUK-wn0
tc={4864E3F9-0560-4288-92E6-9293BC3416B9}    (2024-04-15 04:38:46)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ID#AAABKUK-woc
tc={004D7F3F-C5C1-4610-A019-7D9E4061B6F1}    (2024-04-15 04:38:46)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A48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ID#AAABKUK_jd8
Muhammad Indra al Irsyad    (2024-04-15 04:38:46)
Tidak ada di exls filipina awalnya</t>
        </r>
      </text>
    </comment>
    <comment ref="B4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ID#AAABKUq-v6s
tc={C56CAB35-0F73-4DA9-9E08-15FB1529777D}    (2024-04-15 04:38:46)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mJNicbqF6Dv/P0eBB49vBMPdk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ID#AAABKUK-woA
tc={BEE3DC45-D192-48E5-B051-DA830092375D}    (2024-04-15 04:38:46)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ID#AAABKUK_jeQ
tc={4BD253BF-E60D-4120-AC80-6B6E48D44958}    (2024-04-15 04:38:46)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ID#AAABKUq-v7s
tc={77B17157-C3AD-4030-BF80-592F4257269E}    (2024-04-15 04:38:46)
[Threaded comment]
Your version of Excel allows you to read this threaded comment; however, any edits to it will get removed if the file is opened in a newer version of Excel. Learn more: https://go.microsoft.com/fwlink/?linkid=870924
Comment:
    B20</t>
        </r>
      </text>
    </comment>
    <comment ref="B16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ID#AAABKUq-v68
tc={9A9FA5CC-E227-4B66-AD09-B395DB19CBD4}    (2024-04-15 04:38:46)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ID#AAABKUK-woE
tc={7833DF23-FE90-4F19-9FD0-611220B2E488}    (2024-04-15 04:38:46)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ID#AAABKUK_jek
tc={004D7F3F-C5C1-4611-A019-7D9E4061B6F1}    (2024-04-15 04:38:46)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JlGHlUvW9zK2j2W0qu8TQbuMS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ID#AAABKUK_jeU
tc={D4CEFC3C-7325-4E34-A64D-30E52256CE03}    (2024-04-15 04:38:46)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ID#AAABKUq-v7g
tc={928E7189-DF96-4AF8-901E-1C3117C12B69}    (2024-04-15 04:38:46)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ID#AAABKUK_jeM
tc={928E7189-DF96-4AF9-901E-1C3117C12B69}    (2024-04-15 04:38:46)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ID#AAABKUq-v70
tc={C5F12A2D-344B-4775-85DF-E6C2AAFBA7A6}    (2024-04-15 04:38:46)
[Threaded comment]
Your version of Excel allows you to read this threaded comment; however, any edits to it will get removed if the file is opened in a newer version of Excel. Learn more: https://go.microsoft.com/fwlink/?linkid=870924
Comment:
    Harga = IN</t>
        </r>
      </text>
    </comment>
    <comment ref="Q9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ID#AAABKUq-v6k
tc={BEE3DC45-D192-48E4-B051-DA830092375D}    (2024-04-15 04:38:46)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ID#AAABKUq-v7o
tc={E41ACF69-01B3-4294-ABBC-3CDD6864AE75}    (2024-04-15 04:38:46)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ID#AAABKUK_jeg
tc={E992383A-DDF7-479A-807A-377CA4907051}    (2024-04-15 04:38:46)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3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ID#AAABKUK_jeI
tc={E992383A-DDF7-479A-807A-377CA4907051}    (2024-04-15 04:38:46)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4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ID#AAABKUq-v6U
tc={385EEFF5-A841-4ED6-BE90-80A2C1B646C9}    (2024-04-15 04:38:46)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J14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ID#AAABKUq-v6c
Muhammad Indra al Irsyad    (2024-04-15 04:38:46)
Awalnya 15 tahun berbeda dengan Indo</t>
        </r>
      </text>
    </comment>
    <comment ref="F23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======
ID#AAABKUK-wn8
tc={4864E3F9-0560-4288-92E6-9293BC3416B9}    (2024-04-15 04:38:46)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ID#AAABKUK_jew
tc={004D7F3F-C5C1-4610-A019-7D9E4061B6F1}    (2024-04-15 04:38:46)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A48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======
ID#AAABKUK-wno
Muhammad Indra al Irsyad    (2024-04-15 04:38:46)
Tidak ada di exls filipina awalnya</t>
        </r>
      </text>
    </comment>
    <comment ref="B48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======
ID#AAABKUK-woQ
tc={C56CAB35-0F73-4DA9-9E08-15FB1529777D}    (2024-04-15 04:38:46)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VjMibUEIho2rfEHae4HCts+r/3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ID#AAABKUK-woM
tc={BEE3DC45-D192-48E5-B051-DA830092375D}    (2024-04-15 04:38:46)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ID#AAABKUq-v7E
tc={4BD253BF-E60D-4120-AC80-6B6E48D44958}    (2024-04-15 04:38:46)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3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ID#AAABKUK-wnw
tc={77B17157-C3AD-4030-BF80-592F4257269E}    (2024-04-15 04:38:46)
[Threaded comment]
Your version of Excel allows you to read this threaded comment; however, any edits to it will get removed if the file is opened in a newer version of Excel. Learn more: https://go.microsoft.com/fwlink/?linkid=870924
Comment:
    B20</t>
        </r>
      </text>
    </comment>
    <comment ref="B16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ID#AAABKUK-woU
tc={9A9FA5CC-E227-4B66-AD09-B395DB19CBD4}    (2024-04-15 04:38:46)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ID#AAABKUq-v7U
tc={7833DF23-FE90-4F19-9FD0-611220B2E488}    (2024-04-15 04:38:46)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ID#AAABKUK_jeY
tc={004D7F3F-C5C1-4611-A019-7D9E4061B6F1}    (2024-04-15 04:38:46)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bRL4FEKJdm8iBP2F6qvK9TyeYQ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ID#AAABKUK_jeo
tc={D4CEFC3C-7325-4E34-A64D-30E52256CE03}    (2024-04-15 04:38:46)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ID#AAABKUK-wn4
tc={928E7189-DF96-4AF8-901E-1C3117C12B69}    (2024-04-15 04:38:46)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ID#AAABKUq-v7I
tc={928E7189-DF96-4AF9-901E-1C3117C12B69}    (2024-04-15 04:38:46)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ID#AAABKUq-v6Q
tc={F931D80F-7891-4E77-9CF4-3A609D211126}    (2024-04-15 04:38:46)
[Threaded comment]
Your version of Excel allows you to read this threaded comment; however, any edits to it will get removed if the file is opened in a newer version of Excel. Learn more: https://go.microsoft.com/fwlink/?linkid=870924
Comment:
    Harga = IN</t>
        </r>
      </text>
    </comment>
    <comment ref="Q9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ID#AAABKUq-v7Y
tc={BEE3DC45-D192-48E4-B051-DA830092375D}    (2024-04-15 04:38:46)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ID#AAABKUK-woY
tc={E41ACF69-01B3-4294-ABBC-3CDD6864AE75}    (2024-04-15 04:38:46)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>======
ID#AAABKUK-wnk
tc={F2DB11B4-C1EA-4124-BA56-5F48EB7330B3}    (2024-04-15 04:38:46)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3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ID#AAABKUq-v7M
tc={B2B24BBB-7E52-433A-890B-655E2443D1DC}    (2024-04-15 04:38:46)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4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ID#AAABKUq-v6w
tc={385EEFF5-A841-4ED6-BE90-80A2C1B646C9}    (2024-04-15 04:38:46)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J1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ID#AAABKUq-v7Q
Muhammad Indra al Irsyad    (2024-04-15 04:38:46)
Awalnya 15 tahun berbeda dengan Indo</t>
        </r>
      </text>
    </comment>
    <comment ref="F23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ID#AAABKUK_je0
tc={4864E3F9-0560-4288-92E6-9293BC3416B9}    (2024-04-15 04:38:46)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ID#AAABKUK_jeA
tc={004D7F3F-C5C1-4610-A019-7D9E4061B6F1}    (2024-04-15 04:38:46)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A48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ID#AAABKUq-v6Y
Muhammad Indra al Irsyad    (2024-04-15 04:38:46)
Tidak ada di exls filipina awalnya</t>
        </r>
      </text>
    </comment>
    <comment ref="B48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ID#AAABKUq-v60
tc={C56CAB35-0F73-4DA9-9E08-15FB1529777D}    (2024-04-15 04:38:46)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IJeoiDjLcify2FyaW5CLKZbTI7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ID#AAABKUq-v7A
tc={BEE3DC45-D192-48E5-B051-DA830092375D}    (2024-04-15 04:38:46)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ID#AAABKUq-v6M
tc={3B0670CF-17C8-4B34-9A71-0D42C30D4D07}    (2024-04-15 04:38:46)
[Threaded comment]
Your version of Excel allows you to read this threaded comment; however, any edits to it will get removed if the file is opened in a newer version of Excel. Learn more: https://go.microsoft.com/fwlink/?linkid=870924
Comment:
    https://www.autofun.co.id/mobil/dfsk/gelora/konsumsi-bahan-bakar</t>
        </r>
      </text>
    </comment>
    <comment ref="F12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ID#AAABKUK_jeE
tc={4BD253BF-E60D-4120-AC80-6B6E48D44958}    (2024-04-15 04:38:46)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3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ID#AAABKUK_jes
tc={462232AD-0A2C-4323-9855-0C99F8D58009}    (2024-04-15 04:38:46)
[Threaded comment]
Your version of Excel allows you to read this threaded comment; however, any edits to it will get removed if the file is opened in a newer version of Excel. Learn more: https://go.microsoft.com/fwlink/?linkid=870924
Comment:
    Gasoline</t>
        </r>
      </text>
    </comment>
    <comment ref="B16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ID#AAABKUK-wns
tc={9A9FA5CC-E227-4B66-AD09-B395DB19CBD4}    (2024-04-15 04:38:46)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ID#AAABKUq-v6g
tc={7833DF23-FE90-4F19-9FD0-611220B2E488}    (2024-04-15 04:38:46)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ID#AAABKUK_je4
tc={004D7F3F-C5C1-4611-A019-7D9E4061B6F1}    (2024-04-15 04:38:46)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9oS/HVWlSselN29RRqQfriIoWjQ=="/>
    </ext>
  </extLst>
</comments>
</file>

<file path=xl/sharedStrings.xml><?xml version="1.0" encoding="utf-8"?>
<sst xmlns="http://schemas.openxmlformats.org/spreadsheetml/2006/main" count="1511" uniqueCount="202">
  <si>
    <t>Country name</t>
  </si>
  <si>
    <t>Philippines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</si>
  <si>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</si>
  <si>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</si>
  <si>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</si>
  <si>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</si>
  <si>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</si>
  <si>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</si>
  <si>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</si>
  <si>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</si>
  <si>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</si>
  <si>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</si>
  <si>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</si>
  <si>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</si>
  <si>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</si>
  <si>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</si>
  <si>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</si>
  <si>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</si>
  <si>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</si>
  <si>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Taxes (US$)</t>
  </si>
  <si>
    <t>Battery replacement costs (US$)</t>
  </si>
  <si>
    <t>Battery leasing costs (US$)</t>
  </si>
  <si>
    <t>Resale Value (US$)</t>
  </si>
  <si>
    <t>TCO (US$)</t>
  </si>
  <si>
    <t>Vehicle values (US$) for tax calculation</t>
  </si>
  <si>
    <t>Please copy paste following values (values only) to the formula value if there is update/ differences with reference values in tables</t>
  </si>
  <si>
    <t>Exchange rate</t>
  </si>
  <si>
    <t>PHP/US$</t>
  </si>
  <si>
    <t>Vehicle price</t>
  </si>
  <si>
    <t>PHP</t>
  </si>
  <si>
    <t>Electricity tariff</t>
  </si>
  <si>
    <t>US$/kWh</t>
  </si>
  <si>
    <t>Weight</t>
  </si>
  <si>
    <t>kg</t>
  </si>
  <si>
    <t>Battery cost</t>
  </si>
  <si>
    <t>One-time Costs</t>
  </si>
  <si>
    <t>Related to Yearly Costs</t>
  </si>
  <si>
    <t>Battery cost unit</t>
  </si>
  <si>
    <t>%</t>
  </si>
  <si>
    <t>Discount rate</t>
  </si>
  <si>
    <t>Battery capacity</t>
  </si>
  <si>
    <t>kWh</t>
  </si>
  <si>
    <t>Annual kilometres travelled (AKT)</t>
  </si>
  <si>
    <t>km/year</t>
  </si>
  <si>
    <t>Retail discount</t>
  </si>
  <si>
    <t>Annual kilometres traveled (AKT)</t>
  </si>
  <si>
    <t>Battery lifecycle</t>
  </si>
  <si>
    <t>cycles</t>
  </si>
  <si>
    <t>Other O&amp;M costs</t>
  </si>
  <si>
    <t>US$/year</t>
  </si>
  <si>
    <t>VAT</t>
  </si>
  <si>
    <t>PHP/kWh</t>
  </si>
  <si>
    <t>Battery range</t>
  </si>
  <si>
    <t>km/cycle</t>
  </si>
  <si>
    <t>Income tax</t>
  </si>
  <si>
    <t>Electricity tariff growth</t>
  </si>
  <si>
    <t>%/year</t>
  </si>
  <si>
    <t>Vehicle lifespan</t>
  </si>
  <si>
    <t>years</t>
  </si>
  <si>
    <t>Import tariff</t>
  </si>
  <si>
    <t>Battery leasing cost</t>
  </si>
  <si>
    <t>PHP/year</t>
  </si>
  <si>
    <t>SOC</t>
  </si>
  <si>
    <t>Registration Fee</t>
  </si>
  <si>
    <t>Emission test costs</t>
  </si>
  <si>
    <t>Vehicle Depreciation</t>
  </si>
  <si>
    <t>%/ year</t>
  </si>
  <si>
    <t>Technical control cost unit</t>
  </si>
  <si>
    <t>Battery Depreciation</t>
  </si>
  <si>
    <t>Annual tax coffecient</t>
  </si>
  <si>
    <t>Electricity consumption</t>
  </si>
  <si>
    <t>kWh/km</t>
  </si>
  <si>
    <t>Transfer fee</t>
  </si>
  <si>
    <t>Road insurance</t>
  </si>
  <si>
    <t>Initial/Surcharge Charging Cost</t>
  </si>
  <si>
    <t>PHP/times</t>
  </si>
  <si>
    <t>PHP/km</t>
  </si>
  <si>
    <t>Financing costs</t>
  </si>
  <si>
    <t>Relative change (%)</t>
  </si>
  <si>
    <t>Electricity tariff (US$/kWh)</t>
  </si>
  <si>
    <t>TCO changes (%)</t>
  </si>
  <si>
    <t>Vehicle price (US$)</t>
  </si>
  <si>
    <t>Interest rate (flat)</t>
  </si>
  <si>
    <t>Loan length</t>
  </si>
  <si>
    <t>Reference value</t>
  </si>
  <si>
    <t>Tax discount for special vehicle</t>
  </si>
  <si>
    <t>Downpayment</t>
  </si>
  <si>
    <t>% of capital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</si>
  <si>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</si>
  <si>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</si>
  <si>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</si>
  <si>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</si>
  <si>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</si>
  <si>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</si>
  <si>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</si>
  <si>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</si>
  <si>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</si>
  <si>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</si>
  <si>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</si>
  <si>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Annual kilometres travelled</t>
  </si>
  <si>
    <t>Charging cost</t>
  </si>
  <si>
    <t>Yearly Operational Cost</t>
  </si>
  <si>
    <t>Battery cost (US$)</t>
  </si>
  <si>
    <t>AKT (km/year)</t>
  </si>
  <si>
    <t>Electricity cost per km</t>
  </si>
  <si>
    <t>Technical control cost</t>
  </si>
  <si>
    <t>Yearly charging surcharge cost</t>
  </si>
  <si>
    <t>Yearly charging cost</t>
  </si>
  <si>
    <t>Capital cost</t>
  </si>
  <si>
    <t>Base Annual Tax</t>
  </si>
  <si>
    <t>Battery price</t>
  </si>
  <si>
    <t>Annual tax</t>
  </si>
  <si>
    <t>Vehicle price + import levy</t>
  </si>
  <si>
    <t>Battery Price + import levy</t>
  </si>
  <si>
    <t xml:space="preserve">   CIF (Cost, Insurance, Freight)</t>
  </si>
  <si>
    <t>Total</t>
  </si>
  <si>
    <t>Vehicle Price+taxes</t>
  </si>
  <si>
    <t>Other O&amp;M costs (US$)</t>
  </si>
  <si>
    <t>Cost component</t>
  </si>
  <si>
    <t>Capital costs</t>
  </si>
  <si>
    <t>Yearly Cost + Taxes</t>
  </si>
  <si>
    <t>Battery costs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</si>
  <si>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</si>
  <si>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</si>
  <si>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</si>
  <si>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</si>
  <si>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</si>
  <si>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</si>
  <si>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</si>
  <si>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PHP/liter</t>
  </si>
  <si>
    <t>Fuel price growth</t>
  </si>
  <si>
    <t>Annual tax coefficient</t>
  </si>
  <si>
    <t xml:space="preserve">   Transfer Fee</t>
  </si>
  <si>
    <t>Fuel price (US$/L)</t>
  </si>
  <si>
    <t>Formula value</t>
  </si>
  <si>
    <t>Operating Cost</t>
  </si>
  <si>
    <t>Other O&amp;M costs (US$/L)</t>
  </si>
  <si>
    <t>Yearly fuel cost</t>
  </si>
  <si>
    <t>Base Yearly Annual Tax</t>
  </si>
  <si>
    <t>Vehicle price + taxes/costs</t>
  </si>
  <si>
    <t>Electric Bus</t>
  </si>
  <si>
    <t>cycle</t>
  </si>
  <si>
    <t>Variables</t>
  </si>
  <si>
    <t>Country</t>
  </si>
  <si>
    <t>Descriptions</t>
  </si>
  <si>
    <t>All</t>
  </si>
  <si>
    <t>Basis of Taxation</t>
  </si>
  <si>
    <t>ID</t>
  </si>
  <si>
    <t>Dasar Pengenaan Pajak</t>
  </si>
  <si>
    <t>Prefential Additional Registration Fee  (PARF) Benefits</t>
  </si>
  <si>
    <t>SG</t>
  </si>
  <si>
    <t>One time tax</t>
  </si>
  <si>
    <t>Government Premium</t>
  </si>
  <si>
    <t>Resale Value</t>
  </si>
  <si>
    <t>Battery Leasing?</t>
  </si>
  <si>
    <t>Yes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</si>
  <si>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</si>
  <si>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</si>
  <si>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</si>
  <si>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</si>
  <si>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</si>
  <si>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</si>
  <si>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</si>
  <si>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</si>
  <si>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</si>
  <si>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</si>
  <si>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</si>
  <si>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</si>
  <si>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</si>
  <si>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</si>
  <si>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travelled (km)</t>
  </si>
  <si>
    <t>Mininum Kilometres traveled</t>
  </si>
  <si>
    <t>Incentive</t>
  </si>
  <si>
    <t>Incentive &amp; discount</t>
  </si>
  <si>
    <t>Net vehicle price</t>
  </si>
  <si>
    <t>Diesel price per L</t>
  </si>
  <si>
    <t>Diesel cost per km</t>
  </si>
  <si>
    <t>Diesel price</t>
  </si>
  <si>
    <t>Gasoline price per L</t>
  </si>
  <si>
    <t>Gasoline cost per km</t>
  </si>
  <si>
    <t>Gasoline price</t>
  </si>
  <si>
    <t>Certified Entiltment Cost</t>
  </si>
  <si>
    <t>Administration fee</t>
  </si>
  <si>
    <t xml:space="preserve">    Administration fee</t>
  </si>
  <si>
    <t xml:space="preserve">  Administration fee Cost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</si>
  <si>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</si>
  <si>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</si>
  <si>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</si>
  <si>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</si>
  <si>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</si>
  <si>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</si>
  <si>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</si>
  <si>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</si>
  <si>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</si>
  <si>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E-cargo</t>
  </si>
  <si>
    <t>ICE-cargo</t>
  </si>
  <si>
    <t>Fuel Price</t>
  </si>
  <si>
    <t>PHILIPPINE</t>
  </si>
  <si>
    <t>Energy Efficiency</t>
  </si>
  <si>
    <t>Manufacturer’s Recommended Retail Price (MRRP)</t>
  </si>
  <si>
    <t>∆TCO (%)</t>
  </si>
  <si>
    <t>∆Parameter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</si>
</sst>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_-;\-* #,##0_-;_-* &quot;-&quot;??_-;_-@"/>
    <numFmt numFmtId="165" formatCode="_(* #,##0_);_(* \(#,##0\);_(* &quot;-&quot;??_);_(@_)"/>
    <numFmt numFmtId="166" formatCode="_-* #,##0_-;\-* #,##0_-;_-* &quot;-&quot;_-;_-@"/>
    <numFmt numFmtId="167" formatCode="_-* #,##0.0_-;\-* #,##0.0_-;_-* &quot;-&quot;_-;_-@"/>
    <numFmt numFmtId="168" formatCode="_-* #,##0.0000_-;\-* #,##0.0000_-;_-* &quot;-&quot;_-;_-@"/>
    <numFmt numFmtId="169" formatCode="_-* #,##0.00_-;\-* #,##0.00_-;_-* &quot;-&quot;??_-;_-@"/>
    <numFmt numFmtId="170" formatCode="_-* #,##0.00_-;\-* #,##0.00_-;_-* &quot;-&quot;_-;_-@"/>
    <numFmt numFmtId="171" formatCode="_-* #,##0.0_-;\-* #,##0.0_-;_-* &quot;-&quot;??_-;_-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1"/>
  </cellStyleXfs>
  <cellXfs count="97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/>
    <xf numFmtId="2" fontId="3" fillId="2" borderId="1" xfId="0" applyNumberFormat="1" applyFont="1" applyFill="1" applyBorder="1"/>
    <xf numFmtId="165" fontId="4" fillId="2" borderId="1" xfId="0" applyNumberFormat="1" applyFont="1" applyFill="1" applyBorder="1"/>
    <xf numFmtId="166" fontId="4" fillId="2" borderId="1" xfId="0" applyNumberFormat="1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167" fontId="4" fillId="2" borderId="1" xfId="0" applyNumberFormat="1" applyFont="1" applyFill="1" applyBorder="1"/>
    <xf numFmtId="0" fontId="4" fillId="2" borderId="6" xfId="0" applyFont="1" applyFill="1" applyBorder="1"/>
    <xf numFmtId="0" fontId="4" fillId="2" borderId="1" xfId="0" applyFont="1" applyFill="1" applyBorder="1" applyAlignment="1">
      <alignment horizontal="left"/>
    </xf>
    <xf numFmtId="164" fontId="4" fillId="3" borderId="1" xfId="0" applyNumberFormat="1" applyFont="1" applyFill="1" applyBorder="1"/>
    <xf numFmtId="164" fontId="3" fillId="3" borderId="1" xfId="0" applyNumberFormat="1" applyFont="1" applyFill="1" applyBorder="1"/>
    <xf numFmtId="168" fontId="4" fillId="2" borderId="1" xfId="0" applyNumberFormat="1" applyFont="1" applyFill="1" applyBorder="1"/>
    <xf numFmtId="169" fontId="4" fillId="2" borderId="1" xfId="0" applyNumberFormat="1" applyFont="1" applyFill="1" applyBorder="1"/>
    <xf numFmtId="166" fontId="4" fillId="3" borderId="1" xfId="0" applyNumberFormat="1" applyFont="1" applyFill="1" applyBorder="1"/>
    <xf numFmtId="170" fontId="4" fillId="3" borderId="1" xfId="0" applyNumberFormat="1" applyFont="1" applyFill="1" applyBorder="1"/>
    <xf numFmtId="0" fontId="3" fillId="2" borderId="5" xfId="0" applyFont="1" applyFill="1" applyBorder="1"/>
    <xf numFmtId="164" fontId="4" fillId="2" borderId="1" xfId="0" applyNumberFormat="1" applyFont="1" applyFill="1" applyBorder="1"/>
    <xf numFmtId="0" fontId="4" fillId="2" borderId="5" xfId="0" applyFont="1" applyFill="1" applyBorder="1" applyAlignment="1">
      <alignment horizontal="left"/>
    </xf>
    <xf numFmtId="0" fontId="5" fillId="0" borderId="0" xfId="0" applyFont="1"/>
    <xf numFmtId="170" fontId="4" fillId="2" borderId="1" xfId="0" applyNumberFormat="1" applyFont="1" applyFill="1" applyBorder="1"/>
    <xf numFmtId="0" fontId="4" fillId="0" borderId="0" xfId="0" applyFont="1"/>
    <xf numFmtId="0" fontId="3" fillId="4" borderId="1" xfId="0" applyFont="1" applyFill="1" applyBorder="1"/>
    <xf numFmtId="0" fontId="4" fillId="4" borderId="1" xfId="0" applyFont="1" applyFill="1" applyBorder="1"/>
    <xf numFmtId="0" fontId="6" fillId="2" borderId="1" xfId="0" applyFont="1" applyFill="1" applyBorder="1"/>
    <xf numFmtId="43" fontId="4" fillId="2" borderId="1" xfId="0" applyNumberFormat="1" applyFont="1" applyFill="1" applyBorder="1"/>
    <xf numFmtId="169" fontId="4" fillId="4" borderId="1" xfId="0" applyNumberFormat="1" applyFont="1" applyFill="1" applyBorder="1"/>
    <xf numFmtId="166" fontId="4" fillId="4" borderId="1" xfId="0" applyNumberFormat="1" applyFont="1" applyFill="1" applyBorder="1"/>
    <xf numFmtId="164" fontId="4" fillId="4" borderId="1" xfId="0" applyNumberFormat="1" applyFont="1" applyFill="1" applyBorder="1"/>
    <xf numFmtId="169" fontId="6" fillId="2" borderId="1" xfId="0" applyNumberFormat="1" applyFont="1" applyFill="1" applyBorder="1"/>
    <xf numFmtId="166" fontId="6" fillId="2" borderId="1" xfId="0" applyNumberFormat="1" applyFont="1" applyFill="1" applyBorder="1"/>
    <xf numFmtId="1" fontId="4" fillId="4" borderId="1" xfId="0" applyNumberFormat="1" applyFont="1" applyFill="1" applyBorder="1"/>
    <xf numFmtId="1" fontId="6" fillId="2" borderId="1" xfId="0" applyNumberFormat="1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5" borderId="1" xfId="0" applyFont="1" applyFill="1" applyBorder="1"/>
    <xf numFmtId="169" fontId="4" fillId="5" borderId="1" xfId="0" applyNumberFormat="1" applyFont="1" applyFill="1" applyBorder="1"/>
    <xf numFmtId="166" fontId="4" fillId="5" borderId="1" xfId="0" applyNumberFormat="1" applyFont="1" applyFill="1" applyBorder="1"/>
    <xf numFmtId="1" fontId="4" fillId="5" borderId="1" xfId="0" applyNumberFormat="1" applyFont="1" applyFill="1" applyBorder="1"/>
    <xf numFmtId="164" fontId="4" fillId="5" borderId="1" xfId="0" applyNumberFormat="1" applyFont="1" applyFill="1" applyBorder="1"/>
    <xf numFmtId="166" fontId="4" fillId="2" borderId="3" xfId="0" applyNumberFormat="1" applyFont="1" applyFill="1" applyBorder="1"/>
    <xf numFmtId="170" fontId="3" fillId="2" borderId="1" xfId="0" applyNumberFormat="1" applyFont="1" applyFill="1" applyBorder="1"/>
    <xf numFmtId="2" fontId="4" fillId="2" borderId="1" xfId="0" applyNumberFormat="1" applyFont="1" applyFill="1" applyBorder="1"/>
    <xf numFmtId="169" fontId="3" fillId="2" borderId="1" xfId="0" applyNumberFormat="1" applyFont="1" applyFill="1" applyBorder="1"/>
    <xf numFmtId="0" fontId="4" fillId="0" borderId="10" xfId="0" applyFont="1" applyBorder="1" applyAlignment="1">
      <alignment horizontal="left"/>
    </xf>
    <xf numFmtId="165" fontId="4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/>
    <xf numFmtId="10" fontId="4" fillId="2" borderId="1" xfId="0" applyNumberFormat="1" applyFont="1" applyFill="1" applyBorder="1"/>
    <xf numFmtId="171" fontId="4" fillId="2" borderId="1" xfId="0" applyNumberFormat="1" applyFont="1" applyFill="1" applyBorder="1"/>
    <xf numFmtId="0" fontId="2" fillId="0" borderId="0" xfId="0" applyFont="1"/>
    <xf numFmtId="0" fontId="8" fillId="6" borderId="0" xfId="0" applyFont="1" applyFill="1"/>
    <xf numFmtId="0" fontId="0" fillId="6" borderId="0" xfId="0" applyFill="1"/>
    <xf numFmtId="0" fontId="4" fillId="7" borderId="6" xfId="0" applyFont="1" applyFill="1" applyBorder="1"/>
    <xf numFmtId="0" fontId="0" fillId="8" borderId="0" xfId="0" applyFill="1"/>
    <xf numFmtId="0" fontId="4" fillId="7" borderId="1" xfId="0" applyFont="1" applyFill="1" applyBorder="1"/>
    <xf numFmtId="166" fontId="4" fillId="2" borderId="8" xfId="0" applyNumberFormat="1" applyFont="1" applyFill="1" applyBorder="1"/>
    <xf numFmtId="165" fontId="4" fillId="2" borderId="1" xfId="1" applyNumberFormat="1" applyFont="1" applyFill="1" applyBorder="1"/>
    <xf numFmtId="43" fontId="4" fillId="2" borderId="1" xfId="1" applyFont="1" applyFill="1" applyBorder="1"/>
    <xf numFmtId="0" fontId="2" fillId="9" borderId="0" xfId="0" applyFont="1" applyFill="1"/>
    <xf numFmtId="166" fontId="4" fillId="2" borderId="0" xfId="0" applyNumberFormat="1" applyFont="1" applyFill="1"/>
    <xf numFmtId="164" fontId="4" fillId="10" borderId="1" xfId="0" applyNumberFormat="1" applyFont="1" applyFill="1" applyBorder="1"/>
    <xf numFmtId="1" fontId="4" fillId="10" borderId="1" xfId="0" applyNumberFormat="1" applyFont="1" applyFill="1" applyBorder="1"/>
    <xf numFmtId="0" fontId="9" fillId="0" borderId="1" xfId="2" applyFont="1"/>
    <xf numFmtId="0" fontId="7" fillId="0" borderId="1" xfId="2"/>
    <xf numFmtId="0" fontId="7" fillId="0" borderId="1" xfId="2" applyAlignment="1">
      <alignment wrapText="1"/>
    </xf>
    <xf numFmtId="0" fontId="1" fillId="0" borderId="1" xfId="2" applyFont="1"/>
    <xf numFmtId="0" fontId="8" fillId="11" borderId="1" xfId="2" applyFont="1" applyFill="1" applyAlignment="1">
      <alignment horizontal="center" vertical="center"/>
    </xf>
    <xf numFmtId="0" fontId="8" fillId="11" borderId="1" xfId="2" applyFont="1" applyFill="1" applyAlignment="1">
      <alignment horizontal="center" wrapText="1"/>
    </xf>
    <xf numFmtId="0" fontId="8" fillId="11" borderId="1" xfId="2" applyFont="1" applyFill="1" applyAlignment="1">
      <alignment horizontal="center" vertical="center" wrapText="1"/>
    </xf>
    <xf numFmtId="0" fontId="8" fillId="0" borderId="1" xfId="2" applyFont="1" applyAlignment="1">
      <alignment wrapText="1"/>
    </xf>
    <xf numFmtId="0" fontId="8" fillId="11" borderId="1" xfId="2" applyFont="1" applyFill="1"/>
    <xf numFmtId="1" fontId="7" fillId="9" borderId="1" xfId="2" applyNumberFormat="1" applyFill="1" applyAlignment="1">
      <alignment wrapText="1"/>
    </xf>
    <xf numFmtId="1" fontId="7" fillId="9" borderId="1" xfId="2" applyNumberFormat="1" applyFill="1"/>
    <xf numFmtId="0" fontId="7" fillId="11" borderId="1" xfId="2" applyFill="1"/>
    <xf numFmtId="0" fontId="10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69" fontId="4" fillId="10" borderId="1" xfId="0" applyNumberFormat="1" applyFont="1" applyFill="1" applyBorder="1"/>
    <xf numFmtId="0" fontId="3" fillId="12" borderId="1" xfId="0" applyFont="1" applyFill="1" applyBorder="1"/>
    <xf numFmtId="0" fontId="11" fillId="2" borderId="1" xfId="0" applyFont="1" applyFill="1" applyBorder="1"/>
    <xf numFmtId="170" fontId="11" fillId="2" borderId="1" xfId="0" applyNumberFormat="1" applyFont="1" applyFill="1" applyBorder="1"/>
    <xf numFmtId="0" fontId="8" fillId="11" borderId="1" xfId="2" applyFont="1" applyFill="1" applyAlignment="1">
      <alignment horizontal="center" vertical="center"/>
    </xf>
    <xf numFmtId="0" fontId="8" fillId="11" borderId="1" xfId="2" applyFont="1" applyFill="1" applyAlignment="1">
      <alignment horizontal="center" wrapText="1"/>
    </xf>
    <xf numFmtId="0" fontId="8" fillId="11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1F1B20E0-1057-4A61-A640-58A2DCE60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PH'!$P$55</c:f>
              <c:numCache>
                <c:formatCode>_-* #,##0_-;\-* #,##0_-;_-* "-"??_-;_-@</c:formatCode>
                <c:ptCount val="1"/>
                <c:pt idx="0">
                  <c:v>465510.09942851186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4F5-4DC5-8C8F-EE6FE592FC86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PH'!$P$56</c:f>
              <c:numCache>
                <c:formatCode>_-* #,##0_-;\-* #,##0_-;_-* "-"??_-;_-@</c:formatCode>
                <c:ptCount val="1"/>
                <c:pt idx="0">
                  <c:v>104258.53661645792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4F5-4DC5-8C8F-EE6FE592FC86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PH'!$P$57</c:f>
              <c:numCache>
                <c:formatCode>_-* #,##0_-;\-* #,##0_-;_-* "-"??_-;_-@</c:formatCode>
                <c:ptCount val="1"/>
                <c:pt idx="0">
                  <c:v>135546.5308883359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4F5-4DC5-8C8F-EE6FE592FC86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4F5-4DC5-8C8F-EE6FE592FC86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PH'!$P$59</c:f>
              <c:numCache>
                <c:formatCode>_-* #,##0_-;\-* #,##0_-;_-* "-"??_-;_-@</c:formatCode>
                <c:ptCount val="1"/>
                <c:pt idx="0">
                  <c:v>-85078.887494391165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4F5-4DC5-8C8F-EE6FE592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202073"/>
        <c:axId val="1720655570"/>
      </c:barChart>
      <c:catAx>
        <c:axId val="490202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20655570"/>
        <c:crosses val="autoZero"/>
        <c:auto val="1"/>
        <c:lblAlgn val="ctr"/>
        <c:lblOffset val="100"/>
        <c:noMultiLvlLbl val="1"/>
      </c:catAx>
      <c:valAx>
        <c:axId val="1720655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902020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PH'!$R$55</c:f>
              <c:numCache>
                <c:formatCode>0.00</c:formatCode>
                <c:ptCount val="1"/>
                <c:pt idx="0">
                  <c:v>0.9310201988570237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2D-4E63-8AC1-B84748AA218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PH'!$R$56</c:f>
              <c:numCache>
                <c:formatCode>0.00</c:formatCode>
                <c:ptCount val="1"/>
                <c:pt idx="0">
                  <c:v>0.20851707323291582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E2D-4E63-8AC1-B84748AA218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PH'!$R$57</c:f>
              <c:numCache>
                <c:formatCode>0.00</c:formatCode>
                <c:ptCount val="1"/>
                <c:pt idx="0">
                  <c:v>0.27109306177667181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E2D-4E63-8AC1-B84748AA218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E2D-4E63-8AC1-B84748AA218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PH'!$R$59</c:f>
              <c:numCache>
                <c:formatCode>0.00</c:formatCode>
                <c:ptCount val="1"/>
                <c:pt idx="0">
                  <c:v>-0.17015777498878232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E2D-4E63-8AC1-B84748AA2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126143"/>
        <c:axId val="856898731"/>
      </c:barChart>
      <c:catAx>
        <c:axId val="1980126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56898731"/>
        <c:crosses val="autoZero"/>
        <c:auto val="1"/>
        <c:lblAlgn val="ctr"/>
        <c:lblOffset val="100"/>
        <c:noMultiLvlLbl val="1"/>
      </c:catAx>
      <c:valAx>
        <c:axId val="856898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8012614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PH'!$P$55</c:f>
              <c:numCache>
                <c:formatCode>_-* #,##0_-;\-* #,##0_-;_-* "-"??_-;_-@</c:formatCode>
                <c:ptCount val="1"/>
                <c:pt idx="0">
                  <c:v>187920.18009548678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98-4970-A2AA-8752CC17840F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PH'!$P$56</c:f>
              <c:numCache>
                <c:formatCode>_-* #,##0_-;\-* #,##0_-;_-* "-"??_-;_-@</c:formatCode>
                <c:ptCount val="1"/>
                <c:pt idx="0">
                  <c:v>144650.39502308209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398-4970-A2AA-8752CC17840F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398-4970-A2AA-8752CC17840F}"/>
              </c:ext>
            </c:extLst>
          </c:dPt>
          <c:val>
            <c:numRef>
              <c:f>'ICE-Bus PH'!$P$57</c:f>
              <c:numCache>
                <c:formatCode>_-* #,##0_-;\-* #,##0_-;_-* "-"??_-;_-@</c:formatCode>
                <c:ptCount val="1"/>
                <c:pt idx="0">
                  <c:v>81103.863452345351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398-4970-A2AA-8752CC17840F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PH'!$P$58</c:f>
              <c:numCache>
                <c:formatCode>_-* #,##0_-;\-* #,##0_-;_-* "-"??_-;_-@</c:formatCode>
                <c:ptCount val="1"/>
                <c:pt idx="0">
                  <c:v>-36033.434239764232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6398-4970-A2AA-8752CC178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9218260"/>
        <c:axId val="1105741741"/>
      </c:barChart>
      <c:catAx>
        <c:axId val="1529218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05741741"/>
        <c:crosses val="autoZero"/>
        <c:auto val="1"/>
        <c:lblAlgn val="ctr"/>
        <c:lblOffset val="100"/>
        <c:noMultiLvlLbl val="1"/>
      </c:catAx>
      <c:valAx>
        <c:axId val="1105741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5292182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PH'!$R$55</c:f>
              <c:numCache>
                <c:formatCode>0.00</c:formatCode>
                <c:ptCount val="1"/>
                <c:pt idx="0">
                  <c:v>0.37584036019097355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84-4F00-B31C-10BAA787A8C7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PH'!$R$56</c:f>
              <c:numCache>
                <c:formatCode>0.00</c:formatCode>
                <c:ptCount val="1"/>
                <c:pt idx="0">
                  <c:v>0.28930079004616416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584-4F00-B31C-10BAA787A8C7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PH'!$R$57</c:f>
              <c:numCache>
                <c:formatCode>0.00</c:formatCode>
                <c:ptCount val="1"/>
                <c:pt idx="0">
                  <c:v>0.16220772690469071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584-4F00-B31C-10BAA787A8C7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PH'!$R$58</c:f>
              <c:numCache>
                <c:formatCode>0.00</c:formatCode>
                <c:ptCount val="1"/>
                <c:pt idx="0">
                  <c:v>-7.2066868479528465E-2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584-4F00-B31C-10BAA787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750911"/>
        <c:axId val="1073231587"/>
      </c:barChart>
      <c:catAx>
        <c:axId val="1304750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73231587"/>
        <c:crosses val="autoZero"/>
        <c:auto val="1"/>
        <c:lblAlgn val="ctr"/>
        <c:lblOffset val="100"/>
        <c:noMultiLvlLbl val="1"/>
      </c:catAx>
      <c:valAx>
        <c:axId val="1073231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0475091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PH'!$P$55</c:f>
              <c:numCache>
                <c:formatCode>_-* #,##0_-;\-* #,##0_-;_-* "-"??_-;_-@</c:formatCode>
                <c:ptCount val="1"/>
                <c:pt idx="0">
                  <c:v>94182.568644381827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428-4ED4-9FA2-FD197F5EC9A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PH'!$P$56</c:f>
              <c:numCache>
                <c:formatCode>_-* #,##0_-;\-* #,##0_-;_-* "-"??_-;_-@</c:formatCode>
                <c:ptCount val="1"/>
                <c:pt idx="0">
                  <c:v>20009.214098108088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428-4ED4-9FA2-FD197F5EC9A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PH'!$P$57</c:f>
              <c:numCache>
                <c:formatCode>_-* #,##0_-;\-* #,##0_-;_-* "-"??_-;_-@</c:formatCode>
                <c:ptCount val="1"/>
                <c:pt idx="0">
                  <c:v>23255.908139968567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428-4ED4-9FA2-FD197F5EC9A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PH'!$P$58</c:f>
              <c:numCache>
                <c:formatCode>_-* #,##0_-;\-* #,##0_-;_-* "-"??_-;_-@</c:formatCode>
                <c:ptCount val="1"/>
                <c:pt idx="0">
                  <c:v>19175.899556337088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428-4ED4-9FA2-FD197F5EC9A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PH'!$P$59</c:f>
              <c:numCache>
                <c:formatCode>_-* #,##0_-;\-* #,##0_-;_-* "-"??_-;_-@</c:formatCode>
                <c:ptCount val="1"/>
                <c:pt idx="0">
                  <c:v>-17005.66231281943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428-4ED4-9FA2-FD197F5E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9244514"/>
        <c:axId val="275350131"/>
      </c:barChart>
      <c:catAx>
        <c:axId val="639244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75350131"/>
        <c:crosses val="autoZero"/>
        <c:auto val="1"/>
        <c:lblAlgn val="ctr"/>
        <c:lblOffset val="100"/>
        <c:noMultiLvlLbl val="1"/>
      </c:catAx>
      <c:valAx>
        <c:axId val="275350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392445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PH'!$R$55</c:f>
              <c:numCache>
                <c:formatCode>0.00</c:formatCode>
                <c:ptCount val="1"/>
                <c:pt idx="0">
                  <c:v>0.18836513728876364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BBD-49DC-9F4B-DF1F3D9C87F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PH'!$R$56</c:f>
              <c:numCache>
                <c:formatCode>0.00</c:formatCode>
                <c:ptCount val="1"/>
                <c:pt idx="0">
                  <c:v>4.0018428196216177E-2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BBD-49DC-9F4B-DF1F3D9C87F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PH'!$R$57</c:f>
              <c:numCache>
                <c:formatCode>0.00</c:formatCode>
                <c:ptCount val="1"/>
                <c:pt idx="0">
                  <c:v>4.6511816279937133E-2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BBD-49DC-9F4B-DF1F3D9C87F8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PH'!$R$58</c:f>
              <c:numCache>
                <c:formatCode>0.00</c:formatCode>
                <c:ptCount val="1"/>
                <c:pt idx="0">
                  <c:v>3.8351799112674174E-2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BBD-49DC-9F4B-DF1F3D9C87F8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PH'!$R$59</c:f>
              <c:numCache>
                <c:formatCode>0.00</c:formatCode>
                <c:ptCount val="1"/>
                <c:pt idx="0">
                  <c:v>-3.4011324625638863E-2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BBD-49DC-9F4B-DF1F3D9C8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243308"/>
        <c:axId val="2077025766"/>
      </c:barChart>
      <c:catAx>
        <c:axId val="777243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77025766"/>
        <c:crosses val="autoZero"/>
        <c:auto val="1"/>
        <c:lblAlgn val="ctr"/>
        <c:lblOffset val="100"/>
        <c:noMultiLvlLbl val="1"/>
      </c:catAx>
      <c:valAx>
        <c:axId val="2077025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7772433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PH'!$P$55</c:f>
              <c:numCache>
                <c:formatCode>_-* #,##0_-;\-* #,##0_-;_-* "-"??_-;_-@</c:formatCode>
                <c:ptCount val="1"/>
                <c:pt idx="0">
                  <c:v>17849.815581271854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3EC-46C3-8892-61C1840FEC9F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PH'!$P$56</c:f>
              <c:numCache>
                <c:formatCode>_-* #,##0_-;\-* #,##0_-;_-* "-"??_-;_-@</c:formatCode>
                <c:ptCount val="1"/>
                <c:pt idx="0">
                  <c:v>47232.782048353329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3EC-46C3-8892-61C1840FEC9F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3EC-46C3-8892-61C1840FEC9F}"/>
              </c:ext>
            </c:extLst>
          </c:dPt>
          <c:val>
            <c:numRef>
              <c:f>'ICE-Truck PH'!$P$57</c:f>
              <c:numCache>
                <c:formatCode>_-* #,##0_-;\-* #,##0_-;_-* "-"??_-;_-@</c:formatCode>
                <c:ptCount val="1"/>
                <c:pt idx="0">
                  <c:v>38838.801755124186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3EC-46C3-8892-61C1840FEC9F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PH'!$P$58</c:f>
              <c:numCache>
                <c:formatCode>_-* #,##0_-;\-* #,##0_-;_-* "-"??_-;_-@</c:formatCode>
                <c:ptCount val="1"/>
                <c:pt idx="0">
                  <c:v>-3420.8956556738203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3EC-46C3-8892-61C1840FE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7948589"/>
        <c:axId val="1145076229"/>
      </c:barChart>
      <c:catAx>
        <c:axId val="1887948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45076229"/>
        <c:crosses val="autoZero"/>
        <c:auto val="1"/>
        <c:lblAlgn val="ctr"/>
        <c:lblOffset val="100"/>
        <c:noMultiLvlLbl val="1"/>
      </c:catAx>
      <c:valAx>
        <c:axId val="1145076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8794858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PH'!$R$55</c:f>
              <c:numCache>
                <c:formatCode>0.00</c:formatCode>
                <c:ptCount val="1"/>
                <c:pt idx="0">
                  <c:v>3.569963116254371E-2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257-49B9-AF7A-DE80C7802273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PH'!$R$56</c:f>
              <c:numCache>
                <c:formatCode>0.00</c:formatCode>
                <c:ptCount val="1"/>
                <c:pt idx="0">
                  <c:v>9.4465564096706658E-2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257-49B9-AF7A-DE80C7802273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PH'!$R$57</c:f>
              <c:numCache>
                <c:formatCode>0.00</c:formatCode>
                <c:ptCount val="1"/>
                <c:pt idx="0">
                  <c:v>7.7677603510248369E-2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257-49B9-AF7A-DE80C7802273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PH'!$R$58</c:f>
              <c:numCache>
                <c:formatCode>0.00</c:formatCode>
                <c:ptCount val="1"/>
                <c:pt idx="0">
                  <c:v>-6.8417913113476411E-3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257-49B9-AF7A-DE80C7802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1208288"/>
        <c:axId val="1348681951"/>
      </c:barChart>
      <c:catAx>
        <c:axId val="147120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48681951"/>
        <c:crosses val="autoZero"/>
        <c:auto val="1"/>
        <c:lblAlgn val="ctr"/>
        <c:lblOffset val="100"/>
        <c:noMultiLvlLbl val="1"/>
      </c:catAx>
      <c:valAx>
        <c:axId val="1348681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4712082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PH'!$P$55</c:f>
              <c:numCache>
                <c:formatCode>_-* #,##0_-;\-* #,##0_-;_-* "-"??_-;_-@</c:formatCode>
                <c:ptCount val="1"/>
                <c:pt idx="0">
                  <c:v>29785.06833009985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753-4B48-956B-14C78CEF3963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PH'!$P$56</c:f>
              <c:numCache>
                <c:formatCode>_-* #,##0_-;\-* #,##0_-;_-* "-"??_-;_-@</c:formatCode>
                <c:ptCount val="1"/>
                <c:pt idx="0">
                  <c:v>3589.0211392817032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753-4B48-956B-14C78CEF3963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PH'!$P$57</c:f>
              <c:numCache>
                <c:formatCode>_-* #,##0_-;\-* #,##0_-;_-* "-"??_-;_-@</c:formatCode>
                <c:ptCount val="1"/>
                <c:pt idx="0">
                  <c:v>2357.2779306258262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753-4B48-956B-14C78CEF3963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753-4B48-956B-14C78CEF3963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PH'!$P$59</c:f>
              <c:numCache>
                <c:formatCode>_-* #,##0_-;\-* #,##0_-;_-* "-"??_-;_-@</c:formatCode>
                <c:ptCount val="1"/>
                <c:pt idx="0">
                  <c:v>-5163.7274692533001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753-4B48-956B-14C78CEF3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1754385"/>
        <c:axId val="2093372640"/>
      </c:barChart>
      <c:catAx>
        <c:axId val="981754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93372640"/>
        <c:crosses val="autoZero"/>
        <c:auto val="1"/>
        <c:lblAlgn val="ctr"/>
        <c:lblOffset val="100"/>
        <c:noMultiLvlLbl val="1"/>
      </c:catAx>
      <c:valAx>
        <c:axId val="2093372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8175438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PH'!$R$55</c:f>
              <c:numCache>
                <c:formatCode>0.00</c:formatCode>
                <c:ptCount val="1"/>
                <c:pt idx="0">
                  <c:v>0.24820890275083207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7BE-476E-875C-059AB12405AF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PH'!$R$56</c:f>
              <c:numCache>
                <c:formatCode>0.00</c:formatCode>
                <c:ptCount val="1"/>
                <c:pt idx="0">
                  <c:v>2.9908509494014194E-2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7BE-476E-875C-059AB12405AF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PH'!$R$57</c:f>
              <c:numCache>
                <c:formatCode>0.00</c:formatCode>
                <c:ptCount val="1"/>
                <c:pt idx="0">
                  <c:v>1.9643982755215218E-2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7BE-476E-875C-059AB12405AF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7BE-476E-875C-059AB12405AF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PH'!$R$59</c:f>
              <c:numCache>
                <c:formatCode>0.00</c:formatCode>
                <c:ptCount val="1"/>
                <c:pt idx="0">
                  <c:v>-4.30310622437775E-2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7BE-476E-875C-059AB1240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2346936"/>
        <c:axId val="1349049478"/>
      </c:barChart>
      <c:catAx>
        <c:axId val="212234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49049478"/>
        <c:crosses val="autoZero"/>
        <c:auto val="1"/>
        <c:lblAlgn val="ctr"/>
        <c:lblOffset val="100"/>
        <c:noMultiLvlLbl val="1"/>
      </c:catAx>
      <c:valAx>
        <c:axId val="1349049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12234693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PH'!$P$55</c:f>
              <c:numCache>
                <c:formatCode>_-* #,##0_-;\-* #,##0_-;_-* "-"??_-;_-@</c:formatCode>
                <c:ptCount val="1"/>
                <c:pt idx="0">
                  <c:v>8573.2502441328543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32E-4F20-9E92-955512EFEEF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PH'!$P$56</c:f>
              <c:numCache>
                <c:formatCode>_-* #,##0_-;\-* #,##0_-;_-* "-"??_-;_-@</c:formatCode>
                <c:ptCount val="1"/>
                <c:pt idx="0">
                  <c:v>5910.4973392206348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32E-4F20-9E92-955512EFEEF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532E-4F20-9E92-955512EFEEF0}"/>
              </c:ext>
            </c:extLst>
          </c:dPt>
          <c:val>
            <c:numRef>
              <c:f>'ICE-Cargo PH'!$P$57</c:f>
              <c:numCache>
                <c:formatCode>_-* #,##0_-;\-* #,##0_-;_-* "-"??_-;_-@</c:formatCode>
                <c:ptCount val="1"/>
                <c:pt idx="0">
                  <c:v>3022.4894522344016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32E-4F20-9E92-955512EFEEF0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PH'!$P$58</c:f>
              <c:numCache>
                <c:formatCode>_-* #,##0_-;\-* #,##0_-;_-* "-"??_-;_-@</c:formatCode>
                <c:ptCount val="1"/>
                <c:pt idx="0">
                  <c:v>-1642.0299147234334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532E-4F20-9E92-955512EF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3373950"/>
        <c:axId val="1180687066"/>
      </c:barChart>
      <c:catAx>
        <c:axId val="243373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80687066"/>
        <c:crosses val="autoZero"/>
        <c:auto val="1"/>
        <c:lblAlgn val="ctr"/>
        <c:lblOffset val="100"/>
        <c:noMultiLvlLbl val="1"/>
      </c:catAx>
      <c:valAx>
        <c:axId val="1180687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4337395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PH'!$R$55</c:f>
              <c:numCache>
                <c:formatCode>0.00</c:formatCode>
                <c:ptCount val="1"/>
                <c:pt idx="0">
                  <c:v>7.144375203444045E-2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D16-42F8-BFB1-64F56DEDC6B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PH'!$R$56</c:f>
              <c:numCache>
                <c:formatCode>0.00</c:formatCode>
                <c:ptCount val="1"/>
                <c:pt idx="0">
                  <c:v>4.9254144493505292E-2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D16-42F8-BFB1-64F56DEDC6B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PH'!$R$57</c:f>
              <c:numCache>
                <c:formatCode>0.00</c:formatCode>
                <c:ptCount val="1"/>
                <c:pt idx="0">
                  <c:v>2.5187412101953348E-2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D16-42F8-BFB1-64F56DEDC6B8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PH'!$R$58</c:f>
              <c:numCache>
                <c:formatCode>0.00</c:formatCode>
                <c:ptCount val="1"/>
                <c:pt idx="0">
                  <c:v>-1.3683582622695279E-2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D16-42F8-BFB1-64F56DEDC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540951"/>
        <c:axId val="1461757445"/>
      </c:barChart>
      <c:catAx>
        <c:axId val="882540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461757445"/>
        <c:crosses val="autoZero"/>
        <c:auto val="1"/>
        <c:lblAlgn val="ctr"/>
        <c:lblOffset val="100"/>
        <c:noMultiLvlLbl val="1"/>
      </c:catAx>
      <c:valAx>
        <c:axId val="1461757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8254095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-33.728680087345815</c:v>
                </c:pt>
                <c:pt idx="1">
                  <c:v>-26.982944069876652</c:v>
                </c:pt>
                <c:pt idx="2">
                  <c:v>-20.237208052407496</c:v>
                </c:pt>
                <c:pt idx="3">
                  <c:v>-13.49147203493831</c:v>
                </c:pt>
                <c:pt idx="4">
                  <c:v>-6.7457360174691434</c:v>
                </c:pt>
                <c:pt idx="5">
                  <c:v>0</c:v>
                </c:pt>
                <c:pt idx="6">
                  <c:v>6.7457360174691647</c:v>
                </c:pt>
                <c:pt idx="7">
                  <c:v>13.491472034938329</c:v>
                </c:pt>
                <c:pt idx="8">
                  <c:v>20.237208052407496</c:v>
                </c:pt>
                <c:pt idx="9">
                  <c:v>26.982944069876641</c:v>
                </c:pt>
                <c:pt idx="10">
                  <c:v>33.728680087345822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2-46E8-81A0-ABD6F59B48F7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-7.165703705348589</c:v>
                </c:pt>
                <c:pt idx="1">
                  <c:v>-5.7325629642788885</c:v>
                </c:pt>
                <c:pt idx="2">
                  <c:v>-4.2994222232091452</c:v>
                </c:pt>
                <c:pt idx="3">
                  <c:v>-2.8662814821394234</c:v>
                </c:pt>
                <c:pt idx="4">
                  <c:v>-1.4331407410697012</c:v>
                </c:pt>
                <c:pt idx="5">
                  <c:v>0</c:v>
                </c:pt>
                <c:pt idx="6">
                  <c:v>1.4331407410697428</c:v>
                </c:pt>
                <c:pt idx="7">
                  <c:v>2.8662814821394647</c:v>
                </c:pt>
                <c:pt idx="8">
                  <c:v>4.2994222232092074</c:v>
                </c:pt>
                <c:pt idx="9">
                  <c:v>5.7325629642789293</c:v>
                </c:pt>
                <c:pt idx="10">
                  <c:v>7.1657037053486308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2-46E8-81A0-ABD6F59B48F7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-4.9150442760341404</c:v>
                </c:pt>
                <c:pt idx="1">
                  <c:v>-3.9320354208273165</c:v>
                </c:pt>
                <c:pt idx="2">
                  <c:v>-2.9490265656204717</c:v>
                </c:pt>
                <c:pt idx="3">
                  <c:v>-1.9660177104136687</c:v>
                </c:pt>
                <c:pt idx="4">
                  <c:v>-0.98300885520682391</c:v>
                </c:pt>
                <c:pt idx="5">
                  <c:v>0</c:v>
                </c:pt>
                <c:pt idx="6">
                  <c:v>0.98300885520682391</c:v>
                </c:pt>
                <c:pt idx="7">
                  <c:v>1.9660177104136478</c:v>
                </c:pt>
                <c:pt idx="8">
                  <c:v>2.9490265656204926</c:v>
                </c:pt>
                <c:pt idx="9">
                  <c:v>3.9320354208273165</c:v>
                </c:pt>
                <c:pt idx="10">
                  <c:v>4.9150442760341404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2-46E8-81A0-ABD6F59B48F7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-24.866981448890428</c:v>
                </c:pt>
                <c:pt idx="1">
                  <c:v>-21.558194972675285</c:v>
                </c:pt>
                <c:pt idx="2">
                  <c:v>-14.498856433818666</c:v>
                </c:pt>
                <c:pt idx="3">
                  <c:v>-10.784560559962349</c:v>
                </c:pt>
                <c:pt idx="4">
                  <c:v>-7.6922342759978442</c:v>
                </c:pt>
                <c:pt idx="5">
                  <c:v>0</c:v>
                </c:pt>
                <c:pt idx="6">
                  <c:v>3.0923262839645362</c:v>
                </c:pt>
                <c:pt idx="7">
                  <c:v>6.184652567929052</c:v>
                </c:pt>
                <c:pt idx="8">
                  <c:v>18.487746997846095</c:v>
                </c:pt>
                <c:pt idx="9">
                  <c:v>21.580073281810588</c:v>
                </c:pt>
                <c:pt idx="10">
                  <c:v>24.672399565775084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72-46E8-81A0-ABD6F59B48F7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-8.2959277144739669</c:v>
                </c:pt>
                <c:pt idx="1">
                  <c:v>-6.6367421715791739</c:v>
                </c:pt>
                <c:pt idx="2">
                  <c:v>-4.9775566286844013</c:v>
                </c:pt>
                <c:pt idx="3">
                  <c:v>-3.3183710857895869</c:v>
                </c:pt>
                <c:pt idx="4">
                  <c:v>-1.6591855428947935</c:v>
                </c:pt>
                <c:pt idx="5">
                  <c:v>0</c:v>
                </c:pt>
                <c:pt idx="6">
                  <c:v>1.6591855428948143</c:v>
                </c:pt>
                <c:pt idx="7">
                  <c:v>3.3183710857896078</c:v>
                </c:pt>
                <c:pt idx="8">
                  <c:v>4.9775566286843809</c:v>
                </c:pt>
                <c:pt idx="9">
                  <c:v>6.6367421715791952</c:v>
                </c:pt>
                <c:pt idx="10">
                  <c:v>8.2959277144739882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72-46E8-81A0-ABD6F59B48F7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7.1657037053486308</c:v>
                </c:pt>
                <c:pt idx="1">
                  <c:v>5.7325629642789293</c:v>
                </c:pt>
                <c:pt idx="2">
                  <c:v>4.2994222232092074</c:v>
                </c:pt>
                <c:pt idx="3">
                  <c:v>2.8662814821394647</c:v>
                </c:pt>
                <c:pt idx="4">
                  <c:v>1.4331407410697428</c:v>
                </c:pt>
                <c:pt idx="5">
                  <c:v>0</c:v>
                </c:pt>
                <c:pt idx="6">
                  <c:v>-1.4331407410697012</c:v>
                </c:pt>
                <c:pt idx="7">
                  <c:v>-2.8662814821394234</c:v>
                </c:pt>
                <c:pt idx="8">
                  <c:v>-4.2994222232091452</c:v>
                </c:pt>
                <c:pt idx="9">
                  <c:v>-5.7325629642788885</c:v>
                </c:pt>
                <c:pt idx="10">
                  <c:v>-7.165703705348589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72-46E8-81A0-ABD6F59B4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-37.526835728605462</c:v>
                </c:pt>
                <c:pt idx="1">
                  <c:v>-30.021468582884381</c:v>
                </c:pt>
                <c:pt idx="2">
                  <c:v>-22.516101437163265</c:v>
                </c:pt>
                <c:pt idx="3">
                  <c:v>-15.010734291442185</c:v>
                </c:pt>
                <c:pt idx="4">
                  <c:v>-7.5053671457210731</c:v>
                </c:pt>
                <c:pt idx="5">
                  <c:v>0</c:v>
                </c:pt>
                <c:pt idx="6">
                  <c:v>7.5053671457211104</c:v>
                </c:pt>
                <c:pt idx="7">
                  <c:v>15.010734291442185</c:v>
                </c:pt>
                <c:pt idx="8">
                  <c:v>22.516101437163297</c:v>
                </c:pt>
                <c:pt idx="9">
                  <c:v>30.021468582884385</c:v>
                </c:pt>
                <c:pt idx="10">
                  <c:v>37.526835728605498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8-4BA0-BB08-587C391ACEC5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-8.4047434883020085</c:v>
                </c:pt>
                <c:pt idx="1">
                  <c:v>-6.7237947906416045</c:v>
                </c:pt>
                <c:pt idx="2">
                  <c:v>-5.0428460929811987</c:v>
                </c:pt>
                <c:pt idx="3">
                  <c:v>-3.3618973953207925</c:v>
                </c:pt>
                <c:pt idx="4">
                  <c:v>-1.6809486976603683</c:v>
                </c:pt>
                <c:pt idx="5">
                  <c:v>0</c:v>
                </c:pt>
                <c:pt idx="6">
                  <c:v>1.6809486976604056</c:v>
                </c:pt>
                <c:pt idx="7">
                  <c:v>3.3618973953208489</c:v>
                </c:pt>
                <c:pt idx="8">
                  <c:v>5.0428460929812546</c:v>
                </c:pt>
                <c:pt idx="9">
                  <c:v>6.7237947906416222</c:v>
                </c:pt>
                <c:pt idx="10">
                  <c:v>8.4047434883020653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8-4BA0-BB08-587C391ACEC5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-4.3982742959392294</c:v>
                </c:pt>
                <c:pt idx="1">
                  <c:v>-3.5186194367513912</c:v>
                </c:pt>
                <c:pt idx="2">
                  <c:v>-2.638964577563534</c:v>
                </c:pt>
                <c:pt idx="3">
                  <c:v>-1.7593097183757143</c:v>
                </c:pt>
                <c:pt idx="4">
                  <c:v>-0.87965485918783848</c:v>
                </c:pt>
                <c:pt idx="5">
                  <c:v>0</c:v>
                </c:pt>
                <c:pt idx="6">
                  <c:v>0.87965485918789466</c:v>
                </c:pt>
                <c:pt idx="7">
                  <c:v>1.7593097183757143</c:v>
                </c:pt>
                <c:pt idx="8">
                  <c:v>2.6389645775635526</c:v>
                </c:pt>
                <c:pt idx="9">
                  <c:v>3.5186194367514099</c:v>
                </c:pt>
                <c:pt idx="10">
                  <c:v>4.3982742959392667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8-4BA0-BB08-587C391ACEC5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-19.310651482083109</c:v>
                </c:pt>
                <c:pt idx="1">
                  <c:v>-15.448521185666458</c:v>
                </c:pt>
                <c:pt idx="2">
                  <c:v>-11.586390889249868</c:v>
                </c:pt>
                <c:pt idx="3">
                  <c:v>-7.7242605928332386</c:v>
                </c:pt>
                <c:pt idx="4">
                  <c:v>-3.8621302964166104</c:v>
                </c:pt>
                <c:pt idx="5">
                  <c:v>0</c:v>
                </c:pt>
                <c:pt idx="6">
                  <c:v>3.8621302964166668</c:v>
                </c:pt>
                <c:pt idx="7">
                  <c:v>7.7242605928332955</c:v>
                </c:pt>
                <c:pt idx="8">
                  <c:v>11.586390889249868</c:v>
                </c:pt>
                <c:pt idx="9">
                  <c:v>15.448521185666497</c:v>
                </c:pt>
                <c:pt idx="10">
                  <c:v>19.310651482083145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38-4BA0-BB08-587C391ACEC5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-10.90590799378108</c:v>
                </c:pt>
                <c:pt idx="1">
                  <c:v>-8.7247263950248364</c:v>
                </c:pt>
                <c:pt idx="2">
                  <c:v>-6.5435447962686331</c:v>
                </c:pt>
                <c:pt idx="3">
                  <c:v>-4.362363197512428</c:v>
                </c:pt>
                <c:pt idx="4">
                  <c:v>-2.1811815987562233</c:v>
                </c:pt>
                <c:pt idx="5">
                  <c:v>0</c:v>
                </c:pt>
                <c:pt idx="6">
                  <c:v>2.181181598756242</c:v>
                </c:pt>
                <c:pt idx="7">
                  <c:v>4.3623631975124466</c:v>
                </c:pt>
                <c:pt idx="8">
                  <c:v>6.5435447962686704</c:v>
                </c:pt>
                <c:pt idx="9">
                  <c:v>8.7247263950248932</c:v>
                </c:pt>
                <c:pt idx="10">
                  <c:v>10.905907993781117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38-4BA0-BB08-587C391ACEC5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8.4047434883020653</c:v>
                </c:pt>
                <c:pt idx="1">
                  <c:v>6.7237947906416222</c:v>
                </c:pt>
                <c:pt idx="2">
                  <c:v>5.0428460929812546</c:v>
                </c:pt>
                <c:pt idx="3">
                  <c:v>3.3618973953208489</c:v>
                </c:pt>
                <c:pt idx="4">
                  <c:v>1.6809486976604056</c:v>
                </c:pt>
                <c:pt idx="5">
                  <c:v>0</c:v>
                </c:pt>
                <c:pt idx="6">
                  <c:v>-1.6809486976603683</c:v>
                </c:pt>
                <c:pt idx="7">
                  <c:v>-3.3618973953207925</c:v>
                </c:pt>
                <c:pt idx="8">
                  <c:v>-5.0428460929811987</c:v>
                </c:pt>
                <c:pt idx="9">
                  <c:v>-6.7237947906416045</c:v>
                </c:pt>
                <c:pt idx="10">
                  <c:v>-8.4047434883020085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38-4BA0-BB08-587C391AC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-48.719934541189616</c:v>
                </c:pt>
                <c:pt idx="1">
                  <c:v>-38.975947632951673</c:v>
                </c:pt>
                <c:pt idx="2">
                  <c:v>-29.231960724713762</c:v>
                </c:pt>
                <c:pt idx="3">
                  <c:v>-19.487973816475826</c:v>
                </c:pt>
                <c:pt idx="4">
                  <c:v>-9.7439869082378898</c:v>
                </c:pt>
                <c:pt idx="5">
                  <c:v>0</c:v>
                </c:pt>
                <c:pt idx="6">
                  <c:v>9.743986908237936</c:v>
                </c:pt>
                <c:pt idx="7">
                  <c:v>19.487973816475851</c:v>
                </c:pt>
                <c:pt idx="8">
                  <c:v>29.231960724713762</c:v>
                </c:pt>
                <c:pt idx="9">
                  <c:v>38.975947632951701</c:v>
                </c:pt>
                <c:pt idx="10">
                  <c:v>48.719934541189637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9-4241-AF56-DDAC4D7E93F3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-5.8706219181657762</c:v>
                </c:pt>
                <c:pt idx="1">
                  <c:v>-4.6964975345326447</c:v>
                </c:pt>
                <c:pt idx="2">
                  <c:v>-3.5223731508995133</c:v>
                </c:pt>
                <c:pt idx="3">
                  <c:v>-2.3482487672663104</c:v>
                </c:pt>
                <c:pt idx="4">
                  <c:v>-1.1741243836331314</c:v>
                </c:pt>
                <c:pt idx="5">
                  <c:v>0</c:v>
                </c:pt>
                <c:pt idx="6">
                  <c:v>1.1741243836331552</c:v>
                </c:pt>
                <c:pt idx="7">
                  <c:v>2.3482487672663579</c:v>
                </c:pt>
                <c:pt idx="8">
                  <c:v>3.5223731508994898</c:v>
                </c:pt>
                <c:pt idx="9">
                  <c:v>4.6964975345326208</c:v>
                </c:pt>
                <c:pt idx="10">
                  <c:v>5.8706219181658232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9-4241-AF56-DDAC4D7E93F3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-11.640482598356256</c:v>
                </c:pt>
                <c:pt idx="1">
                  <c:v>-9.3123860786849892</c:v>
                </c:pt>
                <c:pt idx="2">
                  <c:v>-6.9842895590137362</c:v>
                </c:pt>
                <c:pt idx="3">
                  <c:v>-4.6561930393424831</c:v>
                </c:pt>
                <c:pt idx="4">
                  <c:v>-2.3280965196712295</c:v>
                </c:pt>
                <c:pt idx="5">
                  <c:v>0</c:v>
                </c:pt>
                <c:pt idx="6">
                  <c:v>2.3280965196712531</c:v>
                </c:pt>
                <c:pt idx="7">
                  <c:v>4.6561930393425062</c:v>
                </c:pt>
                <c:pt idx="8">
                  <c:v>6.9842895590137717</c:v>
                </c:pt>
                <c:pt idx="9">
                  <c:v>9.3123860786849892</c:v>
                </c:pt>
                <c:pt idx="10">
                  <c:v>11.640482598356231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49-4241-AF56-DDAC4D7E93F3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-9.6529903972722444</c:v>
                </c:pt>
                <c:pt idx="1">
                  <c:v>-7.7223923178177998</c:v>
                </c:pt>
                <c:pt idx="2">
                  <c:v>-5.7917942383633561</c:v>
                </c:pt>
                <c:pt idx="3">
                  <c:v>-3.8611961589088883</c:v>
                </c:pt>
                <c:pt idx="4">
                  <c:v>-1.9305980794544442</c:v>
                </c:pt>
                <c:pt idx="5">
                  <c:v>0</c:v>
                </c:pt>
                <c:pt idx="6">
                  <c:v>1.9305980794544442</c:v>
                </c:pt>
                <c:pt idx="7">
                  <c:v>3.8611961589088648</c:v>
                </c:pt>
                <c:pt idx="8">
                  <c:v>14.648733976752803</c:v>
                </c:pt>
                <c:pt idx="9">
                  <c:v>17.022179043126677</c:v>
                </c:pt>
                <c:pt idx="10">
                  <c:v>19.4177664588466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49-4241-AF56-DDAC4D7E93F3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-3.7823684791064802</c:v>
                </c:pt>
                <c:pt idx="1">
                  <c:v>-3.0258947832851675</c:v>
                </c:pt>
                <c:pt idx="2">
                  <c:v>-2.2694210874638787</c:v>
                </c:pt>
                <c:pt idx="3">
                  <c:v>-1.5129473916425777</c:v>
                </c:pt>
                <c:pt idx="4">
                  <c:v>-0.75647369582128887</c:v>
                </c:pt>
                <c:pt idx="5">
                  <c:v>0</c:v>
                </c:pt>
                <c:pt idx="6">
                  <c:v>0.75647369582128887</c:v>
                </c:pt>
                <c:pt idx="7">
                  <c:v>1.512947391642554</c:v>
                </c:pt>
                <c:pt idx="8">
                  <c:v>2.2694210874638547</c:v>
                </c:pt>
                <c:pt idx="9">
                  <c:v>3.0258947832851675</c:v>
                </c:pt>
                <c:pt idx="10">
                  <c:v>3.7823684791064327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49-4241-AF56-DDAC4D7E93F3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5.8706219181658001</c:v>
                </c:pt>
                <c:pt idx="1">
                  <c:v>4.6964975345326447</c:v>
                </c:pt>
                <c:pt idx="2">
                  <c:v>3.5223731508994898</c:v>
                </c:pt>
                <c:pt idx="3">
                  <c:v>2.3482487672663579</c:v>
                </c:pt>
                <c:pt idx="4">
                  <c:v>1.1741243836331552</c:v>
                </c:pt>
                <c:pt idx="5">
                  <c:v>0</c:v>
                </c:pt>
                <c:pt idx="6">
                  <c:v>-1.1741243836331314</c:v>
                </c:pt>
                <c:pt idx="7">
                  <c:v>-2.3482487672663104</c:v>
                </c:pt>
                <c:pt idx="8">
                  <c:v>-3.5223731508995133</c:v>
                </c:pt>
                <c:pt idx="9">
                  <c:v>-4.6964975345326447</c:v>
                </c:pt>
                <c:pt idx="10">
                  <c:v>-5.8706219181657762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49-4241-AF56-DDAC4D7E9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-24.880796568730311</c:v>
                </c:pt>
                <c:pt idx="1">
                  <c:v>-19.904637254984241</c:v>
                </c:pt>
                <c:pt idx="2">
                  <c:v>-14.928477941238205</c:v>
                </c:pt>
                <c:pt idx="3">
                  <c:v>-9.9523186274921365</c:v>
                </c:pt>
                <c:pt idx="4">
                  <c:v>-4.9761593137460833</c:v>
                </c:pt>
                <c:pt idx="5">
                  <c:v>0</c:v>
                </c:pt>
                <c:pt idx="6">
                  <c:v>4.976159313746038</c:v>
                </c:pt>
                <c:pt idx="7">
                  <c:v>9.9523186274920903</c:v>
                </c:pt>
                <c:pt idx="8">
                  <c:v>14.928477941238159</c:v>
                </c:pt>
                <c:pt idx="9">
                  <c:v>19.904637254984198</c:v>
                </c:pt>
                <c:pt idx="10">
                  <c:v>24.880796568730279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2-4AE5-9DDB-10E4351338B5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-19.151839096402703</c:v>
                </c:pt>
                <c:pt idx="1">
                  <c:v>-15.321471277122168</c:v>
                </c:pt>
                <c:pt idx="2">
                  <c:v>-11.491103457841618</c:v>
                </c:pt>
                <c:pt idx="3">
                  <c:v>-7.6607356385610998</c:v>
                </c:pt>
                <c:pt idx="4">
                  <c:v>-3.8303678192805344</c:v>
                </c:pt>
                <c:pt idx="5">
                  <c:v>0</c:v>
                </c:pt>
                <c:pt idx="6">
                  <c:v>3.8303678192805499</c:v>
                </c:pt>
                <c:pt idx="7">
                  <c:v>7.6607356385610839</c:v>
                </c:pt>
                <c:pt idx="8">
                  <c:v>11.491103457841618</c:v>
                </c:pt>
                <c:pt idx="9">
                  <c:v>15.321471277122154</c:v>
                </c:pt>
                <c:pt idx="10">
                  <c:v>19.151839096402671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2-4AE5-9DDB-10E4351338B5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-10.632590521486717</c:v>
                </c:pt>
                <c:pt idx="1">
                  <c:v>-8.5060724171893529</c:v>
                </c:pt>
                <c:pt idx="2">
                  <c:v>-6.3795543128919867</c:v>
                </c:pt>
                <c:pt idx="3">
                  <c:v>-4.2530362085946845</c:v>
                </c:pt>
                <c:pt idx="4">
                  <c:v>-2.1265181042973498</c:v>
                </c:pt>
                <c:pt idx="5">
                  <c:v>0</c:v>
                </c:pt>
                <c:pt idx="6">
                  <c:v>2.1265181042973653</c:v>
                </c:pt>
                <c:pt idx="7">
                  <c:v>4.2530362085946694</c:v>
                </c:pt>
                <c:pt idx="8">
                  <c:v>6.3795543128920036</c:v>
                </c:pt>
                <c:pt idx="9">
                  <c:v>8.5060724171893529</c:v>
                </c:pt>
                <c:pt idx="10">
                  <c:v>10.632590521486687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2-4AE5-9DDB-10E4351338B5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-29.784429617889419</c:v>
                </c:pt>
                <c:pt idx="1">
                  <c:v>-23.827543694311508</c:v>
                </c:pt>
                <c:pt idx="2">
                  <c:v>-17.870657770733654</c:v>
                </c:pt>
                <c:pt idx="3">
                  <c:v>-11.913771847155784</c:v>
                </c:pt>
                <c:pt idx="4">
                  <c:v>-5.9568859235778842</c:v>
                </c:pt>
                <c:pt idx="5">
                  <c:v>0</c:v>
                </c:pt>
                <c:pt idx="6">
                  <c:v>5.9568859235778842</c:v>
                </c:pt>
                <c:pt idx="7">
                  <c:v>11.913771847155754</c:v>
                </c:pt>
                <c:pt idx="8">
                  <c:v>17.870657770733622</c:v>
                </c:pt>
                <c:pt idx="9">
                  <c:v>23.827543694311537</c:v>
                </c:pt>
                <c:pt idx="10">
                  <c:v>29.784429617889419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2-4AE5-9DDB-10E4351338B5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19.151839096402718</c:v>
                </c:pt>
                <c:pt idx="1">
                  <c:v>15.321471277122154</c:v>
                </c:pt>
                <c:pt idx="2">
                  <c:v>11.49110345784165</c:v>
                </c:pt>
                <c:pt idx="3">
                  <c:v>7.6607356385610839</c:v>
                </c:pt>
                <c:pt idx="4">
                  <c:v>3.8303678192805499</c:v>
                </c:pt>
                <c:pt idx="5">
                  <c:v>0</c:v>
                </c:pt>
                <c:pt idx="6">
                  <c:v>-3.8303678192805344</c:v>
                </c:pt>
                <c:pt idx="7">
                  <c:v>-7.6607356385610998</c:v>
                </c:pt>
                <c:pt idx="8">
                  <c:v>-11.491103457841618</c:v>
                </c:pt>
                <c:pt idx="9">
                  <c:v>-15.321471277122168</c:v>
                </c:pt>
                <c:pt idx="10">
                  <c:v>-19.151839096402703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2-4AE5-9DDB-10E435133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-8.8804607534060427</c:v>
                </c:pt>
                <c:pt idx="1">
                  <c:v>-7.1043686027248514</c:v>
                </c:pt>
                <c:pt idx="2">
                  <c:v>-5.3282764520436308</c:v>
                </c:pt>
                <c:pt idx="3">
                  <c:v>-3.5521843013624115</c:v>
                </c:pt>
                <c:pt idx="4">
                  <c:v>-1.7760921506812199</c:v>
                </c:pt>
                <c:pt idx="5">
                  <c:v>0</c:v>
                </c:pt>
                <c:pt idx="6">
                  <c:v>1.7760921506812057</c:v>
                </c:pt>
                <c:pt idx="7">
                  <c:v>3.5521843013624115</c:v>
                </c:pt>
                <c:pt idx="8">
                  <c:v>5.3282764520436166</c:v>
                </c:pt>
                <c:pt idx="9">
                  <c:v>7.104368602724823</c:v>
                </c:pt>
                <c:pt idx="10">
                  <c:v>8.8804607534060267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2-46DA-B984-F80757870528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-23.498778760194682</c:v>
                </c:pt>
                <c:pt idx="1">
                  <c:v>-18.799023008155753</c:v>
                </c:pt>
                <c:pt idx="2">
                  <c:v>-14.099267256116798</c:v>
                </c:pt>
                <c:pt idx="3">
                  <c:v>-9.3995115040778696</c:v>
                </c:pt>
                <c:pt idx="4">
                  <c:v>-4.6997557520389277</c:v>
                </c:pt>
                <c:pt idx="5">
                  <c:v>0</c:v>
                </c:pt>
                <c:pt idx="6">
                  <c:v>4.6997557520389419</c:v>
                </c:pt>
                <c:pt idx="7">
                  <c:v>9.3995115040778696</c:v>
                </c:pt>
                <c:pt idx="8">
                  <c:v>14.099267256116812</c:v>
                </c:pt>
                <c:pt idx="9">
                  <c:v>18.799023008155753</c:v>
                </c:pt>
                <c:pt idx="10">
                  <c:v>23.498778760194639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2-46DA-B984-F80757870528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-19.208199567836736</c:v>
                </c:pt>
                <c:pt idx="1">
                  <c:v>-15.366559654269391</c:v>
                </c:pt>
                <c:pt idx="2">
                  <c:v>-11.524919740702048</c:v>
                </c:pt>
                <c:pt idx="3">
                  <c:v>-7.6832798271347036</c:v>
                </c:pt>
                <c:pt idx="4">
                  <c:v>-3.8416399135673442</c:v>
                </c:pt>
                <c:pt idx="5">
                  <c:v>0</c:v>
                </c:pt>
                <c:pt idx="6">
                  <c:v>3.8416399135673442</c:v>
                </c:pt>
                <c:pt idx="7">
                  <c:v>7.6832798271346885</c:v>
                </c:pt>
                <c:pt idx="8">
                  <c:v>11.524919740702034</c:v>
                </c:pt>
                <c:pt idx="9">
                  <c:v>15.366559654269363</c:v>
                </c:pt>
                <c:pt idx="10">
                  <c:v>19.208199567836736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2-46DA-B984-F80757870528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-42.706978328031411</c:v>
                </c:pt>
                <c:pt idx="1">
                  <c:v>-34.16558266242513</c:v>
                </c:pt>
                <c:pt idx="2">
                  <c:v>-25.62418699681886</c:v>
                </c:pt>
                <c:pt idx="3">
                  <c:v>-17.082791331212587</c:v>
                </c:pt>
                <c:pt idx="4">
                  <c:v>-8.5413956656062862</c:v>
                </c:pt>
                <c:pt idx="5">
                  <c:v>0</c:v>
                </c:pt>
                <c:pt idx="6">
                  <c:v>8.5413956656062862</c:v>
                </c:pt>
                <c:pt idx="7">
                  <c:v>17.082791331212558</c:v>
                </c:pt>
                <c:pt idx="8">
                  <c:v>25.624186996818832</c:v>
                </c:pt>
                <c:pt idx="9">
                  <c:v>34.16558266242513</c:v>
                </c:pt>
                <c:pt idx="10">
                  <c:v>42.706978328031433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2-46DA-B984-F80757870528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23.498778760194682</c:v>
                </c:pt>
                <c:pt idx="1">
                  <c:v>18.799023008155739</c:v>
                </c:pt>
                <c:pt idx="2">
                  <c:v>14.099267256116812</c:v>
                </c:pt>
                <c:pt idx="3">
                  <c:v>9.3995115040778696</c:v>
                </c:pt>
                <c:pt idx="4">
                  <c:v>4.6997557520389419</c:v>
                </c:pt>
                <c:pt idx="5">
                  <c:v>0</c:v>
                </c:pt>
                <c:pt idx="6">
                  <c:v>-4.6997557520389277</c:v>
                </c:pt>
                <c:pt idx="7">
                  <c:v>-9.3995115040778696</c:v>
                </c:pt>
                <c:pt idx="8">
                  <c:v>-14.099267256116812</c:v>
                </c:pt>
                <c:pt idx="9">
                  <c:v>-18.799023008155753</c:v>
                </c:pt>
                <c:pt idx="10">
                  <c:v>-23.498778760194682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2-46DA-B984-F80757870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-27.020733462491787</c:v>
                </c:pt>
                <c:pt idx="1">
                  <c:v>-21.616586769993422</c:v>
                </c:pt>
                <c:pt idx="2">
                  <c:v>-16.212440077495067</c:v>
                </c:pt>
                <c:pt idx="3">
                  <c:v>-10.808293384996711</c:v>
                </c:pt>
                <c:pt idx="4">
                  <c:v>-5.4041466924983439</c:v>
                </c:pt>
                <c:pt idx="5">
                  <c:v>0</c:v>
                </c:pt>
                <c:pt idx="6">
                  <c:v>5.404146692498367</c:v>
                </c:pt>
                <c:pt idx="7">
                  <c:v>10.808293384996711</c:v>
                </c:pt>
                <c:pt idx="8">
                  <c:v>16.212440077495078</c:v>
                </c:pt>
                <c:pt idx="9">
                  <c:v>21.616586769993422</c:v>
                </c:pt>
                <c:pt idx="10">
                  <c:v>27.020733462491787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A-4BA7-8735-1A7D22A9D4B4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-18.628404477420116</c:v>
                </c:pt>
                <c:pt idx="1">
                  <c:v>-14.902723581936112</c:v>
                </c:pt>
                <c:pt idx="2">
                  <c:v>-11.17704268645206</c:v>
                </c:pt>
                <c:pt idx="3">
                  <c:v>-7.4513617909680319</c:v>
                </c:pt>
                <c:pt idx="4">
                  <c:v>-3.7256808954839933</c:v>
                </c:pt>
                <c:pt idx="5">
                  <c:v>0</c:v>
                </c:pt>
                <c:pt idx="6">
                  <c:v>3.7256808954840279</c:v>
                </c:pt>
                <c:pt idx="7">
                  <c:v>7.4513617909680558</c:v>
                </c:pt>
                <c:pt idx="8">
                  <c:v>11.177042686452106</c:v>
                </c:pt>
                <c:pt idx="9">
                  <c:v>14.902723581936133</c:v>
                </c:pt>
                <c:pt idx="10">
                  <c:v>18.628404477420137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A-4BA7-8735-1A7D22A9D4B4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-9.2285793511101275</c:v>
                </c:pt>
                <c:pt idx="1">
                  <c:v>-7.3828634808880924</c:v>
                </c:pt>
                <c:pt idx="2">
                  <c:v>-5.5371476106660698</c:v>
                </c:pt>
                <c:pt idx="3">
                  <c:v>-3.6914317404440462</c:v>
                </c:pt>
                <c:pt idx="4">
                  <c:v>-1.8457158702220231</c:v>
                </c:pt>
                <c:pt idx="5">
                  <c:v>0</c:v>
                </c:pt>
                <c:pt idx="6">
                  <c:v>1.8457158702220464</c:v>
                </c:pt>
                <c:pt idx="7">
                  <c:v>3.6914317404440697</c:v>
                </c:pt>
                <c:pt idx="8">
                  <c:v>5.5371476106660813</c:v>
                </c:pt>
                <c:pt idx="9">
                  <c:v>7.3828634808881164</c:v>
                </c:pt>
                <c:pt idx="10">
                  <c:v>9.2285793511101506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A-4BA7-8735-1A7D22A9D4B4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-27.856983828530268</c:v>
                </c:pt>
                <c:pt idx="1">
                  <c:v>-22.285587062824217</c:v>
                </c:pt>
                <c:pt idx="2">
                  <c:v>-16.714190297118165</c:v>
                </c:pt>
                <c:pt idx="3">
                  <c:v>-11.142793531412103</c:v>
                </c:pt>
                <c:pt idx="4">
                  <c:v>-5.5713967657060399</c:v>
                </c:pt>
                <c:pt idx="5">
                  <c:v>0</c:v>
                </c:pt>
                <c:pt idx="6">
                  <c:v>5.5713967657060852</c:v>
                </c:pt>
                <c:pt idx="7">
                  <c:v>11.142793531412124</c:v>
                </c:pt>
                <c:pt idx="8">
                  <c:v>16.714190297118165</c:v>
                </c:pt>
                <c:pt idx="9">
                  <c:v>22.285587062824206</c:v>
                </c:pt>
                <c:pt idx="10">
                  <c:v>27.856983828530268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DA-4BA7-8735-1A7D22A9D4B4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18.628404477420137</c:v>
                </c:pt>
                <c:pt idx="1">
                  <c:v>14.902723581936133</c:v>
                </c:pt>
                <c:pt idx="2">
                  <c:v>11.177042686452106</c:v>
                </c:pt>
                <c:pt idx="3">
                  <c:v>7.4513617909680558</c:v>
                </c:pt>
                <c:pt idx="4">
                  <c:v>3.7256808954840279</c:v>
                </c:pt>
                <c:pt idx="5">
                  <c:v>0</c:v>
                </c:pt>
                <c:pt idx="6">
                  <c:v>-3.7256808954839933</c:v>
                </c:pt>
                <c:pt idx="7">
                  <c:v>-7.4513617909680319</c:v>
                </c:pt>
                <c:pt idx="8">
                  <c:v>-11.17704268645206</c:v>
                </c:pt>
                <c:pt idx="9">
                  <c:v>-14.902723581936112</c:v>
                </c:pt>
                <c:pt idx="10">
                  <c:v>-18.628404477420116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DA-4BA7-8735-1A7D22A9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2118197380" name="Chart 1">
          <a:extLst>
            <a:ext uri="{FF2B5EF4-FFF2-40B4-BE49-F238E27FC236}">
              <a16:creationId xmlns:a16="http://schemas.microsoft.com/office/drawing/2014/main" id="{00000000-0008-0000-0000-000084204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272212023" name="Chart 2">
          <a:extLst>
            <a:ext uri="{FF2B5EF4-FFF2-40B4-BE49-F238E27FC236}">
              <a16:creationId xmlns:a16="http://schemas.microsoft.com/office/drawing/2014/main" id="{00000000-0008-0000-0000-000037A03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750879810" name="Chart 4">
          <a:extLst>
            <a:ext uri="{FF2B5EF4-FFF2-40B4-BE49-F238E27FC236}">
              <a16:creationId xmlns:a16="http://schemas.microsoft.com/office/drawing/2014/main" id="{00000000-0008-0000-0100-00004284C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927261498" name="Chart 5">
          <a:extLst>
            <a:ext uri="{FF2B5EF4-FFF2-40B4-BE49-F238E27FC236}">
              <a16:creationId xmlns:a16="http://schemas.microsoft.com/office/drawing/2014/main" id="{00000000-0008-0000-0100-00003AE34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78088422" name="Chart 7">
          <a:extLst>
            <a:ext uri="{FF2B5EF4-FFF2-40B4-BE49-F238E27FC236}">
              <a16:creationId xmlns:a16="http://schemas.microsoft.com/office/drawing/2014/main" id="{00000000-0008-0000-0200-0000E6699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318118709" name="Chart 8">
          <a:extLst>
            <a:ext uri="{FF2B5EF4-FFF2-40B4-BE49-F238E27FC236}">
              <a16:creationId xmlns:a16="http://schemas.microsoft.com/office/drawing/2014/main" id="{00000000-0008-0000-0200-000035E59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445651758" name="Chart 10">
          <a:extLst>
            <a:ext uri="{FF2B5EF4-FFF2-40B4-BE49-F238E27FC236}">
              <a16:creationId xmlns:a16="http://schemas.microsoft.com/office/drawing/2014/main" id="{00000000-0008-0000-0300-00002E1B9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29645628" name="Chart 11">
          <a:extLst>
            <a:ext uri="{FF2B5EF4-FFF2-40B4-BE49-F238E27FC236}">
              <a16:creationId xmlns:a16="http://schemas.microsoft.com/office/drawing/2014/main" id="{00000000-0008-0000-0300-00003C065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813058855" name="Chart 13">
          <a:extLst>
            <a:ext uri="{FF2B5EF4-FFF2-40B4-BE49-F238E27FC236}">
              <a16:creationId xmlns:a16="http://schemas.microsoft.com/office/drawing/2014/main" id="{00000000-0008-0000-0400-000027151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156570146" name="Chart 14">
          <a:extLst>
            <a:ext uri="{FF2B5EF4-FFF2-40B4-BE49-F238E27FC236}">
              <a16:creationId xmlns:a16="http://schemas.microsoft.com/office/drawing/2014/main" id="{00000000-0008-0000-0400-000022DCE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564266737" name="Chart 16">
          <a:extLst>
            <a:ext uri="{FF2B5EF4-FFF2-40B4-BE49-F238E27FC236}">
              <a16:creationId xmlns:a16="http://schemas.microsoft.com/office/drawing/2014/main" id="{00000000-0008-0000-0500-0000F1D03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15871792" name="Chart 17">
          <a:extLst>
            <a:ext uri="{FF2B5EF4-FFF2-40B4-BE49-F238E27FC236}">
              <a16:creationId xmlns:a16="http://schemas.microsoft.com/office/drawing/2014/main" id="{00000000-0008-0000-0500-000030DA8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268432</xdr:colOff>
      <xdr:row>16</xdr:row>
      <xdr:rowOff>155864</xdr:rowOff>
    </xdr:from>
    <xdr:to>
      <xdr:col>13</xdr:col>
      <xdr:colOff>43109</xdr:colOff>
      <xdr:row>30</xdr:row>
      <xdr:rowOff>49184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BAA815-57F7-4097-8CB3-C9F847D86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216477</xdr:colOff>
      <xdr:row>1</xdr:row>
      <xdr:rowOff>216478</xdr:rowOff>
    </xdr:from>
    <xdr:to>
      <xdr:col>12</xdr:col>
      <xdr:colOff>600132</xdr:colOff>
      <xdr:row>15</xdr:row>
      <xdr:rowOff>57843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2F3B83-DF09-4342-8BD0-3C0B98CD1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311727</xdr:colOff>
      <xdr:row>32</xdr:row>
      <xdr:rowOff>51955</xdr:rowOff>
    </xdr:from>
    <xdr:to>
      <xdr:col>13</xdr:col>
      <xdr:colOff>86404</xdr:colOff>
      <xdr:row>45</xdr:row>
      <xdr:rowOff>135775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7800980-1E19-4F95-89A6-AB6B9BB13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25</xdr:col>
      <xdr:colOff>452421</xdr:colOff>
      <xdr:row>15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62B90F-7CAE-499C-9F05-D527144FB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0</xdr:colOff>
      <xdr:row>17</xdr:row>
      <xdr:rowOff>0</xdr:rowOff>
    </xdr:from>
    <xdr:to>
      <xdr:col>25</xdr:col>
      <xdr:colOff>452421</xdr:colOff>
      <xdr:row>30</xdr:row>
      <xdr:rowOff>83820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21C10D-DC96-42A8-921E-D84A9D4BC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0</xdr:colOff>
      <xdr:row>32</xdr:row>
      <xdr:rowOff>0</xdr:rowOff>
    </xdr:from>
    <xdr:to>
      <xdr:col>25</xdr:col>
      <xdr:colOff>452421</xdr:colOff>
      <xdr:row>45</xdr:row>
      <xdr:rowOff>83820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4B912A5-B37D-4063-B00C-B79FA6A02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Thailand%2025092024.xlsx" TargetMode="External"/><Relationship Id="rId1" Type="http://schemas.openxmlformats.org/officeDocument/2006/relationships/externalLinkPath" Target="TCO_Thailand%2025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TH"/>
      <sheetName val="ICE-Bus TH"/>
      <sheetName val="E-Truck TH"/>
      <sheetName val="ICE-Truck TH"/>
      <sheetName val="E-Cargo TH"/>
      <sheetName val="ICE-Cargo TH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-33.91886901865854</v>
          </cell>
          <cell r="D5">
            <v>-8.6848791959787892</v>
          </cell>
          <cell r="E5">
            <v>-3.9335217890154777</v>
          </cell>
          <cell r="F5">
            <v>-22.706613958277778</v>
          </cell>
          <cell r="G5">
            <v>-14.021734762298971</v>
          </cell>
          <cell r="H5">
            <v>8.6848791959788212</v>
          </cell>
          <cell r="O5">
            <v>-50</v>
          </cell>
          <cell r="P5">
            <v>-15.854368027842799</v>
          </cell>
          <cell r="Q5">
            <v>-29.202684266710367</v>
          </cell>
          <cell r="R5">
            <v>-9.252787616740612</v>
          </cell>
          <cell r="S5">
            <v>-38.455471883450983</v>
          </cell>
          <cell r="T5">
            <v>29.202684266710367</v>
          </cell>
        </row>
        <row r="6">
          <cell r="B6">
            <v>-40</v>
          </cell>
          <cell r="C6">
            <v>-27.135095214926842</v>
          </cell>
          <cell r="D6">
            <v>-6.9479033567830477</v>
          </cell>
          <cell r="E6">
            <v>-3.1468174312123667</v>
          </cell>
          <cell r="F6">
            <v>-18.165291166622222</v>
          </cell>
          <cell r="G6">
            <v>-11.217387809839174</v>
          </cell>
          <cell r="H6">
            <v>6.9479033567830788</v>
          </cell>
          <cell r="O6">
            <v>-40</v>
          </cell>
          <cell r="P6">
            <v>-12.683494422274244</v>
          </cell>
          <cell r="Q6">
            <v>-23.362147413368277</v>
          </cell>
          <cell r="R6">
            <v>-7.402230093392502</v>
          </cell>
          <cell r="S6">
            <v>-30.764377506760798</v>
          </cell>
          <cell r="T6">
            <v>23.362147413368277</v>
          </cell>
        </row>
        <row r="7">
          <cell r="B7">
            <v>-30</v>
          </cell>
          <cell r="C7">
            <v>-20.35132141119513</v>
          </cell>
          <cell r="D7">
            <v>-5.2109275175872742</v>
          </cell>
          <cell r="E7">
            <v>-2.3601130734092868</v>
          </cell>
          <cell r="F7">
            <v>-13.623968374966635</v>
          </cell>
          <cell r="G7">
            <v>-8.4130408573793929</v>
          </cell>
          <cell r="H7">
            <v>5.2109275175873053</v>
          </cell>
          <cell r="O7">
            <v>-30</v>
          </cell>
          <cell r="P7">
            <v>-9.512620816705688</v>
          </cell>
          <cell r="Q7">
            <v>-17.521610560026208</v>
          </cell>
          <cell r="R7">
            <v>-5.5516725700443592</v>
          </cell>
          <cell r="S7">
            <v>-23.073283130070585</v>
          </cell>
          <cell r="T7">
            <v>17.521610560026208</v>
          </cell>
        </row>
        <row r="8">
          <cell r="B8">
            <v>-20</v>
          </cell>
          <cell r="C8">
            <v>-13.567547607463407</v>
          </cell>
          <cell r="D8">
            <v>-3.4739516783915008</v>
          </cell>
          <cell r="E8">
            <v>-1.5734087156061911</v>
          </cell>
          <cell r="F8">
            <v>-9.0826455833110806</v>
          </cell>
          <cell r="G8">
            <v>-5.6086939049195639</v>
          </cell>
          <cell r="H8">
            <v>3.4739516783915318</v>
          </cell>
          <cell r="O8">
            <v>-20</v>
          </cell>
          <cell r="P8">
            <v>-6.3417472111371138</v>
          </cell>
          <cell r="Q8">
            <v>-11.681073706684156</v>
          </cell>
          <cell r="R8">
            <v>-3.701115046696251</v>
          </cell>
          <cell r="S8">
            <v>-15.38218875338039</v>
          </cell>
          <cell r="T8">
            <v>11.681073706684138</v>
          </cell>
        </row>
        <row r="9">
          <cell r="B9">
            <v>-10</v>
          </cell>
          <cell r="C9">
            <v>-6.7837738037316946</v>
          </cell>
          <cell r="D9">
            <v>-1.7369758391957268</v>
          </cell>
          <cell r="E9">
            <v>-0.78670435780309556</v>
          </cell>
          <cell r="F9">
            <v>-4.5413227916555243</v>
          </cell>
          <cell r="G9">
            <v>-2.8043469524597819</v>
          </cell>
          <cell r="H9">
            <v>1.7369758391957892</v>
          </cell>
          <cell r="O9">
            <v>-10</v>
          </cell>
          <cell r="P9">
            <v>-3.1708736055685569</v>
          </cell>
          <cell r="Q9">
            <v>-5.8405368533420523</v>
          </cell>
          <cell r="R9">
            <v>-1.8505575233481255</v>
          </cell>
          <cell r="S9">
            <v>-7.691094376690212</v>
          </cell>
          <cell r="T9">
            <v>5.8405368533420869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6.7837738037317266</v>
          </cell>
          <cell r="D11">
            <v>1.7369758391957892</v>
          </cell>
          <cell r="E11">
            <v>0.78670435780309556</v>
          </cell>
          <cell r="F11">
            <v>4.5413227916556025</v>
          </cell>
          <cell r="G11">
            <v>2.8043469524598286</v>
          </cell>
          <cell r="H11">
            <v>-1.7369758391957268</v>
          </cell>
          <cell r="O11">
            <v>10</v>
          </cell>
          <cell r="P11">
            <v>3.1708736055685569</v>
          </cell>
          <cell r="Q11">
            <v>5.8405368533420869</v>
          </cell>
          <cell r="R11">
            <v>1.8505575233481428</v>
          </cell>
          <cell r="S11">
            <v>7.691094376690212</v>
          </cell>
          <cell r="T11">
            <v>-5.8405368533420523</v>
          </cell>
        </row>
        <row r="12">
          <cell r="B12">
            <v>20</v>
          </cell>
          <cell r="C12">
            <v>13.567547607463421</v>
          </cell>
          <cell r="D12">
            <v>3.4739516783915318</v>
          </cell>
          <cell r="E12">
            <v>1.5734087156062067</v>
          </cell>
          <cell r="F12">
            <v>11.867236970441136</v>
          </cell>
          <cell r="G12">
            <v>5.608693904919611</v>
          </cell>
          <cell r="H12">
            <v>-3.4739516783915008</v>
          </cell>
          <cell r="O12">
            <v>20</v>
          </cell>
          <cell r="P12">
            <v>6.3417472111371307</v>
          </cell>
          <cell r="Q12">
            <v>11.681073706684138</v>
          </cell>
          <cell r="R12">
            <v>3.701115046696251</v>
          </cell>
          <cell r="S12">
            <v>15.38218875338039</v>
          </cell>
          <cell r="T12">
            <v>-11.681073706684156</v>
          </cell>
        </row>
        <row r="13">
          <cell r="B13">
            <v>30</v>
          </cell>
          <cell r="C13">
            <v>20.35132141119513</v>
          </cell>
          <cell r="D13">
            <v>5.2109275175873053</v>
          </cell>
          <cell r="E13">
            <v>2.3601130734093023</v>
          </cell>
          <cell r="F13">
            <v>16.547789331453181</v>
          </cell>
          <cell r="G13">
            <v>8.4130408573794391</v>
          </cell>
          <cell r="H13">
            <v>-5.2109275175872742</v>
          </cell>
          <cell r="O13">
            <v>30</v>
          </cell>
          <cell r="P13">
            <v>9.512620816705688</v>
          </cell>
          <cell r="Q13">
            <v>17.521610560026208</v>
          </cell>
          <cell r="R13">
            <v>5.551672570044377</v>
          </cell>
          <cell r="S13">
            <v>23.073283130070603</v>
          </cell>
          <cell r="T13">
            <v>-17.521610560026208</v>
          </cell>
        </row>
        <row r="14">
          <cell r="B14">
            <v>40</v>
          </cell>
          <cell r="C14">
            <v>27.135095214926842</v>
          </cell>
          <cell r="D14">
            <v>6.9479033567830788</v>
          </cell>
          <cell r="E14">
            <v>3.1468174312123667</v>
          </cell>
          <cell r="F14">
            <v>21.23530317093309</v>
          </cell>
          <cell r="G14">
            <v>11.217387809839236</v>
          </cell>
          <cell r="H14">
            <v>-6.9479033567830477</v>
          </cell>
          <cell r="O14">
            <v>40</v>
          </cell>
          <cell r="P14">
            <v>12.683494422274244</v>
          </cell>
          <cell r="Q14">
            <v>23.362147413368277</v>
          </cell>
          <cell r="R14">
            <v>7.4022300933924852</v>
          </cell>
          <cell r="S14">
            <v>30.764377506760766</v>
          </cell>
          <cell r="T14">
            <v>-23.362147413368277</v>
          </cell>
        </row>
        <row r="15">
          <cell r="B15">
            <v>50</v>
          </cell>
          <cell r="C15">
            <v>33.918869018658555</v>
          </cell>
          <cell r="D15">
            <v>8.6848791959788212</v>
          </cell>
          <cell r="E15">
            <v>3.9335217890154621</v>
          </cell>
          <cell r="F15">
            <v>25.776625962588611</v>
          </cell>
          <cell r="G15">
            <v>14.021734762298987</v>
          </cell>
          <cell r="H15">
            <v>-8.6848791959787892</v>
          </cell>
          <cell r="O15">
            <v>50</v>
          </cell>
          <cell r="P15">
            <v>15.854368027842819</v>
          </cell>
          <cell r="Q15">
            <v>29.202684266710367</v>
          </cell>
          <cell r="R15">
            <v>9.252787616740628</v>
          </cell>
          <cell r="S15">
            <v>38.45547188345099</v>
          </cell>
          <cell r="T15">
            <v>-29.202684266710367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-31.334378733128059</v>
          </cell>
          <cell r="D20">
            <v>-6.013814651953564</v>
          </cell>
          <cell r="E20">
            <v>-4.5180452752601878</v>
          </cell>
          <cell r="F20">
            <v>-27.020026746178566</v>
          </cell>
          <cell r="G20">
            <v>-8.6627693469554448</v>
          </cell>
          <cell r="H20">
            <v>6.0138146519535107</v>
          </cell>
          <cell r="O20">
            <v>-50</v>
          </cell>
          <cell r="P20">
            <v>-6.1609276276644458</v>
          </cell>
          <cell r="Q20">
            <v>-30.826878875146811</v>
          </cell>
          <cell r="R20">
            <v>-14.381101091813321</v>
          </cell>
          <cell r="S20">
            <v>-45.207979966960146</v>
          </cell>
          <cell r="T20">
            <v>30.826878875146889</v>
          </cell>
        </row>
        <row r="21">
          <cell r="B21">
            <v>-40</v>
          </cell>
          <cell r="C21">
            <v>-25.067502986502443</v>
          </cell>
          <cell r="D21">
            <v>-4.8110517215628406</v>
          </cell>
          <cell r="E21">
            <v>-3.6144362202081322</v>
          </cell>
          <cell r="F21">
            <v>-23.552773794971479</v>
          </cell>
          <cell r="G21">
            <v>-6.9302154775643485</v>
          </cell>
          <cell r="H21">
            <v>4.8110517215628219</v>
          </cell>
          <cell r="O21">
            <v>-40</v>
          </cell>
          <cell r="P21">
            <v>-4.9287421021315598</v>
          </cell>
          <cell r="Q21">
            <v>-24.661503100117454</v>
          </cell>
          <cell r="R21">
            <v>-11.504880873450658</v>
          </cell>
          <cell r="S21">
            <v>-36.166383973568124</v>
          </cell>
          <cell r="T21">
            <v>24.6615031001175</v>
          </cell>
        </row>
        <row r="22">
          <cell r="B22">
            <v>-30</v>
          </cell>
          <cell r="C22">
            <v>-18.800627239876842</v>
          </cell>
          <cell r="D22">
            <v>-3.6082887911721344</v>
          </cell>
          <cell r="E22">
            <v>-2.7108271651561129</v>
          </cell>
          <cell r="F22">
            <v>-20.617456995189677</v>
          </cell>
          <cell r="G22">
            <v>-5.1976616081732878</v>
          </cell>
          <cell r="H22">
            <v>3.6082887911721344</v>
          </cell>
          <cell r="O22">
            <v>-30</v>
          </cell>
          <cell r="P22">
            <v>-3.6965565765986743</v>
          </cell>
          <cell r="Q22">
            <v>-18.496127325088089</v>
          </cell>
          <cell r="R22">
            <v>-8.6286606550879803</v>
          </cell>
          <cell r="S22">
            <v>-27.12478798017608</v>
          </cell>
          <cell r="T22">
            <v>18.496127325088125</v>
          </cell>
        </row>
        <row r="23">
          <cell r="B23">
            <v>-20</v>
          </cell>
          <cell r="C23">
            <v>-12.533751493251263</v>
          </cell>
          <cell r="D23">
            <v>-2.4055258607813936</v>
          </cell>
          <cell r="E23">
            <v>-1.8072181101040752</v>
          </cell>
          <cell r="F23">
            <v>-13.748093589337598</v>
          </cell>
          <cell r="G23">
            <v>-3.4651077387821743</v>
          </cell>
          <cell r="H23">
            <v>2.4055258607814292</v>
          </cell>
          <cell r="O23">
            <v>-20</v>
          </cell>
          <cell r="P23">
            <v>-2.4643710510657715</v>
          </cell>
          <cell r="Q23">
            <v>-12.330751550058695</v>
          </cell>
          <cell r="R23">
            <v>-5.7524404367253208</v>
          </cell>
          <cell r="S23">
            <v>-18.083191986784033</v>
          </cell>
          <cell r="T23">
            <v>12.33075155005875</v>
          </cell>
        </row>
        <row r="24">
          <cell r="B24">
            <v>-10</v>
          </cell>
          <cell r="C24">
            <v>-6.2668757466256135</v>
          </cell>
          <cell r="D24">
            <v>-1.2027629303907412</v>
          </cell>
          <cell r="E24">
            <v>-0.90360905505205547</v>
          </cell>
          <cell r="F24">
            <v>-10.812776789555814</v>
          </cell>
          <cell r="G24">
            <v>-1.7325538693910958</v>
          </cell>
          <cell r="H24">
            <v>1.2027629303906879</v>
          </cell>
          <cell r="O24">
            <v>-10</v>
          </cell>
          <cell r="P24">
            <v>-1.2321855255328857</v>
          </cell>
          <cell r="Q24">
            <v>-6.1653757750293563</v>
          </cell>
          <cell r="R24">
            <v>-2.8762202183626422</v>
          </cell>
          <cell r="S24">
            <v>-9.0415959933919989</v>
          </cell>
          <cell r="T24">
            <v>6.1653757750293918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6.2668757466256135</v>
          </cell>
          <cell r="D26">
            <v>1.2027629303906879</v>
          </cell>
          <cell r="E26">
            <v>0.90360905505201972</v>
          </cell>
          <cell r="F26">
            <v>2.9353167997817837</v>
          </cell>
          <cell r="G26">
            <v>1.732553869391078</v>
          </cell>
          <cell r="H26">
            <v>-1.2027629303907412</v>
          </cell>
          <cell r="O26">
            <v>10</v>
          </cell>
          <cell r="P26">
            <v>1.2321855255329033</v>
          </cell>
          <cell r="Q26">
            <v>6.1653757750293918</v>
          </cell>
          <cell r="R26">
            <v>2.8762202183626782</v>
          </cell>
          <cell r="S26">
            <v>9.0415959933920522</v>
          </cell>
          <cell r="T26">
            <v>-6.1653757750293563</v>
          </cell>
        </row>
        <row r="27">
          <cell r="B27">
            <v>20</v>
          </cell>
          <cell r="C27">
            <v>12.533751493251227</v>
          </cell>
          <cell r="D27">
            <v>2.405525860781411</v>
          </cell>
          <cell r="E27">
            <v>1.8072181101040574</v>
          </cell>
          <cell r="F27">
            <v>5.8706335995635861</v>
          </cell>
          <cell r="G27">
            <v>3.4651077387821561</v>
          </cell>
          <cell r="H27">
            <v>-2.4055258607813936</v>
          </cell>
          <cell r="O27">
            <v>20</v>
          </cell>
          <cell r="P27">
            <v>2.4643710510657888</v>
          </cell>
          <cell r="Q27">
            <v>12.33075155005875</v>
          </cell>
          <cell r="R27">
            <v>5.7524404367253563</v>
          </cell>
          <cell r="S27">
            <v>18.083191986784069</v>
          </cell>
          <cell r="T27">
            <v>-12.330751550058713</v>
          </cell>
        </row>
        <row r="28">
          <cell r="B28">
            <v>30</v>
          </cell>
          <cell r="C28">
            <v>18.800627239876803</v>
          </cell>
          <cell r="D28">
            <v>3.6082887911721344</v>
          </cell>
          <cell r="E28">
            <v>2.7108271651560951</v>
          </cell>
          <cell r="F28">
            <v>8.8059503993453507</v>
          </cell>
          <cell r="G28">
            <v>5.1976616081732523</v>
          </cell>
          <cell r="H28">
            <v>-3.6082887911721344</v>
          </cell>
          <cell r="O28">
            <v>30</v>
          </cell>
          <cell r="P28">
            <v>3.6965565765986925</v>
          </cell>
          <cell r="Q28">
            <v>18.496127325088125</v>
          </cell>
          <cell r="R28">
            <v>8.6286606550880336</v>
          </cell>
          <cell r="S28">
            <v>27.124787980176141</v>
          </cell>
          <cell r="T28">
            <v>-18.496127325088089</v>
          </cell>
        </row>
        <row r="29">
          <cell r="B29">
            <v>40</v>
          </cell>
          <cell r="C29">
            <v>25.067502986502422</v>
          </cell>
          <cell r="D29">
            <v>4.8110517215628219</v>
          </cell>
          <cell r="E29">
            <v>3.6144362202081148</v>
          </cell>
          <cell r="F29">
            <v>11.741267199127188</v>
          </cell>
          <cell r="G29">
            <v>6.9302154775643485</v>
          </cell>
          <cell r="H29">
            <v>-4.8110517215628406</v>
          </cell>
          <cell r="O29">
            <v>40</v>
          </cell>
          <cell r="P29">
            <v>4.9287421021315776</v>
          </cell>
          <cell r="Q29">
            <v>24.6615031001175</v>
          </cell>
          <cell r="R29">
            <v>11.504880873450677</v>
          </cell>
          <cell r="S29">
            <v>36.166383973568159</v>
          </cell>
          <cell r="T29">
            <v>-24.661503100117447</v>
          </cell>
        </row>
        <row r="30">
          <cell r="B30">
            <v>50</v>
          </cell>
          <cell r="C30">
            <v>31.334378733128066</v>
          </cell>
          <cell r="D30">
            <v>6.0138146519535107</v>
          </cell>
          <cell r="E30">
            <v>4.5180452752601523</v>
          </cell>
          <cell r="F30">
            <v>35.281640598553594</v>
          </cell>
          <cell r="G30">
            <v>8.6627693469554075</v>
          </cell>
          <cell r="H30">
            <v>-6.013814651953564</v>
          </cell>
          <cell r="O30">
            <v>50</v>
          </cell>
          <cell r="P30">
            <v>6.1609276276644636</v>
          </cell>
          <cell r="Q30">
            <v>30.826878875146889</v>
          </cell>
          <cell r="R30">
            <v>14.381101091813337</v>
          </cell>
          <cell r="S30">
            <v>45.207979966960195</v>
          </cell>
          <cell r="T30">
            <v>-30.826878875146811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-38.484104622912902</v>
          </cell>
          <cell r="D35">
            <v>-8.1857231243426618</v>
          </cell>
          <cell r="E35">
            <v>-10.527463801339621</v>
          </cell>
          <cell r="F35">
            <v>-23.7918429107831</v>
          </cell>
          <cell r="G35">
            <v>-6.5475242627844752</v>
          </cell>
          <cell r="H35">
            <v>8.1857231243427009</v>
          </cell>
          <cell r="O35">
            <v>-50</v>
          </cell>
          <cell r="P35">
            <v>-15.090338283968252</v>
          </cell>
          <cell r="Q35">
            <v>-28.871783746588232</v>
          </cell>
          <cell r="R35">
            <v>-9.3930202369186802</v>
          </cell>
          <cell r="S35">
            <v>-38.264803983506887</v>
          </cell>
          <cell r="T35">
            <v>28.871783746588207</v>
          </cell>
        </row>
        <row r="36">
          <cell r="B36">
            <v>-40</v>
          </cell>
          <cell r="C36">
            <v>-30.787283698330327</v>
          </cell>
          <cell r="D36">
            <v>-6.5485784994741651</v>
          </cell>
          <cell r="E36">
            <v>-8.4219710410717283</v>
          </cell>
          <cell r="F36">
            <v>-13.392664477907257</v>
          </cell>
          <cell r="G36">
            <v>-5.2380194102275679</v>
          </cell>
          <cell r="H36">
            <v>6.5485784994741252</v>
          </cell>
          <cell r="O36">
            <v>-40</v>
          </cell>
          <cell r="P36">
            <v>-12.072270627174603</v>
          </cell>
          <cell r="Q36">
            <v>-23.097426997270585</v>
          </cell>
          <cell r="R36">
            <v>-7.5144161895349351</v>
          </cell>
          <cell r="S36">
            <v>-30.611843186805523</v>
          </cell>
          <cell r="T36">
            <v>23.097426997270549</v>
          </cell>
        </row>
        <row r="37">
          <cell r="B37">
            <v>-30</v>
          </cell>
          <cell r="C37">
            <v>-23.090462773747749</v>
          </cell>
          <cell r="D37">
            <v>-4.911433874605609</v>
          </cell>
          <cell r="E37">
            <v>-6.3164782808037767</v>
          </cell>
          <cell r="F37">
            <v>-10.073388552709297</v>
          </cell>
          <cell r="G37">
            <v>-3.928514557670701</v>
          </cell>
          <cell r="H37">
            <v>4.911433874605609</v>
          </cell>
          <cell r="O37">
            <v>-30</v>
          </cell>
          <cell r="P37">
            <v>-9.0542029703809543</v>
          </cell>
          <cell r="Q37">
            <v>-17.323070247952938</v>
          </cell>
          <cell r="R37">
            <v>-5.6358121421512131</v>
          </cell>
          <cell r="S37">
            <v>-22.958882390104161</v>
          </cell>
          <cell r="T37">
            <v>17.323070247952916</v>
          </cell>
        </row>
        <row r="38">
          <cell r="B38">
            <v>-20</v>
          </cell>
          <cell r="C38">
            <v>-15.393641849165151</v>
          </cell>
          <cell r="D38">
            <v>-3.2742892497370328</v>
          </cell>
          <cell r="E38">
            <v>-4.2109855205358437</v>
          </cell>
          <cell r="F38">
            <v>-6.7354813051226774</v>
          </cell>
          <cell r="G38">
            <v>-2.6190097051137942</v>
          </cell>
          <cell r="H38">
            <v>3.2742892497370528</v>
          </cell>
          <cell r="O38">
            <v>-20</v>
          </cell>
          <cell r="P38">
            <v>-6.0361353135872955</v>
          </cell>
          <cell r="Q38">
            <v>-11.548713498635292</v>
          </cell>
          <cell r="R38">
            <v>-3.7572080947674786</v>
          </cell>
          <cell r="S38">
            <v>-15.305921593402761</v>
          </cell>
          <cell r="T38">
            <v>11.548713498635257</v>
          </cell>
        </row>
        <row r="39">
          <cell r="B39">
            <v>-10</v>
          </cell>
          <cell r="C39">
            <v>-7.6968209245825969</v>
          </cell>
          <cell r="D39">
            <v>-1.6371446248685366</v>
          </cell>
          <cell r="E39">
            <v>-2.1054927602678921</v>
          </cell>
          <cell r="F39">
            <v>-3.3780111690280958</v>
          </cell>
          <cell r="G39">
            <v>-1.3095048525568871</v>
          </cell>
          <cell r="H39">
            <v>1.6371446248685366</v>
          </cell>
          <cell r="O39">
            <v>-10</v>
          </cell>
          <cell r="P39">
            <v>-3.0180676567936593</v>
          </cell>
          <cell r="Q39">
            <v>-5.7743567493176231</v>
          </cell>
          <cell r="R39">
            <v>-1.8786040473837338</v>
          </cell>
          <cell r="S39">
            <v>-7.6529607967013913</v>
          </cell>
          <cell r="T39">
            <v>5.7743567493176462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7.6968209245825969</v>
          </cell>
          <cell r="D41">
            <v>1.6371446248685366</v>
          </cell>
          <cell r="E41">
            <v>2.1054927602679121</v>
          </cell>
          <cell r="F41">
            <v>10.852108209058626</v>
          </cell>
          <cell r="G41">
            <v>1.3095048525568871</v>
          </cell>
          <cell r="H41">
            <v>-1.6371446248685366</v>
          </cell>
          <cell r="O41">
            <v>10</v>
          </cell>
          <cell r="P41">
            <v>3.0180676567936366</v>
          </cell>
          <cell r="Q41">
            <v>5.7743567493176462</v>
          </cell>
          <cell r="R41">
            <v>1.8786040473837224</v>
          </cell>
          <cell r="S41">
            <v>7.6529607967013673</v>
          </cell>
          <cell r="T41">
            <v>-5.7743567493176231</v>
          </cell>
        </row>
        <row r="42">
          <cell r="B42">
            <v>20</v>
          </cell>
          <cell r="C42">
            <v>15.393641849165112</v>
          </cell>
          <cell r="D42">
            <v>3.2742892497370528</v>
          </cell>
          <cell r="E42">
            <v>4.2109855205358437</v>
          </cell>
          <cell r="F42">
            <v>13.79875768648405</v>
          </cell>
          <cell r="G42">
            <v>2.6190097051137542</v>
          </cell>
          <cell r="H42">
            <v>-3.2742892497370328</v>
          </cell>
          <cell r="O42">
            <v>20</v>
          </cell>
          <cell r="P42">
            <v>6.0361353135873079</v>
          </cell>
          <cell r="Q42">
            <v>11.548713498635257</v>
          </cell>
          <cell r="R42">
            <v>3.7572080947674564</v>
          </cell>
          <cell r="S42">
            <v>15.305921593402724</v>
          </cell>
          <cell r="T42">
            <v>-11.548713498635292</v>
          </cell>
        </row>
        <row r="43">
          <cell r="B43">
            <v>30</v>
          </cell>
          <cell r="C43">
            <v>23.090462773747749</v>
          </cell>
          <cell r="D43">
            <v>4.911433874605609</v>
          </cell>
          <cell r="E43">
            <v>6.3164782808037971</v>
          </cell>
          <cell r="F43">
            <v>17.984867646835145</v>
          </cell>
          <cell r="G43">
            <v>3.928514557670701</v>
          </cell>
          <cell r="H43">
            <v>-4.911433874605609</v>
          </cell>
          <cell r="O43">
            <v>30</v>
          </cell>
          <cell r="P43">
            <v>9.054202970380933</v>
          </cell>
          <cell r="Q43">
            <v>17.323070247952916</v>
          </cell>
          <cell r="R43">
            <v>5.6358121421511784</v>
          </cell>
          <cell r="S43">
            <v>22.958882390104126</v>
          </cell>
          <cell r="T43">
            <v>-17.323070247952938</v>
          </cell>
        </row>
        <row r="44">
          <cell r="B44">
            <v>40</v>
          </cell>
          <cell r="C44">
            <v>30.787283698330302</v>
          </cell>
          <cell r="D44">
            <v>6.5485784994741252</v>
          </cell>
          <cell r="E44">
            <v>8.4219710410716484</v>
          </cell>
          <cell r="F44">
            <v>20.93151712426053</v>
          </cell>
          <cell r="G44">
            <v>5.2380194102275679</v>
          </cell>
          <cell r="H44">
            <v>-6.5485784994741651</v>
          </cell>
          <cell r="O44">
            <v>40</v>
          </cell>
          <cell r="P44">
            <v>12.072270627174559</v>
          </cell>
          <cell r="Q44">
            <v>23.097426997270549</v>
          </cell>
          <cell r="R44">
            <v>7.5144161895349466</v>
          </cell>
          <cell r="S44">
            <v>30.611843186805487</v>
          </cell>
          <cell r="T44">
            <v>-23.097426997270585</v>
          </cell>
        </row>
        <row r="45">
          <cell r="B45">
            <v>50</v>
          </cell>
          <cell r="C45">
            <v>38.484104622912859</v>
          </cell>
          <cell r="D45">
            <v>8.1857231243427009</v>
          </cell>
          <cell r="E45">
            <v>10.527463801339602</v>
          </cell>
          <cell r="F45">
            <v>23.878166601685951</v>
          </cell>
          <cell r="G45">
            <v>6.5475242627844557</v>
          </cell>
          <cell r="H45">
            <v>-8.1857231243426618</v>
          </cell>
          <cell r="O45">
            <v>50</v>
          </cell>
          <cell r="P45">
            <v>15.090338283968229</v>
          </cell>
          <cell r="Q45">
            <v>28.871783746588207</v>
          </cell>
          <cell r="R45">
            <v>9.3930202369186464</v>
          </cell>
          <cell r="S45">
            <v>38.264803983506887</v>
          </cell>
          <cell r="T45">
            <v>-28.871783746588232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Y1000"/>
  <sheetViews>
    <sheetView topLeftCell="B7" zoomScale="85" zoomScaleNormal="85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8.42578125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0" width="11.140625" customWidth="1"/>
    <col min="21" max="22" width="31.28515625" customWidth="1"/>
    <col min="23" max="23" width="23.85546875" customWidth="1"/>
    <col min="24" max="24" width="14.7109375" customWidth="1"/>
    <col min="25" max="25" width="13.42578125" customWidth="1"/>
    <col min="26" max="26" width="19.5703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5703125" customWidth="1"/>
    <col min="40" max="40" width="9.7109375" customWidth="1"/>
    <col min="41" max="41" width="15.5703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2</v>
      </c>
      <c r="B2" s="3">
        <f>X49</f>
        <v>620236.27943891438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4">
        <f>B2/J34</f>
        <v>1.2404725588778287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3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2" t="s">
        <v>23</v>
      </c>
      <c r="Y7" s="1"/>
      <c r="Z7" s="2" t="s">
        <v>24</v>
      </c>
      <c r="AA7" s="2"/>
      <c r="AB7" s="2" t="s">
        <v>25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3" t="s">
        <v>26</v>
      </c>
      <c r="B8" s="14">
        <v>55.7</v>
      </c>
      <c r="C8" s="2" t="s">
        <v>27</v>
      </c>
      <c r="D8" s="2"/>
      <c r="E8" s="2"/>
      <c r="F8" s="2"/>
      <c r="G8" s="2"/>
      <c r="H8" s="15"/>
      <c r="I8" s="16" t="s">
        <v>199</v>
      </c>
      <c r="J8" s="6">
        <v>12182129.032258065</v>
      </c>
      <c r="K8" s="2" t="s">
        <v>29</v>
      </c>
      <c r="L8" s="15"/>
      <c r="M8" s="2"/>
      <c r="N8" s="11">
        <v>0</v>
      </c>
      <c r="O8" s="17">
        <f>F31</f>
        <v>124545.45176139456</v>
      </c>
      <c r="P8" s="11"/>
      <c r="Q8" s="11"/>
      <c r="R8" s="11"/>
      <c r="S8" s="11"/>
      <c r="T8" s="11"/>
      <c r="U8" s="11"/>
      <c r="V8" s="11"/>
      <c r="W8" s="11"/>
      <c r="X8" s="18">
        <f t="shared" ref="X8:X48" si="0">SUM(O8:W8)</f>
        <v>124545.45176139456</v>
      </c>
      <c r="Y8" s="3"/>
      <c r="Z8" s="6"/>
      <c r="AA8" s="2"/>
      <c r="AB8" s="2" t="s">
        <v>30</v>
      </c>
      <c r="AC8" s="19">
        <f>F36</f>
        <v>0.26175942549371634</v>
      </c>
      <c r="AD8" s="2" t="s">
        <v>31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3"/>
      <c r="B9" s="2"/>
      <c r="C9" s="2"/>
      <c r="D9" s="2"/>
      <c r="E9" s="2"/>
      <c r="F9" s="20"/>
      <c r="G9" s="2"/>
      <c r="H9" s="15"/>
      <c r="I9" s="16" t="s">
        <v>32</v>
      </c>
      <c r="J9" s="6">
        <v>19700</v>
      </c>
      <c r="K9" s="2" t="s">
        <v>33</v>
      </c>
      <c r="L9" s="15"/>
      <c r="M9" s="2"/>
      <c r="N9" s="11">
        <v>1</v>
      </c>
      <c r="O9" s="11"/>
      <c r="P9" s="21">
        <f t="shared" ref="P9:P48" si="1">IF(N9&gt;0,IF(N9&lt;=$J$21,(($F$32+$F$33)/$J$21)/((1+($F$11/100))^N9),0),0)</f>
        <v>75004.038727417617</v>
      </c>
      <c r="Q9" s="22">
        <f t="shared" ref="Q9:Q48" si="2">IF(N9&gt;0,($F$41*((1+($F$14/100))^(N9-1)))/((1+($F$11/100))^N9),0)</f>
        <v>12340.087201846625</v>
      </c>
      <c r="R9" s="22">
        <f t="shared" ref="R9:R48" si="3">IF(N9&gt;0,$F$40/((1+($F$11/100))^N9),0)</f>
        <v>0</v>
      </c>
      <c r="S9" s="22">
        <f t="shared" ref="S9:S48" si="4">IF(N9&gt;0,$J$37/((1+($F$11/100))^N9),0)</f>
        <v>16687.680601863725</v>
      </c>
      <c r="T9" s="22">
        <f t="shared" ref="T9:T48" si="5">IF(N9&gt;0,($J$46)/((1+($F$11/100))^N9),0)</f>
        <v>30.315465503975375</v>
      </c>
      <c r="U9" s="22">
        <f t="shared" ref="U9:U48" si="6">IF(AND(MOD(N9,$J$31)=0,N9&gt;0),$B$46/((1+($F$11/100))^N9),0)</f>
        <v>0</v>
      </c>
      <c r="V9" s="22">
        <f t="shared" ref="V9:V48" si="7">IF(N9&gt;0,$J$32/((1+($F$11/100))^N9),0)</f>
        <v>0</v>
      </c>
      <c r="W9" s="21">
        <f t="shared" ref="W9:W18" si="8">IF(N9=$B$5,((((1-$J$16/100)^N9)*$B$47+((1-$J$17/100)^N9)*$B$48)/((1+($F$11/100))^N9))*-1,0)</f>
        <v>0</v>
      </c>
      <c r="X9" s="18">
        <f t="shared" si="0"/>
        <v>104062.12199663193</v>
      </c>
      <c r="Y9" s="3"/>
      <c r="Z9" s="6">
        <f t="shared" ref="Z9:Z48" si="9">IF(N9&gt;0,((((1-$J$16/100)^N9)*$B$47+((1-$J$17/100)^N9)*$B$48)/((1+($F$11/100))^N9)),0)</f>
        <v>266646.77972350229</v>
      </c>
      <c r="AA9" s="2"/>
      <c r="AB9" s="2" t="s">
        <v>34</v>
      </c>
      <c r="AC9" s="5">
        <f>B48</f>
        <v>40572</v>
      </c>
      <c r="AD9" s="2" t="s">
        <v>3</v>
      </c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105</v>
      </c>
      <c r="K10" s="2" t="s">
        <v>31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71432.417835635832</v>
      </c>
      <c r="Q10" s="22">
        <f t="shared" si="2"/>
        <v>11869.988641776279</v>
      </c>
      <c r="R10" s="22">
        <f t="shared" si="3"/>
        <v>0</v>
      </c>
      <c r="S10" s="22">
        <f t="shared" si="4"/>
        <v>15893.029144632121</v>
      </c>
      <c r="T10" s="22">
        <f t="shared" si="5"/>
        <v>28.871871908547977</v>
      </c>
      <c r="U10" s="22">
        <f t="shared" si="6"/>
        <v>0</v>
      </c>
      <c r="V10" s="22">
        <f t="shared" si="7"/>
        <v>0</v>
      </c>
      <c r="W10" s="21">
        <f t="shared" si="8"/>
        <v>0</v>
      </c>
      <c r="X10" s="18">
        <f t="shared" si="0"/>
        <v>99224.307493952772</v>
      </c>
      <c r="Y10" s="3"/>
      <c r="Z10" s="6">
        <f t="shared" si="9"/>
        <v>234685.82418959844</v>
      </c>
      <c r="AA10" s="2"/>
      <c r="AB10" s="2" t="s">
        <v>174</v>
      </c>
      <c r="AC10" s="24">
        <f>B52</f>
        <v>415151.50587131525</v>
      </c>
      <c r="AD10" s="2" t="s">
        <v>3</v>
      </c>
      <c r="AE10" s="2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25" t="s">
        <v>172</v>
      </c>
      <c r="B11" s="26">
        <v>0</v>
      </c>
      <c r="C11" s="2" t="s">
        <v>38</v>
      </c>
      <c r="D11" s="2"/>
      <c r="E11" s="16" t="s">
        <v>39</v>
      </c>
      <c r="F11" s="2">
        <v>5</v>
      </c>
      <c r="G11" s="2" t="s">
        <v>38</v>
      </c>
      <c r="H11" s="15"/>
      <c r="I11" s="16" t="s">
        <v>40</v>
      </c>
      <c r="J11" s="6">
        <v>322</v>
      </c>
      <c r="K11" s="2" t="s">
        <v>41</v>
      </c>
      <c r="L11" s="15"/>
      <c r="M11" s="2"/>
      <c r="N11" s="11">
        <f t="shared" si="10"/>
        <v>3</v>
      </c>
      <c r="O11" s="11"/>
      <c r="P11" s="21">
        <f t="shared" si="1"/>
        <v>68030.874129176969</v>
      </c>
      <c r="Q11" s="22">
        <f t="shared" si="2"/>
        <v>11417.798598280038</v>
      </c>
      <c r="R11" s="22">
        <f t="shared" si="3"/>
        <v>0</v>
      </c>
      <c r="S11" s="22">
        <f t="shared" si="4"/>
        <v>15136.21823298297</v>
      </c>
      <c r="T11" s="22">
        <f t="shared" si="5"/>
        <v>27.497020865283787</v>
      </c>
      <c r="U11" s="22">
        <f t="shared" si="6"/>
        <v>0</v>
      </c>
      <c r="V11" s="22">
        <f t="shared" si="7"/>
        <v>0</v>
      </c>
      <c r="W11" s="21">
        <f t="shared" si="8"/>
        <v>0</v>
      </c>
      <c r="X11" s="18">
        <f t="shared" si="0"/>
        <v>94612.387981305263</v>
      </c>
      <c r="Y11" s="3"/>
      <c r="Z11" s="6">
        <f t="shared" si="9"/>
        <v>206597.53910569035</v>
      </c>
      <c r="AA11" s="2"/>
      <c r="AB11" s="2" t="s">
        <v>42</v>
      </c>
      <c r="AC11" s="6">
        <f>F12</f>
        <v>50000</v>
      </c>
      <c r="AD11" s="2" t="s">
        <v>43</v>
      </c>
      <c r="AE11" s="2"/>
      <c r="AF11" s="6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25" t="s">
        <v>44</v>
      </c>
      <c r="B12" s="2">
        <v>0</v>
      </c>
      <c r="C12" s="2" t="s">
        <v>38</v>
      </c>
      <c r="D12" s="2"/>
      <c r="E12" s="16" t="s">
        <v>45</v>
      </c>
      <c r="F12" s="6">
        <v>50000</v>
      </c>
      <c r="G12" s="2" t="s">
        <v>43</v>
      </c>
      <c r="H12" s="15"/>
      <c r="I12" s="16" t="s">
        <v>46</v>
      </c>
      <c r="J12" s="6">
        <v>4000</v>
      </c>
      <c r="K12" s="2" t="s">
        <v>47</v>
      </c>
      <c r="L12" s="15"/>
      <c r="M12" s="2"/>
      <c r="N12" s="11">
        <f t="shared" si="10"/>
        <v>4</v>
      </c>
      <c r="O12" s="11"/>
      <c r="P12" s="21">
        <f t="shared" si="1"/>
        <v>64791.308694454267</v>
      </c>
      <c r="Q12" s="22">
        <f t="shared" si="2"/>
        <v>10982.834842155085</v>
      </c>
      <c r="R12" s="22">
        <f t="shared" si="3"/>
        <v>0</v>
      </c>
      <c r="S12" s="22">
        <f t="shared" si="4"/>
        <v>14415.445936174259</v>
      </c>
      <c r="T12" s="22">
        <f t="shared" si="5"/>
        <v>26.187638919317894</v>
      </c>
      <c r="U12" s="22">
        <f t="shared" si="6"/>
        <v>0</v>
      </c>
      <c r="V12" s="22">
        <f t="shared" si="7"/>
        <v>0</v>
      </c>
      <c r="W12" s="21">
        <f t="shared" si="8"/>
        <v>0</v>
      </c>
      <c r="X12" s="18">
        <f t="shared" si="0"/>
        <v>90215.777111702933</v>
      </c>
      <c r="Y12" s="3"/>
      <c r="Z12" s="6">
        <f t="shared" si="9"/>
        <v>181906.57135892776</v>
      </c>
      <c r="AA12" s="2"/>
      <c r="AB12" s="16" t="s">
        <v>48</v>
      </c>
      <c r="AC12" s="24">
        <f>J41</f>
        <v>17520</v>
      </c>
      <c r="AD12" s="2" t="s">
        <v>49</v>
      </c>
      <c r="AE12" s="2"/>
      <c r="AF12" s="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25" t="s">
        <v>50</v>
      </c>
      <c r="B13" s="2">
        <v>12</v>
      </c>
      <c r="C13" s="2" t="s">
        <v>38</v>
      </c>
      <c r="D13" s="2"/>
      <c r="E13" s="16" t="s">
        <v>30</v>
      </c>
      <c r="F13" s="27">
        <v>14.58</v>
      </c>
      <c r="G13" s="2" t="s">
        <v>51</v>
      </c>
      <c r="H13" s="15"/>
      <c r="I13" s="16" t="s">
        <v>52</v>
      </c>
      <c r="J13" s="6">
        <v>235</v>
      </c>
      <c r="K13" s="2" t="s">
        <v>53</v>
      </c>
      <c r="L13" s="15"/>
      <c r="M13" s="2"/>
      <c r="N13" s="11">
        <f t="shared" si="10"/>
        <v>5</v>
      </c>
      <c r="O13" s="11"/>
      <c r="P13" s="21">
        <f t="shared" si="1"/>
        <v>61706.00828043263</v>
      </c>
      <c r="Q13" s="22">
        <f t="shared" si="2"/>
        <v>10564.44113388251</v>
      </c>
      <c r="R13" s="22">
        <f t="shared" si="3"/>
        <v>0</v>
      </c>
      <c r="S13" s="22">
        <f t="shared" si="4"/>
        <v>13728.996129689769</v>
      </c>
      <c r="T13" s="22">
        <f t="shared" si="5"/>
        <v>24.940608494588467</v>
      </c>
      <c r="U13" s="22">
        <f t="shared" si="6"/>
        <v>0</v>
      </c>
      <c r="V13" s="22">
        <f t="shared" si="7"/>
        <v>0</v>
      </c>
      <c r="W13" s="21">
        <f t="shared" si="8"/>
        <v>0</v>
      </c>
      <c r="X13" s="18">
        <f t="shared" si="0"/>
        <v>86024.386152499501</v>
      </c>
      <c r="Y13" s="3"/>
      <c r="Z13" s="6">
        <f t="shared" si="9"/>
        <v>160196.79880002976</v>
      </c>
      <c r="AA13" s="2"/>
      <c r="AB13" s="2" t="s">
        <v>171</v>
      </c>
      <c r="AC13" s="6">
        <f>J26</f>
        <v>117.5</v>
      </c>
      <c r="AD13" s="2" t="s">
        <v>162</v>
      </c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25" t="s">
        <v>54</v>
      </c>
      <c r="B14" s="2">
        <v>25</v>
      </c>
      <c r="C14" s="2" t="s">
        <v>38</v>
      </c>
      <c r="D14" s="2"/>
      <c r="E14" s="16" t="s">
        <v>55</v>
      </c>
      <c r="F14" s="2">
        <v>1</v>
      </c>
      <c r="G14" s="2" t="s">
        <v>56</v>
      </c>
      <c r="H14" s="15"/>
      <c r="I14" s="16" t="s">
        <v>57</v>
      </c>
      <c r="J14" s="28">
        <v>30</v>
      </c>
      <c r="K14" s="2" t="s">
        <v>58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10161.986233544128</v>
      </c>
      <c r="R14" s="22">
        <f t="shared" si="3"/>
        <v>0</v>
      </c>
      <c r="S14" s="22">
        <f t="shared" si="4"/>
        <v>13075.234409228353</v>
      </c>
      <c r="T14" s="22">
        <f t="shared" si="5"/>
        <v>23.752960471036641</v>
      </c>
      <c r="U14" s="22">
        <f t="shared" si="6"/>
        <v>0</v>
      </c>
      <c r="V14" s="22">
        <f t="shared" si="7"/>
        <v>0</v>
      </c>
      <c r="W14" s="21">
        <f t="shared" si="8"/>
        <v>0</v>
      </c>
      <c r="X14" s="18">
        <f t="shared" si="0"/>
        <v>23260.973603243518</v>
      </c>
      <c r="Y14" s="3"/>
      <c r="Z14" s="6">
        <f t="shared" si="9"/>
        <v>141103.82363799354</v>
      </c>
      <c r="AA14" s="2"/>
      <c r="AB14" s="2" t="s">
        <v>198</v>
      </c>
      <c r="AC14" s="27">
        <f>J18</f>
        <v>0.99</v>
      </c>
      <c r="AD14" s="2" t="s">
        <v>71</v>
      </c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25" t="s">
        <v>59</v>
      </c>
      <c r="B15" s="2">
        <v>20</v>
      </c>
      <c r="C15" s="2" t="s">
        <v>38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5">
        <v>20</v>
      </c>
      <c r="K15" s="2" t="s">
        <v>38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9774.8629484567336</v>
      </c>
      <c r="R15" s="22">
        <f t="shared" si="3"/>
        <v>0</v>
      </c>
      <c r="S15" s="22">
        <f t="shared" si="4"/>
        <v>12452.604199265095</v>
      </c>
      <c r="T15" s="22">
        <f t="shared" si="5"/>
        <v>22.621867115272984</v>
      </c>
      <c r="U15" s="22">
        <f t="shared" si="6"/>
        <v>0</v>
      </c>
      <c r="V15" s="22">
        <f t="shared" si="7"/>
        <v>0</v>
      </c>
      <c r="W15" s="21">
        <f t="shared" si="8"/>
        <v>0</v>
      </c>
      <c r="X15" s="18">
        <f t="shared" si="0"/>
        <v>22250.089014837104</v>
      </c>
      <c r="Y15" s="3"/>
      <c r="Z15" s="6">
        <f t="shared" si="9"/>
        <v>124308.43493361515</v>
      </c>
      <c r="AA15" s="2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25" t="s">
        <v>63</v>
      </c>
      <c r="B16" s="2">
        <f>0%*12.5%</f>
        <v>0</v>
      </c>
      <c r="C16" s="2" t="s">
        <v>29</v>
      </c>
      <c r="D16" s="2"/>
      <c r="E16" s="16" t="s">
        <v>64</v>
      </c>
      <c r="F16" s="2">
        <v>0</v>
      </c>
      <c r="G16" s="2" t="s">
        <v>61</v>
      </c>
      <c r="H16" s="15"/>
      <c r="I16" s="16" t="s">
        <v>65</v>
      </c>
      <c r="J16" s="2">
        <v>7.08</v>
      </c>
      <c r="K16" s="2" t="s">
        <v>66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9402.4872170869512</v>
      </c>
      <c r="R16" s="22">
        <f t="shared" si="3"/>
        <v>0</v>
      </c>
      <c r="S16" s="22">
        <f t="shared" si="4"/>
        <v>11859.623046919141</v>
      </c>
      <c r="T16" s="22">
        <f t="shared" si="5"/>
        <v>21.544635347879037</v>
      </c>
      <c r="U16" s="22">
        <f t="shared" si="6"/>
        <v>0</v>
      </c>
      <c r="V16" s="22">
        <f t="shared" si="7"/>
        <v>0</v>
      </c>
      <c r="W16" s="21">
        <f t="shared" si="8"/>
        <v>0</v>
      </c>
      <c r="X16" s="18">
        <f t="shared" si="0"/>
        <v>21283.654899353973</v>
      </c>
      <c r="Y16" s="3"/>
      <c r="Z16" s="6">
        <f t="shared" si="9"/>
        <v>109530.91262590238</v>
      </c>
      <c r="AA16" s="2"/>
      <c r="AB16" s="2"/>
      <c r="AC16" s="2"/>
      <c r="AD16" s="2"/>
      <c r="AE16" s="2"/>
      <c r="AF16" s="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25" t="s">
        <v>181</v>
      </c>
      <c r="B17" s="2">
        <v>450</v>
      </c>
      <c r="C17" s="2" t="s">
        <v>29</v>
      </c>
      <c r="D17" s="2"/>
      <c r="E17" s="16" t="s">
        <v>67</v>
      </c>
      <c r="F17" s="6">
        <v>115</v>
      </c>
      <c r="G17" s="2" t="s">
        <v>61</v>
      </c>
      <c r="H17" s="15"/>
      <c r="I17" s="16" t="s">
        <v>68</v>
      </c>
      <c r="J17" s="2">
        <v>11</v>
      </c>
      <c r="K17" s="2" t="s">
        <v>66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9044.2972278645939</v>
      </c>
      <c r="R17" s="22">
        <f t="shared" si="3"/>
        <v>0</v>
      </c>
      <c r="S17" s="22">
        <f t="shared" si="4"/>
        <v>11294.879092303943</v>
      </c>
      <c r="T17" s="22">
        <f t="shared" si="5"/>
        <v>20.518700331313369</v>
      </c>
      <c r="U17" s="22">
        <f t="shared" si="6"/>
        <v>0</v>
      </c>
      <c r="V17" s="22">
        <f t="shared" si="7"/>
        <v>0</v>
      </c>
      <c r="W17" s="21">
        <f t="shared" si="8"/>
        <v>0</v>
      </c>
      <c r="X17" s="18">
        <f t="shared" si="0"/>
        <v>20359.695020499854</v>
      </c>
      <c r="Y17" s="3"/>
      <c r="Z17" s="6">
        <f t="shared" si="9"/>
        <v>96526.062650896245</v>
      </c>
      <c r="AA17" s="2"/>
      <c r="AB17" s="2"/>
      <c r="AC17" s="2"/>
      <c r="AD17" s="2"/>
      <c r="AE17" s="2"/>
      <c r="AF17" s="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25" t="s">
        <v>182</v>
      </c>
      <c r="B18" s="2">
        <v>10</v>
      </c>
      <c r="C18" s="2" t="s">
        <v>29</v>
      </c>
      <c r="D18" s="2"/>
      <c r="E18" s="16" t="s">
        <v>69</v>
      </c>
      <c r="F18" s="2">
        <v>0.3</v>
      </c>
      <c r="G18" s="2"/>
      <c r="H18" s="15"/>
      <c r="I18" s="16" t="s">
        <v>70</v>
      </c>
      <c r="J18" s="27">
        <v>0.99</v>
      </c>
      <c r="K18" s="2" t="s">
        <v>71</v>
      </c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8699.7525715649899</v>
      </c>
      <c r="R18" s="22">
        <f t="shared" si="3"/>
        <v>0</v>
      </c>
      <c r="S18" s="22">
        <f t="shared" si="4"/>
        <v>10757.027706956136</v>
      </c>
      <c r="T18" s="22">
        <f t="shared" si="5"/>
        <v>19.541619363155586</v>
      </c>
      <c r="U18" s="22">
        <f t="shared" si="6"/>
        <v>0</v>
      </c>
      <c r="V18" s="22">
        <f t="shared" si="7"/>
        <v>0</v>
      </c>
      <c r="W18" s="21">
        <f t="shared" si="8"/>
        <v>-85078.887494391165</v>
      </c>
      <c r="X18" s="18">
        <f t="shared" si="0"/>
        <v>-65602.565596506887</v>
      </c>
      <c r="Y18" s="3"/>
      <c r="Z18" s="6">
        <f t="shared" si="9"/>
        <v>85078.887494391165</v>
      </c>
      <c r="AA18" s="2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25" t="s">
        <v>72</v>
      </c>
      <c r="B19" s="2">
        <v>50</v>
      </c>
      <c r="C19" s="2" t="s">
        <v>29</v>
      </c>
      <c r="D19" s="2"/>
      <c r="E19" s="16" t="s">
        <v>73</v>
      </c>
      <c r="F19" s="6">
        <v>0</v>
      </c>
      <c r="G19" s="2" t="s">
        <v>61</v>
      </c>
      <c r="H19" s="15"/>
      <c r="I19" s="2"/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5"/>
        <v>0</v>
      </c>
      <c r="U19" s="22">
        <f t="shared" si="6"/>
        <v>0</v>
      </c>
      <c r="V19" s="22">
        <f t="shared" si="7"/>
        <v>0</v>
      </c>
      <c r="W19" s="21">
        <f t="shared" ref="W19:W48" si="11">IF(N19=$B$5,((((1-$J$16/100)^N19)*$B$52+((1-$J$17/100)^N19)*$B$48)/((1+($F$11/100))^N19))*-1,0)</f>
        <v>0</v>
      </c>
      <c r="X19" s="18">
        <f t="shared" si="0"/>
        <v>0</v>
      </c>
      <c r="Y19" s="3"/>
      <c r="Z19" s="6">
        <f t="shared" si="9"/>
        <v>0</v>
      </c>
      <c r="AA19" s="2"/>
      <c r="AB19" s="2"/>
      <c r="AC19" s="2"/>
      <c r="AD19" s="2"/>
      <c r="AE19" s="2"/>
      <c r="AF19" s="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2"/>
      <c r="B20" s="2"/>
      <c r="C20" s="2"/>
      <c r="D20" s="2"/>
      <c r="E20" s="16" t="s">
        <v>74</v>
      </c>
      <c r="F20" s="6">
        <v>0</v>
      </c>
      <c r="G20" s="2" t="s">
        <v>75</v>
      </c>
      <c r="H20" s="15"/>
      <c r="I20" s="1" t="s">
        <v>77</v>
      </c>
      <c r="J20" s="2"/>
      <c r="K20" s="2"/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5"/>
        <v>0</v>
      </c>
      <c r="U20" s="22">
        <f t="shared" si="6"/>
        <v>0</v>
      </c>
      <c r="V20" s="22">
        <f t="shared" si="7"/>
        <v>0</v>
      </c>
      <c r="W20" s="21">
        <f t="shared" si="11"/>
        <v>0</v>
      </c>
      <c r="X20" s="18">
        <f t="shared" si="0"/>
        <v>0</v>
      </c>
      <c r="Y20" s="3"/>
      <c r="Z20" s="6">
        <f t="shared" si="9"/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16" t="s">
        <v>48</v>
      </c>
      <c r="F21" s="32">
        <v>19.51728</v>
      </c>
      <c r="G21" s="2" t="s">
        <v>76</v>
      </c>
      <c r="H21" s="15"/>
      <c r="I21" s="16" t="s">
        <v>83</v>
      </c>
      <c r="J21" s="2">
        <v>5</v>
      </c>
      <c r="K21" s="2" t="s">
        <v>58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5"/>
        <v>0</v>
      </c>
      <c r="U21" s="22">
        <f t="shared" si="6"/>
        <v>0</v>
      </c>
      <c r="V21" s="22">
        <f t="shared" si="7"/>
        <v>0</v>
      </c>
      <c r="W21" s="21">
        <f t="shared" si="11"/>
        <v>0</v>
      </c>
      <c r="X21" s="18">
        <f t="shared" si="0"/>
        <v>0</v>
      </c>
      <c r="Y21" s="3"/>
      <c r="Z21" s="6">
        <f t="shared" si="9"/>
        <v>0</v>
      </c>
      <c r="AA21" s="2"/>
      <c r="AB21" s="29" t="s">
        <v>30</v>
      </c>
      <c r="AC21" s="30"/>
      <c r="AD21" s="30"/>
      <c r="AE21" s="30"/>
      <c r="AF21" s="2"/>
      <c r="AG21" s="29" t="s">
        <v>28</v>
      </c>
      <c r="AH21" s="30"/>
      <c r="AI21" s="30"/>
      <c r="AJ21" s="30"/>
      <c r="AK21" s="2"/>
      <c r="AL21" s="86" t="s">
        <v>187</v>
      </c>
      <c r="AM21" s="86" t="s">
        <v>188</v>
      </c>
      <c r="AN21" s="86" t="s">
        <v>189</v>
      </c>
      <c r="AO21" s="86" t="s">
        <v>34</v>
      </c>
      <c r="AP21" s="86" t="s">
        <v>190</v>
      </c>
      <c r="AQ21" s="86" t="s">
        <v>191</v>
      </c>
      <c r="AR21" s="91" t="str">
        <f>AB66</f>
        <v>Energy Efficiency</v>
      </c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16" t="s">
        <v>82</v>
      </c>
      <c r="F22" s="2">
        <v>7.1</v>
      </c>
      <c r="G22" s="2" t="s">
        <v>66</v>
      </c>
      <c r="H22" s="15"/>
      <c r="I22" s="16" t="s">
        <v>86</v>
      </c>
      <c r="J22" s="2">
        <v>30</v>
      </c>
      <c r="K22" s="2" t="s">
        <v>87</v>
      </c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5"/>
        <v>0</v>
      </c>
      <c r="U22" s="22">
        <f t="shared" si="6"/>
        <v>0</v>
      </c>
      <c r="V22" s="22">
        <f t="shared" si="7"/>
        <v>0</v>
      </c>
      <c r="W22" s="21">
        <f t="shared" si="11"/>
        <v>0</v>
      </c>
      <c r="X22" s="18">
        <f t="shared" si="0"/>
        <v>0</v>
      </c>
      <c r="Y22" s="3"/>
      <c r="Z22" s="6">
        <f t="shared" si="9"/>
        <v>0</v>
      </c>
      <c r="AA22" s="2"/>
      <c r="AB22" s="30" t="s">
        <v>78</v>
      </c>
      <c r="AC22" s="30" t="s">
        <v>79</v>
      </c>
      <c r="AD22" s="30" t="s">
        <v>23</v>
      </c>
      <c r="AE22" s="30" t="s">
        <v>80</v>
      </c>
      <c r="AF22" s="2"/>
      <c r="AG22" s="30" t="s">
        <v>78</v>
      </c>
      <c r="AH22" s="30" t="s">
        <v>81</v>
      </c>
      <c r="AI22" s="30" t="s">
        <v>23</v>
      </c>
      <c r="AJ22" s="30" t="s">
        <v>80</v>
      </c>
      <c r="AK22" s="2"/>
      <c r="AL22" s="87">
        <v>-50</v>
      </c>
      <c r="AM22" s="88">
        <f>AJ24</f>
        <v>-37.526835728605462</v>
      </c>
      <c r="AN22" s="88">
        <f>AE24</f>
        <v>-8.4047434883020085</v>
      </c>
      <c r="AO22" s="89">
        <f t="shared" ref="AO22:AO32" si="12">AE39</f>
        <v>-4.3982742959392294</v>
      </c>
      <c r="AP22" s="89">
        <f t="shared" ref="AP22:AP32" si="13">AJ39</f>
        <v>-19.310651482083109</v>
      </c>
      <c r="AQ22" s="89">
        <f>AE54</f>
        <v>-10.90590799378108</v>
      </c>
      <c r="AR22" s="58">
        <f>AE69</f>
        <v>8.4047434883020653</v>
      </c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16" t="s">
        <v>85</v>
      </c>
      <c r="F23" s="5">
        <v>30</v>
      </c>
      <c r="G23" s="2" t="s">
        <v>38</v>
      </c>
      <c r="H23" s="15"/>
      <c r="I23" s="62" t="s">
        <v>157</v>
      </c>
      <c r="J23" s="63"/>
      <c r="K23" s="63"/>
      <c r="L23" s="64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5"/>
        <v>0</v>
      </c>
      <c r="U23" s="22">
        <f t="shared" si="6"/>
        <v>0</v>
      </c>
      <c r="V23" s="22">
        <f t="shared" si="7"/>
        <v>0</v>
      </c>
      <c r="W23" s="21">
        <f t="shared" si="11"/>
        <v>0</v>
      </c>
      <c r="X23" s="18">
        <f t="shared" si="0"/>
        <v>0</v>
      </c>
      <c r="Y23" s="3"/>
      <c r="Z23" s="6">
        <f t="shared" si="9"/>
        <v>0</v>
      </c>
      <c r="AA23" s="2"/>
      <c r="AB23" s="30" t="s">
        <v>84</v>
      </c>
      <c r="AC23" s="33">
        <v>0.26175942549371634</v>
      </c>
      <c r="AD23" s="34">
        <f>X49</f>
        <v>620236.27943891438</v>
      </c>
      <c r="AE23" s="30"/>
      <c r="AF23" s="2"/>
      <c r="AG23" s="30" t="s">
        <v>84</v>
      </c>
      <c r="AH23" s="35">
        <v>415151.50587131525</v>
      </c>
      <c r="AI23" s="34">
        <f>X49</f>
        <v>620236.27943891438</v>
      </c>
      <c r="AJ23" s="30"/>
      <c r="AK23" s="2"/>
      <c r="AL23" s="87">
        <v>-40</v>
      </c>
      <c r="AM23" s="88">
        <f>AJ25</f>
        <v>-30.021468582884381</v>
      </c>
      <c r="AN23" s="88">
        <f t="shared" ref="AN23:AN32" si="14">AE25</f>
        <v>-6.7237947906416045</v>
      </c>
      <c r="AO23" s="89">
        <f t="shared" si="12"/>
        <v>-3.5186194367513912</v>
      </c>
      <c r="AP23" s="89">
        <f t="shared" si="13"/>
        <v>-15.448521185666458</v>
      </c>
      <c r="AQ23" s="89">
        <f t="shared" ref="AQ23:AQ32" si="15">AE55</f>
        <v>-8.7247263950248364</v>
      </c>
      <c r="AR23" s="58">
        <f t="shared" ref="AR23:AR32" si="16">AE70</f>
        <v>6.7237947906416222</v>
      </c>
      <c r="AS23" s="32"/>
      <c r="AT23" s="32"/>
      <c r="AU23" s="32"/>
      <c r="AV23" s="32"/>
      <c r="AW23" s="32"/>
      <c r="AX23" s="32"/>
      <c r="AY23" s="32"/>
    </row>
    <row r="24" spans="1:51" ht="15.75" customHeight="1" x14ac:dyDescent="0.25">
      <c r="A24" s="13"/>
      <c r="B24" s="2"/>
      <c r="C24" s="2"/>
      <c r="D24" s="2"/>
      <c r="H24" s="15"/>
      <c r="I24" s="63" t="s">
        <v>158</v>
      </c>
      <c r="J24" s="65" t="s">
        <v>156</v>
      </c>
      <c r="K24" s="63"/>
      <c r="L24" s="64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5"/>
        <v>0</v>
      </c>
      <c r="U24" s="22">
        <f t="shared" si="6"/>
        <v>0</v>
      </c>
      <c r="V24" s="22">
        <f t="shared" si="7"/>
        <v>0</v>
      </c>
      <c r="W24" s="21">
        <f t="shared" si="11"/>
        <v>0</v>
      </c>
      <c r="X24" s="18">
        <f t="shared" si="0"/>
        <v>0</v>
      </c>
      <c r="Y24" s="3"/>
      <c r="Z24" s="6">
        <f t="shared" si="9"/>
        <v>0</v>
      </c>
      <c r="AA24" s="2"/>
      <c r="AB24" s="30">
        <f t="shared" ref="AB24:AB28" si="17">AB25-10</f>
        <v>-50</v>
      </c>
      <c r="AC24" s="33">
        <f t="shared" ref="AC24:AC34" si="18">$AC$23*(1+(AB24/100))</f>
        <v>0.13087971274685817</v>
      </c>
      <c r="AD24" s="34">
        <f t="dataTable" ref="AD24:AD34" dt2D="0" dtr="0" r1="F36" ca="1"/>
        <v>568107.01113068557</v>
      </c>
      <c r="AE24" s="38">
        <f t="shared" ref="AE24:AE34" si="19">100*((AD24-$AD$29)/$AD$29)</f>
        <v>-8.4047434883020085</v>
      </c>
      <c r="AF24" s="2"/>
      <c r="AG24" s="30">
        <f t="shared" ref="AG24:AG28" si="20">AG25-10</f>
        <v>-50</v>
      </c>
      <c r="AH24" s="35">
        <f t="shared" ref="AH24:AH34" si="21">$AH$23*(1+(AG24/100))</f>
        <v>207575.75293565763</v>
      </c>
      <c r="AI24" s="34">
        <f t="dataTable" ref="AI24:AI34" dt2D="0" dtr="0" r1="B52" ca="1"/>
        <v>387481.22972465865</v>
      </c>
      <c r="AJ24" s="38">
        <f t="shared" ref="AJ24:AJ34" si="22">100*((AI24-$AI$29)/$AI$29)</f>
        <v>-37.526835728605462</v>
      </c>
      <c r="AK24" s="2"/>
      <c r="AL24" s="87">
        <v>-30</v>
      </c>
      <c r="AM24" s="88">
        <f t="shared" ref="AM24:AM32" si="23">AJ26</f>
        <v>-22.516101437163265</v>
      </c>
      <c r="AN24" s="88">
        <f t="shared" si="14"/>
        <v>-5.0428460929811987</v>
      </c>
      <c r="AO24" s="89">
        <f t="shared" si="12"/>
        <v>-2.638964577563534</v>
      </c>
      <c r="AP24" s="89">
        <f t="shared" si="13"/>
        <v>-11.586390889249868</v>
      </c>
      <c r="AQ24" s="89">
        <f t="shared" si="15"/>
        <v>-6.5435447962686331</v>
      </c>
      <c r="AR24" s="58">
        <f t="shared" si="16"/>
        <v>5.0428460929812546</v>
      </c>
      <c r="AS24" s="32"/>
      <c r="AT24" s="32"/>
      <c r="AU24" s="32"/>
      <c r="AV24" s="32"/>
      <c r="AW24" s="32"/>
      <c r="AX24" s="32"/>
      <c r="AY24" s="32"/>
    </row>
    <row r="25" spans="1:51" ht="15.75" customHeight="1" x14ac:dyDescent="0.25">
      <c r="A25" s="13"/>
      <c r="B25" s="2"/>
      <c r="C25" s="2"/>
      <c r="D25" s="2"/>
      <c r="E25" s="2"/>
      <c r="F25" s="2"/>
      <c r="G25" s="2"/>
      <c r="H25" s="15"/>
      <c r="I25" s="66" t="s">
        <v>159</v>
      </c>
      <c r="J25" s="66">
        <v>1.3</v>
      </c>
      <c r="K25" s="66" t="s">
        <v>160</v>
      </c>
      <c r="L25" s="64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5"/>
        <v>0</v>
      </c>
      <c r="U25" s="22">
        <f t="shared" si="6"/>
        <v>0</v>
      </c>
      <c r="V25" s="22">
        <f t="shared" si="7"/>
        <v>0</v>
      </c>
      <c r="W25" s="21">
        <f t="shared" si="11"/>
        <v>0</v>
      </c>
      <c r="X25" s="18">
        <f t="shared" si="0"/>
        <v>0</v>
      </c>
      <c r="Y25" s="3"/>
      <c r="Z25" s="6">
        <f t="shared" si="9"/>
        <v>0</v>
      </c>
      <c r="AA25" s="2"/>
      <c r="AB25" s="30">
        <f t="shared" si="17"/>
        <v>-40</v>
      </c>
      <c r="AC25" s="33">
        <f t="shared" si="18"/>
        <v>0.15705565529622981</v>
      </c>
      <c r="AD25" s="34">
        <v>578532.86479233135</v>
      </c>
      <c r="AE25" s="38">
        <f t="shared" si="19"/>
        <v>-6.7237947906416045</v>
      </c>
      <c r="AF25" s="2"/>
      <c r="AG25" s="30">
        <f t="shared" si="20"/>
        <v>-40</v>
      </c>
      <c r="AH25" s="35">
        <f t="shared" si="21"/>
        <v>249090.90352278913</v>
      </c>
      <c r="AI25" s="34">
        <v>434032.23966750974</v>
      </c>
      <c r="AJ25" s="38">
        <f t="shared" si="22"/>
        <v>-30.021468582884381</v>
      </c>
      <c r="AK25" s="2"/>
      <c r="AL25" s="87">
        <v>-20</v>
      </c>
      <c r="AM25" s="88">
        <f t="shared" si="23"/>
        <v>-15.010734291442185</v>
      </c>
      <c r="AN25" s="88">
        <f t="shared" si="14"/>
        <v>-3.3618973953207925</v>
      </c>
      <c r="AO25" s="89">
        <f t="shared" si="12"/>
        <v>-1.7593097183757143</v>
      </c>
      <c r="AP25" s="89">
        <f t="shared" si="13"/>
        <v>-7.7242605928332386</v>
      </c>
      <c r="AQ25" s="89">
        <f t="shared" si="15"/>
        <v>-4.362363197512428</v>
      </c>
      <c r="AR25" s="58">
        <f t="shared" si="16"/>
        <v>3.3618973953208489</v>
      </c>
      <c r="AS25" s="32"/>
      <c r="AT25" s="32"/>
      <c r="AU25" s="32"/>
      <c r="AV25" s="32"/>
      <c r="AW25" s="32"/>
      <c r="AX25" s="32"/>
      <c r="AY25" s="32"/>
    </row>
    <row r="26" spans="1:5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 t="s">
        <v>161</v>
      </c>
      <c r="J26" s="67">
        <f>J13/2</f>
        <v>117.5</v>
      </c>
      <c r="K26" s="41" t="s">
        <v>162</v>
      </c>
      <c r="L26" s="42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5"/>
        <v>0</v>
      </c>
      <c r="U26" s="22">
        <f t="shared" si="6"/>
        <v>0</v>
      </c>
      <c r="V26" s="22">
        <f t="shared" si="7"/>
        <v>0</v>
      </c>
      <c r="W26" s="21">
        <f t="shared" si="11"/>
        <v>0</v>
      </c>
      <c r="X26" s="18">
        <f t="shared" si="0"/>
        <v>0</v>
      </c>
      <c r="Y26" s="3"/>
      <c r="Z26" s="6">
        <f t="shared" si="9"/>
        <v>0</v>
      </c>
      <c r="AA26" s="2"/>
      <c r="AB26" s="30">
        <f t="shared" si="17"/>
        <v>-30</v>
      </c>
      <c r="AC26" s="33">
        <f t="shared" si="18"/>
        <v>0.18323159784560142</v>
      </c>
      <c r="AD26" s="34">
        <v>588958.71845397714</v>
      </c>
      <c r="AE26" s="38">
        <f t="shared" si="19"/>
        <v>-5.0428460929811987</v>
      </c>
      <c r="AF26" s="2"/>
      <c r="AG26" s="30">
        <f t="shared" si="20"/>
        <v>-30</v>
      </c>
      <c r="AH26" s="35">
        <f t="shared" si="21"/>
        <v>290606.05410992063</v>
      </c>
      <c r="AI26" s="34">
        <v>480583.249610361</v>
      </c>
      <c r="AJ26" s="38">
        <f t="shared" si="22"/>
        <v>-22.516101437163265</v>
      </c>
      <c r="AK26" s="2"/>
      <c r="AL26" s="87">
        <v>-10</v>
      </c>
      <c r="AM26" s="88">
        <f t="shared" si="23"/>
        <v>-7.5053671457210731</v>
      </c>
      <c r="AN26" s="88">
        <f t="shared" si="14"/>
        <v>-1.6809486976603683</v>
      </c>
      <c r="AO26" s="89">
        <f t="shared" si="12"/>
        <v>-0.87965485918783848</v>
      </c>
      <c r="AP26" s="89">
        <f t="shared" si="13"/>
        <v>-3.8621302964166104</v>
      </c>
      <c r="AQ26" s="89">
        <f t="shared" si="15"/>
        <v>-2.1811815987562233</v>
      </c>
      <c r="AR26" s="58">
        <f t="shared" si="16"/>
        <v>1.6809486976604056</v>
      </c>
      <c r="AS26" s="32"/>
      <c r="AT26" s="32"/>
      <c r="AU26" s="32"/>
      <c r="AV26" s="32"/>
      <c r="AW26" s="32"/>
      <c r="AX26" s="32"/>
      <c r="AY26" s="3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5"/>
        <v>0</v>
      </c>
      <c r="U27" s="22">
        <f t="shared" si="6"/>
        <v>0</v>
      </c>
      <c r="V27" s="22">
        <f t="shared" si="7"/>
        <v>0</v>
      </c>
      <c r="W27" s="21">
        <f t="shared" si="11"/>
        <v>0</v>
      </c>
      <c r="X27" s="18">
        <f t="shared" si="0"/>
        <v>0</v>
      </c>
      <c r="Y27" s="3"/>
      <c r="Z27" s="6">
        <f t="shared" si="9"/>
        <v>0</v>
      </c>
      <c r="AA27" s="2"/>
      <c r="AB27" s="30">
        <f t="shared" si="17"/>
        <v>-20</v>
      </c>
      <c r="AC27" s="33">
        <f t="shared" si="18"/>
        <v>0.20940754039497309</v>
      </c>
      <c r="AD27" s="34">
        <v>599384.57211562293</v>
      </c>
      <c r="AE27" s="38">
        <f t="shared" si="19"/>
        <v>-3.3618973953207925</v>
      </c>
      <c r="AF27" s="2"/>
      <c r="AG27" s="30">
        <f t="shared" si="20"/>
        <v>-20</v>
      </c>
      <c r="AH27" s="35">
        <f t="shared" si="21"/>
        <v>332121.20469705225</v>
      </c>
      <c r="AI27" s="34">
        <v>527134.25955321209</v>
      </c>
      <c r="AJ27" s="38">
        <f t="shared" si="22"/>
        <v>-15.010734291442185</v>
      </c>
      <c r="AK27" s="2"/>
      <c r="AL27" s="87">
        <v>0</v>
      </c>
      <c r="AM27" s="88">
        <f t="shared" si="23"/>
        <v>0</v>
      </c>
      <c r="AN27" s="88">
        <f t="shared" si="14"/>
        <v>0</v>
      </c>
      <c r="AO27" s="89">
        <f t="shared" si="12"/>
        <v>0</v>
      </c>
      <c r="AP27" s="89">
        <f t="shared" si="13"/>
        <v>0</v>
      </c>
      <c r="AQ27" s="89">
        <f t="shared" si="15"/>
        <v>0</v>
      </c>
      <c r="AR27" s="58">
        <f t="shared" si="16"/>
        <v>0</v>
      </c>
      <c r="AS27" s="32"/>
      <c r="AT27" s="32"/>
      <c r="AU27" s="32"/>
      <c r="AV27" s="32"/>
      <c r="AW27" s="32"/>
      <c r="AX27" s="32"/>
      <c r="AY27" s="32"/>
    </row>
    <row r="28" spans="1:51" ht="15.75" customHeight="1" x14ac:dyDescent="0.25">
      <c r="A28" s="1" t="s">
        <v>88</v>
      </c>
      <c r="B28" s="2"/>
      <c r="C28" s="2"/>
      <c r="D28" s="2"/>
      <c r="E28" s="2"/>
      <c r="F28" s="2"/>
      <c r="G28" s="2"/>
      <c r="H28" s="2"/>
      <c r="I28" s="2">
        <v>14524.490322580645</v>
      </c>
      <c r="J28" s="6">
        <f>I28*B8</f>
        <v>809014.11096774193</v>
      </c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5"/>
        <v>0</v>
      </c>
      <c r="U28" s="22">
        <f t="shared" si="6"/>
        <v>0</v>
      </c>
      <c r="V28" s="22">
        <f t="shared" si="7"/>
        <v>0</v>
      </c>
      <c r="W28" s="21">
        <f t="shared" si="11"/>
        <v>0</v>
      </c>
      <c r="X28" s="18">
        <f t="shared" si="0"/>
        <v>0</v>
      </c>
      <c r="Y28" s="3"/>
      <c r="Z28" s="6">
        <f t="shared" si="9"/>
        <v>0</v>
      </c>
      <c r="AA28" s="2"/>
      <c r="AB28" s="30">
        <f t="shared" si="17"/>
        <v>-10</v>
      </c>
      <c r="AC28" s="33">
        <f t="shared" si="18"/>
        <v>0.2355834829443447</v>
      </c>
      <c r="AD28" s="34">
        <v>609810.42577726883</v>
      </c>
      <c r="AE28" s="38">
        <f t="shared" si="19"/>
        <v>-1.6809486976603683</v>
      </c>
      <c r="AF28" s="2"/>
      <c r="AG28" s="30">
        <f t="shared" si="20"/>
        <v>-10</v>
      </c>
      <c r="AH28" s="35">
        <f t="shared" si="21"/>
        <v>373636.35528418375</v>
      </c>
      <c r="AI28" s="34">
        <v>573685.26949606335</v>
      </c>
      <c r="AJ28" s="38">
        <f t="shared" si="22"/>
        <v>-7.5053671457210731</v>
      </c>
      <c r="AK28" s="2"/>
      <c r="AL28" s="87">
        <v>10</v>
      </c>
      <c r="AM28" s="88">
        <f t="shared" si="23"/>
        <v>7.5053671457211104</v>
      </c>
      <c r="AN28" s="88">
        <f t="shared" si="14"/>
        <v>1.6809486976604056</v>
      </c>
      <c r="AO28" s="89">
        <f t="shared" si="12"/>
        <v>0.87965485918789466</v>
      </c>
      <c r="AP28" s="89">
        <f t="shared" si="13"/>
        <v>3.8621302964166668</v>
      </c>
      <c r="AQ28" s="89">
        <f t="shared" si="15"/>
        <v>2.181181598756242</v>
      </c>
      <c r="AR28" s="58">
        <f t="shared" si="16"/>
        <v>-1.6809486976603683</v>
      </c>
      <c r="AS28" s="32"/>
      <c r="AT28" s="32"/>
      <c r="AU28" s="32"/>
      <c r="AV28" s="32"/>
      <c r="AW28" s="32"/>
      <c r="AX28" s="32"/>
      <c r="AY28" s="3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5"/>
        <v>0</v>
      </c>
      <c r="U29" s="22">
        <f t="shared" si="6"/>
        <v>0</v>
      </c>
      <c r="V29" s="22">
        <f t="shared" si="7"/>
        <v>0</v>
      </c>
      <c r="W29" s="21">
        <f t="shared" si="11"/>
        <v>0</v>
      </c>
      <c r="X29" s="18">
        <f t="shared" si="0"/>
        <v>0</v>
      </c>
      <c r="Y29" s="3"/>
      <c r="Z29" s="6">
        <f t="shared" si="9"/>
        <v>0</v>
      </c>
      <c r="AA29" s="2"/>
      <c r="AB29" s="43">
        <v>0</v>
      </c>
      <c r="AC29" s="44">
        <f t="shared" si="18"/>
        <v>0.26175942549371634</v>
      </c>
      <c r="AD29" s="45">
        <v>620236.27943891438</v>
      </c>
      <c r="AE29" s="46">
        <f t="shared" si="19"/>
        <v>0</v>
      </c>
      <c r="AF29" s="2"/>
      <c r="AG29" s="43">
        <v>0</v>
      </c>
      <c r="AH29" s="47">
        <f t="shared" si="21"/>
        <v>415151.50587131525</v>
      </c>
      <c r="AI29" s="45">
        <v>620236.27943891438</v>
      </c>
      <c r="AJ29" s="46">
        <f t="shared" si="22"/>
        <v>0</v>
      </c>
      <c r="AK29" s="2"/>
      <c r="AL29" s="87">
        <v>20</v>
      </c>
      <c r="AM29" s="88">
        <f t="shared" si="23"/>
        <v>15.010734291442185</v>
      </c>
      <c r="AN29" s="88">
        <f t="shared" si="14"/>
        <v>3.3618973953208489</v>
      </c>
      <c r="AO29" s="89">
        <f t="shared" si="12"/>
        <v>1.7593097183757143</v>
      </c>
      <c r="AP29" s="89">
        <f t="shared" si="13"/>
        <v>7.7242605928332955</v>
      </c>
      <c r="AQ29" s="89">
        <f t="shared" si="15"/>
        <v>4.3623631975124466</v>
      </c>
      <c r="AR29" s="58">
        <f t="shared" si="16"/>
        <v>-3.3618973953207925</v>
      </c>
      <c r="AS29" s="32"/>
      <c r="AT29" s="32"/>
      <c r="AU29" s="32"/>
      <c r="AV29" s="32"/>
      <c r="AW29" s="32"/>
      <c r="AX29" s="32"/>
      <c r="AY29" s="32"/>
    </row>
    <row r="30" spans="1:51" ht="15.75" customHeight="1" x14ac:dyDescent="0.25">
      <c r="A30" s="7" t="s">
        <v>89</v>
      </c>
      <c r="B30" s="8"/>
      <c r="C30" s="8"/>
      <c r="D30" s="8"/>
      <c r="E30" s="10" t="s">
        <v>90</v>
      </c>
      <c r="F30" s="8"/>
      <c r="G30" s="8"/>
      <c r="H30" s="8"/>
      <c r="I30" s="10" t="s">
        <v>91</v>
      </c>
      <c r="J30" s="48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5"/>
        <v>0</v>
      </c>
      <c r="U30" s="22">
        <f t="shared" si="6"/>
        <v>0</v>
      </c>
      <c r="V30" s="22">
        <f t="shared" si="7"/>
        <v>0</v>
      </c>
      <c r="W30" s="21">
        <f t="shared" si="11"/>
        <v>0</v>
      </c>
      <c r="X30" s="18">
        <f t="shared" si="0"/>
        <v>0</v>
      </c>
      <c r="Y30" s="3"/>
      <c r="Z30" s="6">
        <f t="shared" si="9"/>
        <v>0</v>
      </c>
      <c r="AA30" s="2"/>
      <c r="AB30" s="30">
        <f t="shared" ref="AB30:AB34" si="24">AB29+10</f>
        <v>10</v>
      </c>
      <c r="AC30" s="33">
        <f t="shared" si="18"/>
        <v>0.287935368043088</v>
      </c>
      <c r="AD30" s="34">
        <v>630662.13310056017</v>
      </c>
      <c r="AE30" s="38">
        <f t="shared" si="19"/>
        <v>1.6809486976604056</v>
      </c>
      <c r="AF30" s="2"/>
      <c r="AG30" s="30">
        <f t="shared" ref="AG30:AG34" si="25">AG29+10</f>
        <v>10</v>
      </c>
      <c r="AH30" s="35">
        <f t="shared" si="21"/>
        <v>456666.65645844681</v>
      </c>
      <c r="AI30" s="34">
        <v>666787.28938176564</v>
      </c>
      <c r="AJ30" s="38">
        <f t="shared" si="22"/>
        <v>7.5053671457211104</v>
      </c>
      <c r="AK30" s="2"/>
      <c r="AL30" s="87">
        <v>30</v>
      </c>
      <c r="AM30" s="88">
        <f t="shared" si="23"/>
        <v>22.516101437163297</v>
      </c>
      <c r="AN30" s="88">
        <f t="shared" si="14"/>
        <v>5.0428460929812546</v>
      </c>
      <c r="AO30" s="89">
        <f t="shared" si="12"/>
        <v>2.6389645775635526</v>
      </c>
      <c r="AP30" s="89">
        <f t="shared" si="13"/>
        <v>11.586390889249868</v>
      </c>
      <c r="AQ30" s="89">
        <f t="shared" si="15"/>
        <v>6.5435447962686704</v>
      </c>
      <c r="AR30" s="58">
        <f t="shared" si="16"/>
        <v>-5.0428460929811987</v>
      </c>
      <c r="AS30" s="32"/>
      <c r="AT30" s="32"/>
      <c r="AU30" s="32"/>
      <c r="AV30" s="32"/>
      <c r="AW30" s="32"/>
      <c r="AX30" s="32"/>
      <c r="AY30" s="32"/>
    </row>
    <row r="31" spans="1:51" ht="15.75" customHeight="1" x14ac:dyDescent="0.25">
      <c r="A31" s="25" t="s">
        <v>172</v>
      </c>
      <c r="B31" s="6">
        <f t="shared" ref="B31:B32" si="26">IF(B11=0,0,-(B11/100)*$B$50)</f>
        <v>0</v>
      </c>
      <c r="C31" s="2" t="s">
        <v>3</v>
      </c>
      <c r="D31" s="2"/>
      <c r="E31" s="16" t="s">
        <v>92</v>
      </c>
      <c r="F31" s="24">
        <f>(J22/100)*B52</f>
        <v>124545.45176139456</v>
      </c>
      <c r="G31" s="2" t="s">
        <v>3</v>
      </c>
      <c r="H31" s="2"/>
      <c r="I31" s="16" t="s">
        <v>93</v>
      </c>
      <c r="J31" s="32">
        <f>ROUNDDOWN(J12/(F12/J13),0)</f>
        <v>18</v>
      </c>
      <c r="K31" s="2" t="s">
        <v>58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5"/>
        <v>0</v>
      </c>
      <c r="U31" s="22">
        <f t="shared" si="6"/>
        <v>0</v>
      </c>
      <c r="V31" s="22">
        <f t="shared" si="7"/>
        <v>0</v>
      </c>
      <c r="W31" s="21">
        <f t="shared" si="11"/>
        <v>0</v>
      </c>
      <c r="X31" s="18">
        <f t="shared" si="0"/>
        <v>0</v>
      </c>
      <c r="Y31" s="3"/>
      <c r="Z31" s="6">
        <f t="shared" si="9"/>
        <v>0</v>
      </c>
      <c r="AA31" s="2"/>
      <c r="AB31" s="30">
        <f t="shared" si="24"/>
        <v>20</v>
      </c>
      <c r="AC31" s="33">
        <f t="shared" si="18"/>
        <v>0.31411131059245961</v>
      </c>
      <c r="AD31" s="34">
        <v>641087.98676220619</v>
      </c>
      <c r="AE31" s="38">
        <f t="shared" si="19"/>
        <v>3.3618973953208489</v>
      </c>
      <c r="AF31" s="2"/>
      <c r="AG31" s="30">
        <f t="shared" si="25"/>
        <v>20</v>
      </c>
      <c r="AH31" s="35">
        <f t="shared" si="21"/>
        <v>498181.80704557826</v>
      </c>
      <c r="AI31" s="34">
        <v>713338.29932461667</v>
      </c>
      <c r="AJ31" s="38">
        <f t="shared" si="22"/>
        <v>15.010734291442185</v>
      </c>
      <c r="AK31" s="2"/>
      <c r="AL31" s="87">
        <v>40</v>
      </c>
      <c r="AM31" s="88">
        <f t="shared" si="23"/>
        <v>30.021468582884385</v>
      </c>
      <c r="AN31" s="88">
        <f t="shared" si="14"/>
        <v>6.7237947906416222</v>
      </c>
      <c r="AO31" s="89">
        <f t="shared" si="12"/>
        <v>3.5186194367514099</v>
      </c>
      <c r="AP31" s="89">
        <f t="shared" si="13"/>
        <v>15.448521185666497</v>
      </c>
      <c r="AQ31" s="89">
        <f t="shared" si="15"/>
        <v>8.7247263950248932</v>
      </c>
      <c r="AR31" s="58">
        <f t="shared" si="16"/>
        <v>-6.7237947906416045</v>
      </c>
      <c r="AS31" s="32"/>
      <c r="AT31" s="32"/>
      <c r="AU31" s="32"/>
      <c r="AV31" s="32"/>
      <c r="AW31" s="32"/>
      <c r="AX31" s="32"/>
      <c r="AY31" s="32"/>
    </row>
    <row r="32" spans="1:51" ht="15.75" customHeight="1" x14ac:dyDescent="0.25">
      <c r="A32" s="25" t="s">
        <v>44</v>
      </c>
      <c r="B32" s="6">
        <f t="shared" si="26"/>
        <v>0</v>
      </c>
      <c r="C32" s="2" t="s">
        <v>3</v>
      </c>
      <c r="D32" s="2"/>
      <c r="E32" s="16" t="s">
        <v>94</v>
      </c>
      <c r="F32" s="6">
        <f>B52-F31</f>
        <v>290606.05410992069</v>
      </c>
      <c r="G32" s="2" t="s">
        <v>3</v>
      </c>
      <c r="H32" s="2"/>
      <c r="I32" s="16" t="s">
        <v>60</v>
      </c>
      <c r="J32" s="27">
        <f>IF(J24="Yes",SUM(F51:F52),0)</f>
        <v>0</v>
      </c>
      <c r="K32" s="2" t="s">
        <v>49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5"/>
        <v>0</v>
      </c>
      <c r="U32" s="22">
        <f t="shared" si="6"/>
        <v>0</v>
      </c>
      <c r="V32" s="22">
        <f t="shared" si="7"/>
        <v>0</v>
      </c>
      <c r="W32" s="21">
        <f t="shared" si="11"/>
        <v>0</v>
      </c>
      <c r="X32" s="18">
        <f t="shared" si="0"/>
        <v>0</v>
      </c>
      <c r="Y32" s="3"/>
      <c r="Z32" s="6">
        <f t="shared" si="9"/>
        <v>0</v>
      </c>
      <c r="AA32" s="2"/>
      <c r="AB32" s="30">
        <f t="shared" si="24"/>
        <v>30</v>
      </c>
      <c r="AC32" s="33">
        <f t="shared" si="18"/>
        <v>0.34028725314183123</v>
      </c>
      <c r="AD32" s="34">
        <v>651513.84042385197</v>
      </c>
      <c r="AE32" s="38">
        <f t="shared" si="19"/>
        <v>5.0428460929812546</v>
      </c>
      <c r="AF32" s="2"/>
      <c r="AG32" s="30">
        <f t="shared" si="25"/>
        <v>30</v>
      </c>
      <c r="AH32" s="35">
        <f t="shared" si="21"/>
        <v>539696.95763270988</v>
      </c>
      <c r="AI32" s="34">
        <v>759889.30926746794</v>
      </c>
      <c r="AJ32" s="38">
        <f t="shared" si="22"/>
        <v>22.516101437163297</v>
      </c>
      <c r="AK32" s="2"/>
      <c r="AL32" s="87">
        <v>50</v>
      </c>
      <c r="AM32" s="88">
        <f t="shared" si="23"/>
        <v>37.526835728605498</v>
      </c>
      <c r="AN32" s="88">
        <f t="shared" si="14"/>
        <v>8.4047434883020653</v>
      </c>
      <c r="AO32" s="89">
        <f t="shared" si="12"/>
        <v>4.3982742959392667</v>
      </c>
      <c r="AP32" s="89">
        <f t="shared" si="13"/>
        <v>19.310651482083145</v>
      </c>
      <c r="AQ32" s="89">
        <f t="shared" si="15"/>
        <v>10.905907993781117</v>
      </c>
      <c r="AR32" s="58">
        <f t="shared" si="16"/>
        <v>-8.4047434883020085</v>
      </c>
      <c r="AS32" s="32"/>
      <c r="AT32" s="32"/>
      <c r="AU32" s="32"/>
      <c r="AV32" s="32"/>
      <c r="AW32" s="32"/>
      <c r="AX32" s="32"/>
      <c r="AY32" s="32"/>
    </row>
    <row r="33" spans="1:51" ht="15.75" customHeight="1" x14ac:dyDescent="0.25">
      <c r="A33" s="25" t="s">
        <v>50</v>
      </c>
      <c r="B33" s="6">
        <f>IF(B13=0,0,(B13/100)*B49)</f>
        <v>36362.833548387098</v>
      </c>
      <c r="C33" s="2" t="s">
        <v>3</v>
      </c>
      <c r="D33" s="2"/>
      <c r="E33" s="16" t="s">
        <v>95</v>
      </c>
      <c r="F33" s="24">
        <f>F32*(F22/100)*J21</f>
        <v>103165.14920902184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5"/>
        <v>0</v>
      </c>
      <c r="U33" s="22">
        <f t="shared" si="6"/>
        <v>0</v>
      </c>
      <c r="V33" s="22">
        <f t="shared" si="7"/>
        <v>0</v>
      </c>
      <c r="W33" s="21">
        <f t="shared" si="11"/>
        <v>0</v>
      </c>
      <c r="X33" s="18">
        <f t="shared" si="0"/>
        <v>0</v>
      </c>
      <c r="Y33" s="3"/>
      <c r="Z33" s="6">
        <f t="shared" si="9"/>
        <v>0</v>
      </c>
      <c r="AA33" s="2"/>
      <c r="AB33" s="30">
        <f t="shared" si="24"/>
        <v>40</v>
      </c>
      <c r="AC33" s="33">
        <f t="shared" si="18"/>
        <v>0.36646319569120284</v>
      </c>
      <c r="AD33" s="34">
        <v>661939.69408549753</v>
      </c>
      <c r="AE33" s="38">
        <f t="shared" si="19"/>
        <v>6.7237947906416222</v>
      </c>
      <c r="AF33" s="2"/>
      <c r="AG33" s="30">
        <f t="shared" si="25"/>
        <v>40</v>
      </c>
      <c r="AH33" s="35">
        <f t="shared" si="21"/>
        <v>581212.10821984126</v>
      </c>
      <c r="AI33" s="34">
        <v>806440.31921031908</v>
      </c>
      <c r="AJ33" s="38">
        <f t="shared" si="22"/>
        <v>30.021468582884385</v>
      </c>
      <c r="AK33" s="2"/>
      <c r="AL33" s="31"/>
      <c r="AM33" s="36"/>
      <c r="AN33" s="37"/>
      <c r="AO33" s="39"/>
      <c r="AP33" s="2"/>
      <c r="AQ33" s="32"/>
      <c r="AR33" s="32"/>
      <c r="AS33" s="32"/>
      <c r="AT33" s="32"/>
      <c r="AU33" s="32"/>
      <c r="AV33" s="32"/>
      <c r="AW33" s="32"/>
      <c r="AX33" s="32"/>
      <c r="AY33" s="32"/>
    </row>
    <row r="34" spans="1:51" ht="15.75" customHeight="1" x14ac:dyDescent="0.25">
      <c r="A34" s="25" t="s">
        <v>54</v>
      </c>
      <c r="B34" s="6">
        <f>IF(B14=0,0,(B14/100)*$B$49)</f>
        <v>75755.903225806454</v>
      </c>
      <c r="C34" s="2" t="s">
        <v>3</v>
      </c>
      <c r="D34" s="2"/>
      <c r="E34" s="2"/>
      <c r="F34" s="32"/>
      <c r="G34" s="2"/>
      <c r="H34" s="2"/>
      <c r="I34" s="16" t="s">
        <v>96</v>
      </c>
      <c r="J34" s="6">
        <f>F12*B5</f>
        <v>500000</v>
      </c>
      <c r="K34" s="2" t="s">
        <v>97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5"/>
        <v>0</v>
      </c>
      <c r="U34" s="22">
        <f t="shared" si="6"/>
        <v>0</v>
      </c>
      <c r="V34" s="22">
        <f t="shared" si="7"/>
        <v>0</v>
      </c>
      <c r="W34" s="21">
        <f t="shared" si="11"/>
        <v>0</v>
      </c>
      <c r="X34" s="18">
        <f t="shared" si="0"/>
        <v>0</v>
      </c>
      <c r="Y34" s="3"/>
      <c r="Z34" s="6">
        <f t="shared" si="9"/>
        <v>0</v>
      </c>
      <c r="AA34" s="2"/>
      <c r="AB34" s="30">
        <f t="shared" si="24"/>
        <v>50</v>
      </c>
      <c r="AC34" s="33">
        <f t="shared" si="18"/>
        <v>0.3926391382405745</v>
      </c>
      <c r="AD34" s="34">
        <v>672365.54774714354</v>
      </c>
      <c r="AE34" s="38">
        <f t="shared" si="19"/>
        <v>8.4047434883020653</v>
      </c>
      <c r="AF34" s="2"/>
      <c r="AG34" s="30">
        <f t="shared" si="25"/>
        <v>50</v>
      </c>
      <c r="AH34" s="35">
        <f t="shared" si="21"/>
        <v>622727.25880697288</v>
      </c>
      <c r="AI34" s="34">
        <v>852991.32915317034</v>
      </c>
      <c r="AJ34" s="38">
        <f t="shared" si="22"/>
        <v>37.526835728605498</v>
      </c>
      <c r="AK34" s="2"/>
      <c r="AL34" s="31"/>
      <c r="AM34" s="36"/>
      <c r="AN34" s="37"/>
      <c r="AO34" s="39"/>
      <c r="AP34" s="2"/>
      <c r="AQ34" s="32"/>
      <c r="AR34" s="32"/>
      <c r="AS34" s="32"/>
      <c r="AT34" s="32"/>
      <c r="AU34" s="32"/>
      <c r="AV34" s="32"/>
      <c r="AW34" s="32"/>
      <c r="AX34" s="32"/>
      <c r="AY34" s="32"/>
    </row>
    <row r="35" spans="1:51" ht="15.75" customHeight="1" x14ac:dyDescent="0.25">
      <c r="A35" s="25" t="s">
        <v>63</v>
      </c>
      <c r="B35" s="6">
        <f t="shared" ref="B35:B38" si="27">IF(B16=0,0,(B16/$B$8))</f>
        <v>0</v>
      </c>
      <c r="C35" s="2" t="s">
        <v>3</v>
      </c>
      <c r="D35" s="2"/>
      <c r="E35" s="1" t="s">
        <v>98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5"/>
        <v>0</v>
      </c>
      <c r="U35" s="22">
        <f t="shared" si="6"/>
        <v>0</v>
      </c>
      <c r="V35" s="22">
        <f t="shared" si="7"/>
        <v>0</v>
      </c>
      <c r="W35" s="21">
        <f t="shared" si="11"/>
        <v>0</v>
      </c>
      <c r="X35" s="18">
        <f t="shared" si="0"/>
        <v>0</v>
      </c>
      <c r="Y35" s="3"/>
      <c r="Z35" s="6">
        <f t="shared" si="9"/>
        <v>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5" t="s">
        <v>181</v>
      </c>
      <c r="B36" s="6">
        <f t="shared" si="27"/>
        <v>8.0789946140035909</v>
      </c>
      <c r="C36" s="2" t="s">
        <v>3</v>
      </c>
      <c r="D36" s="2"/>
      <c r="E36" s="16" t="s">
        <v>30</v>
      </c>
      <c r="F36" s="27">
        <f>F13/$B$8</f>
        <v>0.26175942549371634</v>
      </c>
      <c r="G36" s="2" t="s">
        <v>31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5"/>
        <v>0</v>
      </c>
      <c r="U36" s="22">
        <f t="shared" si="6"/>
        <v>0</v>
      </c>
      <c r="V36" s="22">
        <f t="shared" si="7"/>
        <v>0</v>
      </c>
      <c r="W36" s="21">
        <f t="shared" si="11"/>
        <v>0</v>
      </c>
      <c r="X36" s="18">
        <f t="shared" si="0"/>
        <v>0</v>
      </c>
      <c r="Y36" s="3"/>
      <c r="Z36" s="6">
        <f t="shared" si="9"/>
        <v>0</v>
      </c>
      <c r="AA36" s="2"/>
      <c r="AB36" s="29" t="s">
        <v>34</v>
      </c>
      <c r="AC36" s="30"/>
      <c r="AD36" s="30"/>
      <c r="AE36" s="30"/>
      <c r="AF36" s="2"/>
      <c r="AG36" s="29" t="s">
        <v>99</v>
      </c>
      <c r="AH36" s="30"/>
      <c r="AI36" s="30"/>
      <c r="AJ36" s="30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5" t="s">
        <v>182</v>
      </c>
      <c r="B37" s="27">
        <f t="shared" si="27"/>
        <v>0.17953321364452424</v>
      </c>
      <c r="C37" s="2" t="s">
        <v>3</v>
      </c>
      <c r="D37" s="2"/>
      <c r="E37" s="16" t="s">
        <v>100</v>
      </c>
      <c r="F37" s="6">
        <f>(F20/((1-J15%)*J11))/B8</f>
        <v>0</v>
      </c>
      <c r="G37" s="2" t="s">
        <v>31</v>
      </c>
      <c r="H37" s="2"/>
      <c r="I37" s="1" t="s">
        <v>101</v>
      </c>
      <c r="J37" s="49">
        <f>SUM(J38:J41)</f>
        <v>17522.064631956913</v>
      </c>
      <c r="K37" s="1" t="s">
        <v>49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5"/>
        <v>0</v>
      </c>
      <c r="U37" s="22">
        <f t="shared" si="6"/>
        <v>0</v>
      </c>
      <c r="V37" s="22">
        <f t="shared" si="7"/>
        <v>0</v>
      </c>
      <c r="W37" s="21">
        <f t="shared" si="11"/>
        <v>0</v>
      </c>
      <c r="X37" s="18">
        <f t="shared" si="0"/>
        <v>0</v>
      </c>
      <c r="Y37" s="3"/>
      <c r="Z37" s="6">
        <f t="shared" si="9"/>
        <v>0</v>
      </c>
      <c r="AA37" s="2"/>
      <c r="AB37" s="30" t="s">
        <v>78</v>
      </c>
      <c r="AC37" s="30" t="s">
        <v>102</v>
      </c>
      <c r="AD37" s="30" t="s">
        <v>23</v>
      </c>
      <c r="AE37" s="30" t="s">
        <v>80</v>
      </c>
      <c r="AF37" s="2"/>
      <c r="AG37" s="30" t="s">
        <v>78</v>
      </c>
      <c r="AH37" s="30" t="s">
        <v>103</v>
      </c>
      <c r="AI37" s="30" t="s">
        <v>23</v>
      </c>
      <c r="AJ37" s="30" t="s">
        <v>80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5" t="s">
        <v>72</v>
      </c>
      <c r="B38" s="27">
        <f t="shared" si="27"/>
        <v>0.89766606822262118</v>
      </c>
      <c r="C38" s="2" t="s">
        <v>3</v>
      </c>
      <c r="D38" s="2"/>
      <c r="E38" s="16" t="s">
        <v>104</v>
      </c>
      <c r="F38" s="50">
        <f>F36*J18</f>
        <v>0.25914183123877915</v>
      </c>
      <c r="G38" s="2" t="s">
        <v>4</v>
      </c>
      <c r="H38" s="2"/>
      <c r="I38" s="16" t="s">
        <v>105</v>
      </c>
      <c r="J38" s="27">
        <f>F17/$B$8</f>
        <v>2.0646319569120286</v>
      </c>
      <c r="K38" s="2" t="s">
        <v>49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5"/>
        <v>0</v>
      </c>
      <c r="U38" s="22">
        <f t="shared" si="6"/>
        <v>0</v>
      </c>
      <c r="V38" s="22">
        <f t="shared" si="7"/>
        <v>0</v>
      </c>
      <c r="W38" s="21">
        <f t="shared" si="11"/>
        <v>0</v>
      </c>
      <c r="X38" s="18">
        <f t="shared" si="0"/>
        <v>0</v>
      </c>
      <c r="Y38" s="3"/>
      <c r="Z38" s="6">
        <f t="shared" si="9"/>
        <v>0</v>
      </c>
      <c r="AA38" s="2"/>
      <c r="AB38" s="30" t="s">
        <v>84</v>
      </c>
      <c r="AC38" s="35">
        <v>40572</v>
      </c>
      <c r="AD38" s="34">
        <f>X49</f>
        <v>620236.27943891438</v>
      </c>
      <c r="AE38" s="30"/>
      <c r="AF38" s="2"/>
      <c r="AG38" s="30" t="s">
        <v>84</v>
      </c>
      <c r="AH38" s="35">
        <v>50000</v>
      </c>
      <c r="AI38" s="34">
        <f>X49</f>
        <v>620236.27943891438</v>
      </c>
      <c r="AJ38" s="30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73</v>
      </c>
      <c r="J39" s="27">
        <f>F19/$B$8</f>
        <v>0</v>
      </c>
      <c r="K39" s="2" t="s">
        <v>49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5"/>
        <v>0</v>
      </c>
      <c r="U39" s="22">
        <f t="shared" si="6"/>
        <v>0</v>
      </c>
      <c r="V39" s="22">
        <f t="shared" si="7"/>
        <v>0</v>
      </c>
      <c r="W39" s="21">
        <f t="shared" si="11"/>
        <v>0</v>
      </c>
      <c r="X39" s="18">
        <f t="shared" si="0"/>
        <v>0</v>
      </c>
      <c r="Y39" s="3"/>
      <c r="Z39" s="6">
        <f t="shared" si="9"/>
        <v>0</v>
      </c>
      <c r="AA39" s="2"/>
      <c r="AB39" s="30">
        <f t="shared" ref="AB39:AB43" si="28">AB40-10</f>
        <v>-50</v>
      </c>
      <c r="AC39" s="35">
        <f t="shared" ref="AC39:AC49" si="29">$AC$38*(1+(AB39/100))</f>
        <v>20286</v>
      </c>
      <c r="AD39" s="34">
        <f t="dataTable" ref="AD39:AD49" dt2D="0" dtr="0" r1="B48" ca="1"/>
        <v>592956.5865862628</v>
      </c>
      <c r="AE39" s="38">
        <f>100*((AD39-$AD$44)/$AD$44)</f>
        <v>-4.3982742959392294</v>
      </c>
      <c r="AF39" s="2"/>
      <c r="AG39" s="30">
        <f t="shared" ref="AG39:AG43" si="30">AG40-10</f>
        <v>-50</v>
      </c>
      <c r="AH39" s="35">
        <f t="shared" ref="AH39:AH49" si="31">$AH$38*(1+(AG39/100))</f>
        <v>25000</v>
      </c>
      <c r="AI39" s="34">
        <f t="dataTable" ref="AI39:AI49" dt2D="0" dtr="0" r1="F12" ca="1"/>
        <v>500464.61315102654</v>
      </c>
      <c r="AJ39" s="38">
        <f t="shared" ref="AJ39:AJ49" si="32">100*((AI39-$AI$44)/$AI$44)</f>
        <v>-19.310651482083109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16" t="s">
        <v>106</v>
      </c>
      <c r="F40" s="27">
        <f>F37*F12*J18</f>
        <v>0</v>
      </c>
      <c r="G40" s="2" t="s">
        <v>49</v>
      </c>
      <c r="H40" s="2"/>
      <c r="I40" s="16" t="s">
        <v>64</v>
      </c>
      <c r="J40" s="27">
        <f>F16/$B$8</f>
        <v>0</v>
      </c>
      <c r="K40" s="2" t="s">
        <v>49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5"/>
        <v>0</v>
      </c>
      <c r="U40" s="22">
        <f t="shared" si="6"/>
        <v>0</v>
      </c>
      <c r="V40" s="22">
        <f t="shared" si="7"/>
        <v>0</v>
      </c>
      <c r="W40" s="21">
        <f t="shared" si="11"/>
        <v>0</v>
      </c>
      <c r="X40" s="18">
        <f t="shared" si="0"/>
        <v>0</v>
      </c>
      <c r="Y40" s="3"/>
      <c r="Z40" s="6">
        <f t="shared" si="9"/>
        <v>0</v>
      </c>
      <c r="AA40" s="2"/>
      <c r="AB40" s="30">
        <f t="shared" si="28"/>
        <v>-40</v>
      </c>
      <c r="AC40" s="35">
        <f t="shared" si="29"/>
        <v>24343.200000000001</v>
      </c>
      <c r="AD40" s="34">
        <v>598412.52515679307</v>
      </c>
      <c r="AE40" s="38">
        <f t="shared" ref="AE40:AE49" si="33">100*((AD40-$AD$29)/$AD$29)</f>
        <v>-3.5186194367513912</v>
      </c>
      <c r="AF40" s="2"/>
      <c r="AG40" s="30">
        <f t="shared" si="30"/>
        <v>-40</v>
      </c>
      <c r="AH40" s="35">
        <f t="shared" si="31"/>
        <v>30000</v>
      </c>
      <c r="AI40" s="34">
        <v>524418.94640860427</v>
      </c>
      <c r="AJ40" s="38">
        <f t="shared" si="32"/>
        <v>-15.448521185666458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16" t="s">
        <v>107</v>
      </c>
      <c r="F41" s="32">
        <f>F38*F12</f>
        <v>12957.091561938958</v>
      </c>
      <c r="G41" s="26" t="s">
        <v>49</v>
      </c>
      <c r="H41" s="2"/>
      <c r="I41" s="16" t="s">
        <v>48</v>
      </c>
      <c r="J41" s="51">
        <f>F21*F12/$B$8</f>
        <v>17520</v>
      </c>
      <c r="K41" s="2" t="s">
        <v>49</v>
      </c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5"/>
        <v>0</v>
      </c>
      <c r="U41" s="22">
        <f t="shared" si="6"/>
        <v>0</v>
      </c>
      <c r="V41" s="22">
        <f t="shared" si="7"/>
        <v>0</v>
      </c>
      <c r="W41" s="21">
        <f t="shared" si="11"/>
        <v>0</v>
      </c>
      <c r="X41" s="18">
        <f t="shared" si="0"/>
        <v>0</v>
      </c>
      <c r="Y41" s="3"/>
      <c r="Z41" s="6">
        <f t="shared" si="9"/>
        <v>0</v>
      </c>
      <c r="AA41" s="2"/>
      <c r="AB41" s="30">
        <f t="shared" si="28"/>
        <v>-30</v>
      </c>
      <c r="AC41" s="35">
        <f t="shared" si="29"/>
        <v>28400.399999999998</v>
      </c>
      <c r="AD41" s="34">
        <v>603868.46372732345</v>
      </c>
      <c r="AE41" s="38">
        <f t="shared" si="33"/>
        <v>-2.638964577563534</v>
      </c>
      <c r="AF41" s="2"/>
      <c r="AG41" s="30">
        <f t="shared" si="30"/>
        <v>-30</v>
      </c>
      <c r="AH41" s="35">
        <f t="shared" si="31"/>
        <v>35000</v>
      </c>
      <c r="AI41" s="34">
        <v>548373.27966618165</v>
      </c>
      <c r="AJ41" s="38">
        <f t="shared" si="32"/>
        <v>-11.586390889249868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5"/>
        <v>0</v>
      </c>
      <c r="U42" s="22">
        <f t="shared" si="6"/>
        <v>0</v>
      </c>
      <c r="V42" s="22">
        <f t="shared" si="7"/>
        <v>0</v>
      </c>
      <c r="W42" s="21">
        <f t="shared" si="11"/>
        <v>0</v>
      </c>
      <c r="X42" s="18">
        <f t="shared" si="0"/>
        <v>0</v>
      </c>
      <c r="Y42" s="3"/>
      <c r="Z42" s="6">
        <f t="shared" si="9"/>
        <v>0</v>
      </c>
      <c r="AA42" s="2"/>
      <c r="AB42" s="30">
        <f t="shared" si="28"/>
        <v>-20</v>
      </c>
      <c r="AC42" s="35">
        <f t="shared" si="29"/>
        <v>32457.600000000002</v>
      </c>
      <c r="AD42" s="34">
        <v>609324.40229785361</v>
      </c>
      <c r="AE42" s="38">
        <f t="shared" si="33"/>
        <v>-1.7593097183757143</v>
      </c>
      <c r="AF42" s="2"/>
      <c r="AG42" s="30">
        <f t="shared" si="30"/>
        <v>-20</v>
      </c>
      <c r="AH42" s="35">
        <f t="shared" si="31"/>
        <v>40000</v>
      </c>
      <c r="AI42" s="34">
        <v>572327.61292375927</v>
      </c>
      <c r="AJ42" s="38">
        <f t="shared" si="32"/>
        <v>-7.7242605928332386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5"/>
        <v>0</v>
      </c>
      <c r="U43" s="22">
        <f t="shared" si="6"/>
        <v>0</v>
      </c>
      <c r="V43" s="22">
        <f t="shared" si="7"/>
        <v>0</v>
      </c>
      <c r="W43" s="21">
        <f t="shared" si="11"/>
        <v>0</v>
      </c>
      <c r="X43" s="18">
        <f t="shared" si="0"/>
        <v>0</v>
      </c>
      <c r="Y43" s="3"/>
      <c r="Z43" s="6">
        <f t="shared" si="9"/>
        <v>0</v>
      </c>
      <c r="AA43" s="2"/>
      <c r="AB43" s="30">
        <f t="shared" si="28"/>
        <v>-10</v>
      </c>
      <c r="AC43" s="35">
        <f t="shared" si="29"/>
        <v>36514.800000000003</v>
      </c>
      <c r="AD43" s="34">
        <v>614780.34086838411</v>
      </c>
      <c r="AE43" s="38">
        <f t="shared" si="33"/>
        <v>-0.87965485918783848</v>
      </c>
      <c r="AF43" s="2"/>
      <c r="AG43" s="30">
        <f t="shared" si="30"/>
        <v>-10</v>
      </c>
      <c r="AH43" s="35">
        <f t="shared" si="31"/>
        <v>45000</v>
      </c>
      <c r="AI43" s="34">
        <v>596281.94618133688</v>
      </c>
      <c r="AJ43" s="38">
        <f t="shared" si="32"/>
        <v>-3.8621302964166104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3" t="s">
        <v>108</v>
      </c>
      <c r="B44" s="3"/>
      <c r="C44" s="1"/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5"/>
        <v>0</v>
      </c>
      <c r="U44" s="22">
        <f t="shared" si="6"/>
        <v>0</v>
      </c>
      <c r="V44" s="22">
        <f t="shared" si="7"/>
        <v>0</v>
      </c>
      <c r="W44" s="21">
        <f t="shared" si="11"/>
        <v>0</v>
      </c>
      <c r="X44" s="18">
        <f t="shared" si="0"/>
        <v>0</v>
      </c>
      <c r="Y44" s="3"/>
      <c r="Z44" s="6">
        <f t="shared" si="9"/>
        <v>0</v>
      </c>
      <c r="AA44" s="2"/>
      <c r="AB44" s="43">
        <v>0</v>
      </c>
      <c r="AC44" s="47">
        <f t="shared" si="29"/>
        <v>40572</v>
      </c>
      <c r="AD44" s="45">
        <v>620236.27943891438</v>
      </c>
      <c r="AE44" s="46">
        <f t="shared" si="33"/>
        <v>0</v>
      </c>
      <c r="AF44" s="2"/>
      <c r="AG44" s="43">
        <v>0</v>
      </c>
      <c r="AH44" s="47">
        <f t="shared" si="31"/>
        <v>50000</v>
      </c>
      <c r="AI44" s="45">
        <v>620236.27943891438</v>
      </c>
      <c r="AJ44" s="46">
        <f t="shared" si="32"/>
        <v>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16" t="s">
        <v>199</v>
      </c>
      <c r="B45" s="6">
        <f>J8/B8</f>
        <v>218709.67741935485</v>
      </c>
      <c r="C45" s="2" t="s">
        <v>3</v>
      </c>
      <c r="D45" s="2"/>
      <c r="E45" s="1" t="s">
        <v>163</v>
      </c>
      <c r="F45" s="2"/>
      <c r="G45" s="2"/>
      <c r="H45" s="2"/>
      <c r="I45" s="1" t="s">
        <v>109</v>
      </c>
      <c r="J45" s="2"/>
      <c r="K45" s="2"/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5"/>
        <v>0</v>
      </c>
      <c r="U45" s="22">
        <f t="shared" si="6"/>
        <v>0</v>
      </c>
      <c r="V45" s="22">
        <f t="shared" si="7"/>
        <v>0</v>
      </c>
      <c r="W45" s="21">
        <f t="shared" si="11"/>
        <v>0</v>
      </c>
      <c r="X45" s="18">
        <f t="shared" si="0"/>
        <v>0</v>
      </c>
      <c r="Y45" s="3"/>
      <c r="Z45" s="6">
        <f t="shared" si="9"/>
        <v>0</v>
      </c>
      <c r="AA45" s="2"/>
      <c r="AB45" s="30">
        <f t="shared" ref="AB45:AB49" si="34">AB44+10</f>
        <v>10</v>
      </c>
      <c r="AC45" s="35">
        <f t="shared" si="29"/>
        <v>44629.200000000004</v>
      </c>
      <c r="AD45" s="34">
        <v>625692.218009445</v>
      </c>
      <c r="AE45" s="38">
        <f t="shared" si="33"/>
        <v>0.87965485918789466</v>
      </c>
      <c r="AF45" s="2"/>
      <c r="AG45" s="30">
        <f t="shared" ref="AG45:AG49" si="35">AG44+10</f>
        <v>10</v>
      </c>
      <c r="AH45" s="35">
        <f t="shared" si="31"/>
        <v>55000.000000000007</v>
      </c>
      <c r="AI45" s="34">
        <v>644190.61269649223</v>
      </c>
      <c r="AJ45" s="38">
        <f t="shared" si="32"/>
        <v>3.8621302964166668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16" t="s">
        <v>110</v>
      </c>
      <c r="B46" s="6">
        <f>IF(J24="No",J10*J11,0)</f>
        <v>33810</v>
      </c>
      <c r="C46" s="2" t="s">
        <v>3</v>
      </c>
      <c r="D46" s="2"/>
      <c r="E46" s="16" t="s">
        <v>164</v>
      </c>
      <c r="F46" s="68">
        <f>((1+(B15/100))*J10*J11)*(1+(B13%+B14%))</f>
        <v>55583.640000000007</v>
      </c>
      <c r="G46" s="2" t="s">
        <v>3</v>
      </c>
      <c r="H46" s="2"/>
      <c r="I46" s="16" t="s">
        <v>111</v>
      </c>
      <c r="J46" s="20">
        <f>F18*J9*F23%/$B$8</f>
        <v>31.831238779174146</v>
      </c>
      <c r="K46" s="2" t="s">
        <v>49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5"/>
        <v>0</v>
      </c>
      <c r="U46" s="22">
        <f t="shared" si="6"/>
        <v>0</v>
      </c>
      <c r="V46" s="22">
        <f t="shared" si="7"/>
        <v>0</v>
      </c>
      <c r="W46" s="21">
        <f t="shared" si="11"/>
        <v>0</v>
      </c>
      <c r="X46" s="18">
        <f t="shared" si="0"/>
        <v>0</v>
      </c>
      <c r="Y46" s="3"/>
      <c r="Z46" s="6">
        <f t="shared" si="9"/>
        <v>0</v>
      </c>
      <c r="AA46" s="2"/>
      <c r="AB46" s="30">
        <f t="shared" si="34"/>
        <v>20</v>
      </c>
      <c r="AC46" s="35">
        <f t="shared" si="29"/>
        <v>48686.400000000001</v>
      </c>
      <c r="AD46" s="34">
        <v>631148.15657997516</v>
      </c>
      <c r="AE46" s="38">
        <f t="shared" si="33"/>
        <v>1.7593097183757143</v>
      </c>
      <c r="AF46" s="2"/>
      <c r="AG46" s="30">
        <f t="shared" si="35"/>
        <v>20</v>
      </c>
      <c r="AH46" s="35">
        <f t="shared" si="31"/>
        <v>60000</v>
      </c>
      <c r="AI46" s="34">
        <v>668144.94595406984</v>
      </c>
      <c r="AJ46" s="38">
        <f t="shared" si="32"/>
        <v>7.7242605928332955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5" t="s">
        <v>112</v>
      </c>
      <c r="B47" s="24">
        <f>(1+(B15/100))*B45</f>
        <v>262451.61290322582</v>
      </c>
      <c r="C47" s="2" t="s">
        <v>3</v>
      </c>
      <c r="D47" s="2"/>
      <c r="E47" s="2" t="s">
        <v>165</v>
      </c>
      <c r="F47" s="68">
        <f>((J22%)*F46)+(((1-J22%)*F46)*(1+(F22%*J21)))</f>
        <v>69396.174540000007</v>
      </c>
      <c r="G47" s="2" t="s">
        <v>3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5"/>
        <v>0</v>
      </c>
      <c r="U47" s="22">
        <f t="shared" si="6"/>
        <v>0</v>
      </c>
      <c r="V47" s="22">
        <f t="shared" si="7"/>
        <v>0</v>
      </c>
      <c r="W47" s="21">
        <f t="shared" si="11"/>
        <v>0</v>
      </c>
      <c r="X47" s="18">
        <f t="shared" si="0"/>
        <v>0</v>
      </c>
      <c r="Y47" s="3"/>
      <c r="Z47" s="6">
        <f t="shared" si="9"/>
        <v>0</v>
      </c>
      <c r="AA47" s="2"/>
      <c r="AB47" s="30">
        <f t="shared" si="34"/>
        <v>30</v>
      </c>
      <c r="AC47" s="35">
        <f t="shared" si="29"/>
        <v>52743.6</v>
      </c>
      <c r="AD47" s="34">
        <v>636604.09515050543</v>
      </c>
      <c r="AE47" s="38">
        <f t="shared" si="33"/>
        <v>2.6389645775635526</v>
      </c>
      <c r="AF47" s="2"/>
      <c r="AG47" s="30">
        <f t="shared" si="35"/>
        <v>30</v>
      </c>
      <c r="AH47" s="35">
        <f t="shared" si="31"/>
        <v>65000</v>
      </c>
      <c r="AI47" s="34">
        <v>692099.27921164711</v>
      </c>
      <c r="AJ47" s="38">
        <f t="shared" si="32"/>
        <v>11.586390889249868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52" t="s">
        <v>113</v>
      </c>
      <c r="B48" s="53">
        <f>(1+(B15/100))*B46</f>
        <v>40572</v>
      </c>
      <c r="C48" s="26" t="s">
        <v>3</v>
      </c>
      <c r="D48" s="2"/>
      <c r="E48" s="2" t="s">
        <v>93</v>
      </c>
      <c r="F48" s="68">
        <f>J13*J12</f>
        <v>940000</v>
      </c>
      <c r="G48" s="2" t="s">
        <v>97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5"/>
        <v>0</v>
      </c>
      <c r="U48" s="22">
        <f t="shared" si="6"/>
        <v>0</v>
      </c>
      <c r="V48" s="22">
        <f t="shared" si="7"/>
        <v>0</v>
      </c>
      <c r="W48" s="21">
        <f t="shared" si="11"/>
        <v>0</v>
      </c>
      <c r="X48" s="18">
        <f t="shared" si="0"/>
        <v>0</v>
      </c>
      <c r="Y48" s="3"/>
      <c r="Z48" s="6">
        <f t="shared" si="9"/>
        <v>0</v>
      </c>
      <c r="AA48" s="2"/>
      <c r="AB48" s="30">
        <f t="shared" si="34"/>
        <v>40</v>
      </c>
      <c r="AC48" s="35">
        <f t="shared" si="29"/>
        <v>56800.799999999996</v>
      </c>
      <c r="AD48" s="34">
        <v>642060.03372103581</v>
      </c>
      <c r="AE48" s="38">
        <f t="shared" si="33"/>
        <v>3.5186194367514099</v>
      </c>
      <c r="AF48" s="2"/>
      <c r="AG48" s="30">
        <f t="shared" si="35"/>
        <v>40</v>
      </c>
      <c r="AH48" s="35">
        <f t="shared" si="31"/>
        <v>70000</v>
      </c>
      <c r="AI48" s="34">
        <v>716053.61246922472</v>
      </c>
      <c r="AJ48" s="38">
        <f t="shared" si="32"/>
        <v>15.448521185666497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 t="s">
        <v>114</v>
      </c>
      <c r="B49" s="24">
        <f>B47+B48</f>
        <v>303023.61290322582</v>
      </c>
      <c r="C49" s="2" t="s">
        <v>3</v>
      </c>
      <c r="D49" s="2"/>
      <c r="E49" s="2" t="s">
        <v>166</v>
      </c>
      <c r="F49" s="69">
        <f>(F47/F48)*J25</f>
        <v>9.5973432874468093E-2</v>
      </c>
      <c r="G49" s="2" t="s">
        <v>4</v>
      </c>
      <c r="H49" s="2"/>
      <c r="I49" s="2"/>
      <c r="J49" s="2"/>
      <c r="K49" s="2"/>
      <c r="L49" s="15"/>
      <c r="M49" s="2"/>
      <c r="N49" s="12" t="s">
        <v>115</v>
      </c>
      <c r="O49" s="18">
        <f t="shared" ref="O49:X49" si="36">SUM(O8:O48)</f>
        <v>124545.45176139456</v>
      </c>
      <c r="P49" s="18">
        <f t="shared" si="36"/>
        <v>340964.6476671173</v>
      </c>
      <c r="Q49" s="18">
        <f t="shared" si="36"/>
        <v>104258.53661645792</v>
      </c>
      <c r="R49" s="18">
        <f t="shared" si="36"/>
        <v>0</v>
      </c>
      <c r="S49" s="18">
        <f t="shared" si="36"/>
        <v>135300.73850001552</v>
      </c>
      <c r="T49" s="18">
        <f t="shared" si="36"/>
        <v>245.79238832037106</v>
      </c>
      <c r="U49" s="18">
        <f t="shared" si="36"/>
        <v>0</v>
      </c>
      <c r="V49" s="18">
        <f t="shared" si="36"/>
        <v>0</v>
      </c>
      <c r="W49" s="18">
        <f t="shared" si="36"/>
        <v>-85078.887494391165</v>
      </c>
      <c r="X49" s="18">
        <f t="shared" si="36"/>
        <v>620236.27943891438</v>
      </c>
      <c r="Y49" s="3"/>
      <c r="Z49" s="3"/>
      <c r="AA49" s="2"/>
      <c r="AB49" s="30">
        <f t="shared" si="34"/>
        <v>50</v>
      </c>
      <c r="AC49" s="35">
        <f t="shared" si="29"/>
        <v>60858</v>
      </c>
      <c r="AD49" s="34">
        <v>647515.9722915662</v>
      </c>
      <c r="AE49" s="38">
        <f t="shared" si="33"/>
        <v>4.3982742959392667</v>
      </c>
      <c r="AF49" s="2"/>
      <c r="AG49" s="30">
        <f t="shared" si="35"/>
        <v>50</v>
      </c>
      <c r="AH49" s="35">
        <f t="shared" si="31"/>
        <v>75000</v>
      </c>
      <c r="AI49" s="34">
        <v>740007.94572680246</v>
      </c>
      <c r="AJ49" s="38">
        <f t="shared" si="32"/>
        <v>19.310651482083145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5" t="s">
        <v>116</v>
      </c>
      <c r="B50" s="6">
        <f>SUM(B33:B38)+SUM(B49)</f>
        <v>415151.50587131525</v>
      </c>
      <c r="C50" s="2" t="s">
        <v>3</v>
      </c>
      <c r="D50" s="2"/>
      <c r="E50" s="2" t="s">
        <v>167</v>
      </c>
      <c r="F50" s="6">
        <f>J26*365</f>
        <v>42887.5</v>
      </c>
      <c r="G50" s="2" t="s">
        <v>43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SUM(S49:T49)</f>
        <v>135546.5308883359</v>
      </c>
      <c r="T50" s="2"/>
      <c r="U50" s="2"/>
      <c r="V50" s="2"/>
      <c r="W50" s="2"/>
      <c r="X50" s="24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5" t="s">
        <v>173</v>
      </c>
      <c r="B51" s="6">
        <f>SUM(B31:B32)</f>
        <v>0</v>
      </c>
      <c r="C51" s="2" t="s">
        <v>3</v>
      </c>
      <c r="D51" s="2"/>
      <c r="E51" s="2" t="s">
        <v>168</v>
      </c>
      <c r="F51" s="5">
        <f>F49*F50</f>
        <v>4116.0606024037506</v>
      </c>
      <c r="G51" s="70" t="s">
        <v>49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9" t="s">
        <v>48</v>
      </c>
      <c r="AC51" s="30"/>
      <c r="AD51" s="30"/>
      <c r="AE51" s="30"/>
      <c r="AF51" s="2"/>
      <c r="AG51" s="29" t="s">
        <v>161</v>
      </c>
      <c r="AH51" s="30"/>
      <c r="AI51" s="30"/>
      <c r="AJ51" s="30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5" t="s">
        <v>174</v>
      </c>
      <c r="B52" s="6">
        <f>B50-B51</f>
        <v>415151.50587131525</v>
      </c>
      <c r="C52" s="2" t="s">
        <v>3</v>
      </c>
      <c r="D52" s="2"/>
      <c r="E52" s="2" t="s">
        <v>169</v>
      </c>
      <c r="F52" s="71">
        <f>IF(F12&gt;F50,(F12-F50)*F49,0)</f>
        <v>682.6110413196543</v>
      </c>
      <c r="G52" s="70" t="s">
        <v>49</v>
      </c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0" t="s">
        <v>78</v>
      </c>
      <c r="AC52" s="30" t="s">
        <v>117</v>
      </c>
      <c r="AD52" s="30" t="s">
        <v>23</v>
      </c>
      <c r="AE52" s="30" t="s">
        <v>80</v>
      </c>
      <c r="AF52" s="2"/>
      <c r="AG52" s="30" t="s">
        <v>78</v>
      </c>
      <c r="AH52" s="30" t="s">
        <v>170</v>
      </c>
      <c r="AI52" s="30" t="s">
        <v>23</v>
      </c>
      <c r="AJ52" s="30" t="s">
        <v>80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0" t="s">
        <v>84</v>
      </c>
      <c r="AC53" s="35">
        <v>17520</v>
      </c>
      <c r="AD53" s="34">
        <f>X49</f>
        <v>620236.27943891438</v>
      </c>
      <c r="AE53" s="30"/>
      <c r="AF53" s="2"/>
      <c r="AG53" s="30" t="s">
        <v>84</v>
      </c>
      <c r="AH53" s="35">
        <v>117.5</v>
      </c>
      <c r="AI53" s="34">
        <f>X49</f>
        <v>620236.27943891438</v>
      </c>
      <c r="AJ53" s="30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4"/>
      <c r="O54" s="55" t="s">
        <v>118</v>
      </c>
      <c r="P54" s="56" t="str">
        <f>B1</f>
        <v>Philippines</v>
      </c>
      <c r="Q54" s="54"/>
      <c r="R54" s="54"/>
      <c r="S54" s="54"/>
      <c r="T54" s="54"/>
      <c r="U54" s="54"/>
      <c r="V54" s="57"/>
      <c r="W54" s="2"/>
      <c r="X54" s="32"/>
      <c r="Y54" s="32"/>
      <c r="Z54" s="57"/>
      <c r="AA54" s="32"/>
      <c r="AB54" s="30">
        <f t="shared" ref="AB54:AB58" si="37">AB55-10</f>
        <v>-50</v>
      </c>
      <c r="AC54" s="35">
        <f t="shared" ref="AC54:AC64" si="38">$AC$53*(1+(AB54/100))</f>
        <v>8760</v>
      </c>
      <c r="AD54" s="34">
        <f t="dataTable" ref="AD54:AD64" dt2D="0" dtr="0" r1="J41" ca="1"/>
        <v>552593.88145925547</v>
      </c>
      <c r="AE54" s="38">
        <f t="shared" ref="AE54:AE64" si="39">100*((AD54-$AI$29)/$AI$29)</f>
        <v>-10.90590799378108</v>
      </c>
      <c r="AF54" s="2"/>
      <c r="AG54" s="30">
        <f t="shared" ref="AG54:AG56" si="40">AG55-20</f>
        <v>-100</v>
      </c>
      <c r="AH54" s="35">
        <f>$AH$53*(1+(AG54/100))</f>
        <v>0</v>
      </c>
      <c r="AI54" s="34">
        <f t="dataTable" ref="AI54:AI64" dt2D="0" dtr="0" r1="J26" ca="1"/>
        <v>620236.27943891438</v>
      </c>
      <c r="AJ54" s="38">
        <f>100*((AI54-$AI$59)/$AI$59)</f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24">
        <f>SUM(O49:P49)</f>
        <v>465510.09942851186</v>
      </c>
      <c r="Q55" s="2" t="s">
        <v>3</v>
      </c>
      <c r="R55" s="50">
        <f t="shared" ref="R55:R59" si="41">P55/$J$34</f>
        <v>0.9310201988570237</v>
      </c>
      <c r="S55" s="2" t="s">
        <v>4</v>
      </c>
      <c r="T55" s="2"/>
      <c r="U55" s="2"/>
      <c r="V55" s="57"/>
      <c r="W55" s="2"/>
      <c r="X55" s="32"/>
      <c r="Y55" s="32"/>
      <c r="Z55" s="57"/>
      <c r="AA55" s="32"/>
      <c r="AB55" s="30">
        <f t="shared" si="37"/>
        <v>-40</v>
      </c>
      <c r="AC55" s="35">
        <f t="shared" si="38"/>
        <v>10512</v>
      </c>
      <c r="AD55" s="34">
        <v>566122.36105518742</v>
      </c>
      <c r="AE55" s="38">
        <f t="shared" si="39"/>
        <v>-8.7247263950248364</v>
      </c>
      <c r="AF55" s="2"/>
      <c r="AG55" s="30">
        <f t="shared" si="40"/>
        <v>-80</v>
      </c>
      <c r="AH55" s="35">
        <f t="shared" ref="AH55:AH64" si="42">$AH$53*(1+(AG55/100))</f>
        <v>23.499999999999996</v>
      </c>
      <c r="AI55" s="34">
        <v>620236.27943891438</v>
      </c>
      <c r="AJ55" s="38">
        <f t="shared" ref="AJ55:AJ64" si="43">100*((AI55-$AI$59)/$AI$59)</f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98</v>
      </c>
      <c r="P56" s="24">
        <f>SUM(Q49:R49)</f>
        <v>104258.53661645792</v>
      </c>
      <c r="Q56" s="2" t="s">
        <v>3</v>
      </c>
      <c r="R56" s="50">
        <f t="shared" si="41"/>
        <v>0.20851707323291582</v>
      </c>
      <c r="S56" s="2" t="s">
        <v>4</v>
      </c>
      <c r="T56" s="2"/>
      <c r="U56" s="2"/>
      <c r="V56" s="57"/>
      <c r="W56" s="2"/>
      <c r="X56" s="32"/>
      <c r="Y56" s="32"/>
      <c r="Z56" s="57"/>
      <c r="AA56" s="32"/>
      <c r="AB56" s="30">
        <f t="shared" si="37"/>
        <v>-30</v>
      </c>
      <c r="AC56" s="35">
        <f t="shared" si="38"/>
        <v>12264</v>
      </c>
      <c r="AD56" s="34">
        <v>579650.84065111913</v>
      </c>
      <c r="AE56" s="38">
        <f t="shared" si="39"/>
        <v>-6.5435447962686331</v>
      </c>
      <c r="AF56" s="2"/>
      <c r="AG56" s="30">
        <f t="shared" si="40"/>
        <v>-60</v>
      </c>
      <c r="AH56" s="35">
        <f t="shared" si="42"/>
        <v>47</v>
      </c>
      <c r="AI56" s="34">
        <v>620236.27943891438</v>
      </c>
      <c r="AJ56" s="38">
        <f t="shared" si="43"/>
        <v>0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120</v>
      </c>
      <c r="P57" s="24">
        <f>SUM(S49:T49)</f>
        <v>135546.5308883359</v>
      </c>
      <c r="Q57" s="2" t="s">
        <v>3</v>
      </c>
      <c r="R57" s="50">
        <f t="shared" si="41"/>
        <v>0.27109306177667181</v>
      </c>
      <c r="S57" s="2" t="s">
        <v>4</v>
      </c>
      <c r="T57" s="2"/>
      <c r="U57" s="2"/>
      <c r="V57" s="57"/>
      <c r="W57" s="2"/>
      <c r="X57" s="32"/>
      <c r="Y57" s="32"/>
      <c r="Z57" s="57"/>
      <c r="AA57" s="32"/>
      <c r="AB57" s="30">
        <f t="shared" si="37"/>
        <v>-20</v>
      </c>
      <c r="AC57" s="35">
        <f t="shared" si="38"/>
        <v>14016</v>
      </c>
      <c r="AD57" s="34">
        <v>593179.32024705084</v>
      </c>
      <c r="AE57" s="38">
        <f t="shared" si="39"/>
        <v>-4.362363197512428</v>
      </c>
      <c r="AF57" s="2"/>
      <c r="AG57" s="30">
        <f>AG58-20</f>
        <v>-40</v>
      </c>
      <c r="AH57" s="35">
        <f t="shared" si="42"/>
        <v>70.5</v>
      </c>
      <c r="AI57" s="34">
        <v>620236.27943891438</v>
      </c>
      <c r="AJ57" s="38">
        <f t="shared" si="43"/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121</v>
      </c>
      <c r="P58" s="24">
        <f>SUM(U49:V49)</f>
        <v>0</v>
      </c>
      <c r="Q58" s="2" t="s">
        <v>3</v>
      </c>
      <c r="R58" s="50">
        <f t="shared" si="41"/>
        <v>0</v>
      </c>
      <c r="S58" s="2" t="s">
        <v>4</v>
      </c>
      <c r="T58" s="2"/>
      <c r="U58" s="2"/>
      <c r="V58" s="57"/>
      <c r="W58" s="2"/>
      <c r="X58" s="32"/>
      <c r="Y58" s="32"/>
      <c r="Z58" s="57"/>
      <c r="AA58" s="32"/>
      <c r="AB58" s="30">
        <f t="shared" si="37"/>
        <v>-10</v>
      </c>
      <c r="AC58" s="35">
        <f t="shared" si="38"/>
        <v>15768</v>
      </c>
      <c r="AD58" s="34">
        <v>606707.79984298255</v>
      </c>
      <c r="AE58" s="38">
        <f t="shared" si="39"/>
        <v>-2.1811815987562233</v>
      </c>
      <c r="AF58" s="2"/>
      <c r="AG58" s="30">
        <f>AG59-20</f>
        <v>-20</v>
      </c>
      <c r="AH58" s="35">
        <f t="shared" si="42"/>
        <v>94</v>
      </c>
      <c r="AI58" s="34">
        <v>620236.27943891438</v>
      </c>
      <c r="AJ58" s="38">
        <f t="shared" si="43"/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122</v>
      </c>
      <c r="P59" s="24">
        <f>W49</f>
        <v>-85078.887494391165</v>
      </c>
      <c r="Q59" s="2" t="s">
        <v>3</v>
      </c>
      <c r="R59" s="50">
        <f t="shared" si="41"/>
        <v>-0.17015777498878232</v>
      </c>
      <c r="S59" s="2" t="s">
        <v>4</v>
      </c>
      <c r="T59" s="2"/>
      <c r="U59" s="2"/>
      <c r="V59" s="57"/>
      <c r="W59" s="2"/>
      <c r="X59" s="32"/>
      <c r="Y59" s="32"/>
      <c r="Z59" s="57"/>
      <c r="AA59" s="32"/>
      <c r="AB59" s="43">
        <v>0</v>
      </c>
      <c r="AC59" s="47">
        <f t="shared" si="38"/>
        <v>17520</v>
      </c>
      <c r="AD59" s="45">
        <v>620236.27943891438</v>
      </c>
      <c r="AE59" s="46">
        <f t="shared" si="39"/>
        <v>0</v>
      </c>
      <c r="AF59" s="2"/>
      <c r="AG59" s="43">
        <v>0</v>
      </c>
      <c r="AH59" s="72">
        <f t="shared" si="42"/>
        <v>117.5</v>
      </c>
      <c r="AI59" s="45">
        <v>620236.27943891438</v>
      </c>
      <c r="AJ59" s="73">
        <f t="shared" si="43"/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620236.2794389145</v>
      </c>
      <c r="Q60" s="1" t="s">
        <v>3</v>
      </c>
      <c r="R60" s="51">
        <f>SUM(R55:R59)</f>
        <v>1.2404725588778289</v>
      </c>
      <c r="S60" s="1" t="s">
        <v>4</v>
      </c>
      <c r="T60" s="1"/>
      <c r="U60" s="2"/>
      <c r="V60" s="57"/>
      <c r="W60" s="2"/>
      <c r="X60" s="32"/>
      <c r="Y60" s="32"/>
      <c r="Z60" s="57"/>
      <c r="AA60" s="32"/>
      <c r="AB60" s="30">
        <f t="shared" ref="AB60:AB64" si="44">AB59+10</f>
        <v>10</v>
      </c>
      <c r="AC60" s="35">
        <f t="shared" si="38"/>
        <v>19272</v>
      </c>
      <c r="AD60" s="34">
        <v>633764.75903484633</v>
      </c>
      <c r="AE60" s="38">
        <f t="shared" si="39"/>
        <v>2.181181598756242</v>
      </c>
      <c r="AF60" s="2"/>
      <c r="AG60" s="30">
        <f>AG59+20</f>
        <v>20</v>
      </c>
      <c r="AH60" s="35">
        <f t="shared" si="42"/>
        <v>141</v>
      </c>
      <c r="AI60" s="34">
        <v>620236.27943891438</v>
      </c>
      <c r="AJ60" s="38">
        <f t="shared" si="43"/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7"/>
      <c r="W61" s="2"/>
      <c r="X61" s="32"/>
      <c r="Y61" s="32"/>
      <c r="Z61" s="57"/>
      <c r="AA61" s="32"/>
      <c r="AB61" s="30">
        <f t="shared" si="44"/>
        <v>20</v>
      </c>
      <c r="AC61" s="35">
        <f t="shared" si="38"/>
        <v>21024</v>
      </c>
      <c r="AD61" s="34">
        <v>647293.23863077804</v>
      </c>
      <c r="AE61" s="38">
        <f t="shared" si="39"/>
        <v>4.3623631975124466</v>
      </c>
      <c r="AF61" s="2"/>
      <c r="AG61" s="30">
        <f t="shared" ref="AG61:AG64" si="45">AG60+20</f>
        <v>40</v>
      </c>
      <c r="AH61" s="35">
        <f t="shared" si="42"/>
        <v>164.5</v>
      </c>
      <c r="AI61" s="34">
        <v>620236.27943891438</v>
      </c>
      <c r="AJ61" s="38">
        <f t="shared" si="43"/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7"/>
      <c r="W62" s="2"/>
      <c r="X62" s="32"/>
      <c r="Y62" s="32"/>
      <c r="Z62" s="57"/>
      <c r="AA62" s="32"/>
      <c r="AB62" s="30">
        <f t="shared" si="44"/>
        <v>30</v>
      </c>
      <c r="AC62" s="35">
        <f t="shared" si="38"/>
        <v>22776</v>
      </c>
      <c r="AD62" s="34">
        <v>660821.71822670987</v>
      </c>
      <c r="AE62" s="38">
        <f t="shared" si="39"/>
        <v>6.5435447962686704</v>
      </c>
      <c r="AF62" s="2"/>
      <c r="AG62" s="30">
        <f t="shared" si="45"/>
        <v>60</v>
      </c>
      <c r="AH62" s="35">
        <f t="shared" si="42"/>
        <v>188</v>
      </c>
      <c r="AI62" s="34">
        <v>620236.27943891438</v>
      </c>
      <c r="AJ62" s="38">
        <f t="shared" si="43"/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7"/>
      <c r="W63" s="2"/>
      <c r="X63" s="32"/>
      <c r="Y63" s="32"/>
      <c r="Z63" s="57"/>
      <c r="AA63" s="32"/>
      <c r="AB63" s="30">
        <f t="shared" si="44"/>
        <v>40</v>
      </c>
      <c r="AC63" s="35">
        <f t="shared" si="38"/>
        <v>24528</v>
      </c>
      <c r="AD63" s="34">
        <v>674350.1978226417</v>
      </c>
      <c r="AE63" s="38">
        <f t="shared" si="39"/>
        <v>8.7247263950248932</v>
      </c>
      <c r="AF63" s="2"/>
      <c r="AG63" s="30">
        <f t="shared" si="45"/>
        <v>80</v>
      </c>
      <c r="AH63" s="35">
        <f t="shared" si="42"/>
        <v>211.5</v>
      </c>
      <c r="AI63" s="34">
        <v>620236.27943891438</v>
      </c>
      <c r="AJ63" s="38">
        <f t="shared" si="43"/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7"/>
      <c r="W64" s="2"/>
      <c r="X64" s="32"/>
      <c r="Y64" s="32"/>
      <c r="Z64" s="57"/>
      <c r="AA64" s="32"/>
      <c r="AB64" s="30">
        <f t="shared" si="44"/>
        <v>50</v>
      </c>
      <c r="AC64" s="35">
        <f t="shared" si="38"/>
        <v>26280</v>
      </c>
      <c r="AD64" s="34">
        <v>687878.67741857353</v>
      </c>
      <c r="AE64" s="38">
        <f t="shared" si="39"/>
        <v>10.905907993781117</v>
      </c>
      <c r="AF64" s="2"/>
      <c r="AG64" s="30">
        <f t="shared" si="45"/>
        <v>100</v>
      </c>
      <c r="AH64" s="35">
        <f t="shared" si="42"/>
        <v>235</v>
      </c>
      <c r="AI64" s="34">
        <v>620236.27943891438</v>
      </c>
      <c r="AJ64" s="38">
        <f t="shared" si="43"/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7"/>
      <c r="W65" s="2"/>
      <c r="X65" s="32"/>
      <c r="Y65" s="32"/>
      <c r="Z65" s="57"/>
      <c r="AA65" s="32"/>
      <c r="AB65" s="2"/>
      <c r="AC65" s="2"/>
      <c r="AD65" s="2"/>
      <c r="AE65" s="2"/>
      <c r="AF65" s="2"/>
      <c r="AG65" s="2"/>
      <c r="AH65" s="20"/>
      <c r="AI65" s="6"/>
      <c r="AJ65" s="5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7"/>
      <c r="W66" s="2"/>
      <c r="X66" s="32"/>
      <c r="Y66" s="32"/>
      <c r="Z66" s="57"/>
      <c r="AA66" s="32"/>
      <c r="AB66" s="29" t="s">
        <v>198</v>
      </c>
      <c r="AC66" s="30"/>
      <c r="AD66" s="30"/>
      <c r="AE66" s="30"/>
      <c r="AF66" s="2"/>
      <c r="AG66" s="2"/>
      <c r="AH66" s="20"/>
      <c r="AI66" s="6"/>
      <c r="AJ66" s="5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7"/>
      <c r="W67" s="2"/>
      <c r="X67" s="32"/>
      <c r="Y67" s="32"/>
      <c r="Z67" s="57"/>
      <c r="AA67" s="32"/>
      <c r="AB67" s="30" t="s">
        <v>78</v>
      </c>
      <c r="AC67" s="30" t="s">
        <v>198</v>
      </c>
      <c r="AD67" s="30" t="s">
        <v>23</v>
      </c>
      <c r="AE67" s="30" t="s">
        <v>80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7"/>
      <c r="W68" s="2"/>
      <c r="X68" s="32"/>
      <c r="Y68" s="32"/>
      <c r="Z68" s="57"/>
      <c r="AA68" s="32"/>
      <c r="AB68" s="30" t="s">
        <v>84</v>
      </c>
      <c r="AC68" s="33">
        <v>0.99</v>
      </c>
      <c r="AD68" s="34">
        <f>X49</f>
        <v>620236.27943891438</v>
      </c>
      <c r="AE68" s="30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59"/>
      <c r="Y69" s="59"/>
      <c r="Z69" s="2"/>
      <c r="AA69" s="59"/>
      <c r="AB69" s="30">
        <f t="shared" ref="AB69:AB73" si="46">AB70-10</f>
        <v>-50</v>
      </c>
      <c r="AC69" s="33">
        <f>$AC$68*(1+(-AB69/100))</f>
        <v>1.4849999999999999</v>
      </c>
      <c r="AD69" s="34">
        <f t="dataTable" ref="AD69:AD79" dt2D="0" dtr="0" r1="J18"/>
        <v>672365.54774714354</v>
      </c>
      <c r="AE69" s="38">
        <f>100*((AD69-$AD$74)/$AD$74)</f>
        <v>8.4047434883020653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0">
        <f t="shared" si="46"/>
        <v>-40</v>
      </c>
      <c r="AC70" s="33">
        <f t="shared" ref="AC70:AC79" si="47">$AC$68*(1+(-AB70/100))</f>
        <v>1.3859999999999999</v>
      </c>
      <c r="AD70" s="34">
        <v>661939.69408549753</v>
      </c>
      <c r="AE70" s="38">
        <f t="shared" ref="AE70:AE79" si="48">100*((AD70-$AD$74)/$AD$74)</f>
        <v>6.7237947906416222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0">
        <f t="shared" si="46"/>
        <v>-30</v>
      </c>
      <c r="AC71" s="33">
        <f t="shared" si="47"/>
        <v>1.2869999999999999</v>
      </c>
      <c r="AD71" s="34">
        <v>651513.84042385197</v>
      </c>
      <c r="AE71" s="38">
        <f t="shared" si="48"/>
        <v>5.0428460929812546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0">
        <f t="shared" si="46"/>
        <v>-20</v>
      </c>
      <c r="AC72" s="33">
        <f t="shared" si="47"/>
        <v>1.1879999999999999</v>
      </c>
      <c r="AD72" s="34">
        <v>641087.98676220619</v>
      </c>
      <c r="AE72" s="38">
        <f t="shared" si="48"/>
        <v>3.3618973953208489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0">
        <f t="shared" si="46"/>
        <v>-10</v>
      </c>
      <c r="AC73" s="33">
        <f t="shared" si="47"/>
        <v>1.089</v>
      </c>
      <c r="AD73" s="34">
        <v>630662.13310056017</v>
      </c>
      <c r="AE73" s="38">
        <f t="shared" si="48"/>
        <v>1.6809486976604056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43">
        <v>0</v>
      </c>
      <c r="AC74" s="90">
        <f t="shared" si="47"/>
        <v>0.99</v>
      </c>
      <c r="AD74" s="45">
        <v>620236.27943891438</v>
      </c>
      <c r="AE74" s="73">
        <f t="shared" si="48"/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0">
        <f t="shared" ref="AB75:AB79" si="49">AB74+10</f>
        <v>10</v>
      </c>
      <c r="AC75" s="33">
        <f t="shared" si="47"/>
        <v>0.89100000000000001</v>
      </c>
      <c r="AD75" s="34">
        <v>609810.42577726883</v>
      </c>
      <c r="AE75" s="38">
        <f t="shared" si="48"/>
        <v>-1.6809486976603683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0">
        <f t="shared" si="49"/>
        <v>20</v>
      </c>
      <c r="AC76" s="33">
        <f t="shared" si="47"/>
        <v>0.79200000000000004</v>
      </c>
      <c r="AD76" s="34">
        <v>599384.57211562293</v>
      </c>
      <c r="AE76" s="38">
        <f t="shared" si="48"/>
        <v>-3.3618973953207925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0">
        <f t="shared" si="49"/>
        <v>30</v>
      </c>
      <c r="AC77" s="33">
        <f t="shared" si="47"/>
        <v>0.69299999999999995</v>
      </c>
      <c r="AD77" s="34">
        <v>588958.71845397714</v>
      </c>
      <c r="AE77" s="38">
        <f t="shared" si="48"/>
        <v>-5.0428460929811987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0">
        <f t="shared" si="49"/>
        <v>40</v>
      </c>
      <c r="AC78" s="33">
        <f t="shared" si="47"/>
        <v>0.59399999999999997</v>
      </c>
      <c r="AD78" s="34">
        <v>578532.86479233135</v>
      </c>
      <c r="AE78" s="38">
        <f t="shared" si="48"/>
        <v>-6.7237947906416045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0">
        <f t="shared" si="49"/>
        <v>50</v>
      </c>
      <c r="AC79" s="33">
        <f t="shared" si="47"/>
        <v>0.495</v>
      </c>
      <c r="AD79" s="34">
        <v>568107.01113068557</v>
      </c>
      <c r="AE79" s="38">
        <f t="shared" si="48"/>
        <v>-8.4047434883020085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" right="0.7" top="0.75" bottom="0.75" header="0" footer="0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2736B2-E297-4D44-BC10-1ADE5BD90C40}">
          <x14:formula1>
            <xm:f>Description!$A$18:$A$19</xm:f>
          </x14:formula1>
          <xm:sqref>J24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O1000"/>
  <sheetViews>
    <sheetView topLeftCell="F1" zoomScale="110" zoomScaleNormal="140" workbookViewId="0">
      <selection activeCell="J8" sqref="J8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47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2</v>
      </c>
      <c r="B2" s="3">
        <f>U49</f>
        <v>377641.00433115003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4">
        <f>B2/F41</f>
        <v>0.75528200866230011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7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123</v>
      </c>
      <c r="R7" s="11" t="s">
        <v>124</v>
      </c>
      <c r="S7" s="11" t="s">
        <v>19</v>
      </c>
      <c r="T7" s="11" t="s">
        <v>22</v>
      </c>
      <c r="U7" s="12" t="s">
        <v>23</v>
      </c>
      <c r="V7" s="1"/>
      <c r="W7" s="2" t="s">
        <v>24</v>
      </c>
      <c r="X7" s="2"/>
      <c r="Y7" s="2"/>
      <c r="Z7" s="2" t="s">
        <v>25</v>
      </c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3" t="s">
        <v>26</v>
      </c>
      <c r="B8" s="14">
        <v>55.7</v>
      </c>
      <c r="C8" s="2" t="s">
        <v>27</v>
      </c>
      <c r="D8" s="2"/>
      <c r="E8" s="2"/>
      <c r="F8" s="2"/>
      <c r="G8" s="2"/>
      <c r="H8" s="15"/>
      <c r="I8" s="16" t="s">
        <v>199</v>
      </c>
      <c r="J8" s="6">
        <v>5677806.4516129037</v>
      </c>
      <c r="K8" s="2" t="s">
        <v>29</v>
      </c>
      <c r="L8" s="15"/>
      <c r="M8" s="2"/>
      <c r="N8" s="11">
        <v>0</v>
      </c>
      <c r="O8" s="17">
        <f>F31</f>
        <v>50277.327503330052</v>
      </c>
      <c r="P8" s="11"/>
      <c r="Q8" s="11"/>
      <c r="R8" s="11"/>
      <c r="S8" s="11"/>
      <c r="T8" s="11"/>
      <c r="U8" s="18">
        <f t="shared" ref="U8:U48" si="0">SUM(O8:T8)</f>
        <v>50277.327503330052</v>
      </c>
      <c r="V8" s="3"/>
      <c r="W8" s="6"/>
      <c r="X8" s="2"/>
      <c r="Y8" s="2"/>
      <c r="Z8" s="2" t="s">
        <v>177</v>
      </c>
      <c r="AA8" s="19">
        <f>F36</f>
        <v>0.73375224416517049</v>
      </c>
      <c r="AB8" s="2" t="s">
        <v>126</v>
      </c>
      <c r="AC8" s="2"/>
      <c r="AD8" s="2"/>
      <c r="AE8" s="2"/>
      <c r="AF8" s="2"/>
      <c r="AG8" s="2"/>
      <c r="AH8" s="2"/>
    </row>
    <row r="9" spans="1:34" x14ac:dyDescent="0.25">
      <c r="A9" s="13"/>
      <c r="B9" s="2"/>
      <c r="C9" s="2"/>
      <c r="D9" s="2"/>
      <c r="E9" s="2"/>
      <c r="F9" s="20"/>
      <c r="G9" s="2"/>
      <c r="H9" s="15"/>
      <c r="I9" s="16" t="s">
        <v>32</v>
      </c>
      <c r="J9" s="6">
        <v>18800</v>
      </c>
      <c r="K9" s="2" t="s">
        <v>33</v>
      </c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30278.123896449881</v>
      </c>
      <c r="Q9" s="22">
        <f t="shared" ref="Q9:Q48" si="2">IF(N9&gt;0,($F$38*((1+($F$14/100))^(N9-1)))/((1+($F$11/100))^N9),0)</f>
        <v>17120.88569718731</v>
      </c>
      <c r="R9" s="22">
        <f t="shared" ref="R9:R48" si="3">IF(N9&gt;0,$J$31/((1+($F$11/100))^N9),0)</f>
        <v>9906.7282209113437</v>
      </c>
      <c r="S9" s="22">
        <f t="shared" ref="S9:S48" si="4">IF(N9&gt;0,($J$43)/((1+($F$11/100))^N9),0)</f>
        <v>96.434983329058724</v>
      </c>
      <c r="T9" s="21">
        <f t="shared" ref="T9:T48" si="5">IF(N9=$B$5,((((1-$J$12/100)^N9)*$B$44)/((1+($F$11/100))^N9))*-1,0)</f>
        <v>0</v>
      </c>
      <c r="U9" s="18">
        <f t="shared" si="0"/>
        <v>57402.172797877603</v>
      </c>
      <c r="V9" s="3"/>
      <c r="W9" s="6">
        <f t="shared" ref="W9:W48" si="6">IF(N9&gt;0,((((1-$J$12/100)^N9)*$B$44/((1+($F$11/100))^N9))),0)</f>
        <v>108249.65898617511</v>
      </c>
      <c r="X9" s="2"/>
      <c r="Y9" s="2"/>
      <c r="Z9" s="2" t="s">
        <v>174</v>
      </c>
      <c r="AA9" s="24">
        <f>B47</f>
        <v>167591.09167776685</v>
      </c>
      <c r="AB9" s="2" t="s">
        <v>3</v>
      </c>
      <c r="AC9" s="2"/>
      <c r="AD9" s="6"/>
      <c r="AE9" s="2"/>
      <c r="AF9" s="2"/>
      <c r="AG9" s="2"/>
      <c r="AH9" s="2"/>
    </row>
    <row r="10" spans="1:34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127</v>
      </c>
      <c r="J10" s="27">
        <v>0.49</v>
      </c>
      <c r="K10" s="2" t="s">
        <v>128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28836.308472809411</v>
      </c>
      <c r="Q10" s="22">
        <f t="shared" si="2"/>
        <v>16468.661480151604</v>
      </c>
      <c r="R10" s="22">
        <f t="shared" si="3"/>
        <v>9434.9792580108042</v>
      </c>
      <c r="S10" s="22">
        <f t="shared" si="4"/>
        <v>91.842841265770218</v>
      </c>
      <c r="T10" s="21">
        <f t="shared" si="5"/>
        <v>0</v>
      </c>
      <c r="U10" s="18">
        <f t="shared" si="0"/>
        <v>54831.792052237586</v>
      </c>
      <c r="V10" s="3"/>
      <c r="W10" s="6">
        <f t="shared" si="6"/>
        <v>95795.793457098975</v>
      </c>
      <c r="X10" s="2"/>
      <c r="Y10" s="2"/>
      <c r="Z10" s="2" t="s">
        <v>42</v>
      </c>
      <c r="AA10" s="6">
        <f>F12</f>
        <v>50000</v>
      </c>
      <c r="AB10" s="2" t="s">
        <v>43</v>
      </c>
      <c r="AC10" s="2"/>
      <c r="AD10" s="6"/>
      <c r="AE10" s="2"/>
      <c r="AF10" s="2"/>
      <c r="AG10" s="2"/>
      <c r="AH10" s="2"/>
    </row>
    <row r="11" spans="1:34" x14ac:dyDescent="0.25">
      <c r="A11" s="25" t="s">
        <v>172</v>
      </c>
      <c r="B11" s="2">
        <v>0</v>
      </c>
      <c r="C11" s="2" t="s">
        <v>38</v>
      </c>
      <c r="D11" s="2"/>
      <c r="E11" s="16" t="s">
        <v>39</v>
      </c>
      <c r="F11" s="2">
        <v>5</v>
      </c>
      <c r="G11" s="2" t="s">
        <v>38</v>
      </c>
      <c r="H11" s="15"/>
      <c r="I11" s="16" t="s">
        <v>57</v>
      </c>
      <c r="J11" s="2">
        <v>30</v>
      </c>
      <c r="K11" s="2" t="s">
        <v>58</v>
      </c>
      <c r="L11" s="15"/>
      <c r="M11" s="2"/>
      <c r="N11" s="11">
        <f t="shared" si="7"/>
        <v>3</v>
      </c>
      <c r="O11" s="11"/>
      <c r="P11" s="21">
        <f t="shared" si="1"/>
        <v>27463.150926485152</v>
      </c>
      <c r="Q11" s="22">
        <f t="shared" si="2"/>
        <v>15841.283899955351</v>
      </c>
      <c r="R11" s="22">
        <f t="shared" si="3"/>
        <v>8985.6945314388595</v>
      </c>
      <c r="S11" s="22">
        <f t="shared" si="4"/>
        <v>87.469372634066872</v>
      </c>
      <c r="T11" s="21">
        <f t="shared" si="5"/>
        <v>0</v>
      </c>
      <c r="U11" s="18">
        <f t="shared" si="0"/>
        <v>52377.598730513433</v>
      </c>
      <c r="V11" s="3"/>
      <c r="W11" s="6">
        <f t="shared" si="6"/>
        <v>84774.715505082248</v>
      </c>
      <c r="X11" s="2"/>
      <c r="Y11" s="2"/>
      <c r="Z11" s="16" t="s">
        <v>48</v>
      </c>
      <c r="AA11" s="6">
        <f>J36</f>
        <v>10400</v>
      </c>
      <c r="AB11" s="2" t="s">
        <v>49</v>
      </c>
      <c r="AC11" s="2"/>
      <c r="AD11" s="6"/>
      <c r="AE11" s="2"/>
      <c r="AF11" s="2"/>
      <c r="AG11" s="2"/>
      <c r="AH11" s="2"/>
    </row>
    <row r="12" spans="1:34" x14ac:dyDescent="0.25">
      <c r="A12" s="25" t="s">
        <v>44</v>
      </c>
      <c r="B12" s="2">
        <v>0</v>
      </c>
      <c r="C12" s="2" t="s">
        <v>38</v>
      </c>
      <c r="D12" s="2"/>
      <c r="E12" s="16" t="s">
        <v>45</v>
      </c>
      <c r="F12" s="6">
        <v>50000</v>
      </c>
      <c r="G12" s="2" t="s">
        <v>43</v>
      </c>
      <c r="H12" s="15"/>
      <c r="I12" s="16" t="s">
        <v>65</v>
      </c>
      <c r="J12" s="2">
        <v>7.08</v>
      </c>
      <c r="K12" s="2" t="s">
        <v>66</v>
      </c>
      <c r="L12" s="15"/>
      <c r="M12" s="2"/>
      <c r="N12" s="11">
        <f t="shared" si="7"/>
        <v>4</v>
      </c>
      <c r="O12" s="11"/>
      <c r="P12" s="21">
        <f t="shared" si="1"/>
        <v>26155.381834747765</v>
      </c>
      <c r="Q12" s="22">
        <f t="shared" si="2"/>
        <v>15237.806418052289</v>
      </c>
      <c r="R12" s="22">
        <f t="shared" si="3"/>
        <v>8557.804315656058</v>
      </c>
      <c r="S12" s="22">
        <f t="shared" si="4"/>
        <v>83.304164413397032</v>
      </c>
      <c r="T12" s="21">
        <f t="shared" si="5"/>
        <v>0</v>
      </c>
      <c r="U12" s="18">
        <f t="shared" si="0"/>
        <v>50034.296732869516</v>
      </c>
      <c r="V12" s="3"/>
      <c r="W12" s="6">
        <f t="shared" si="6"/>
        <v>75021.586330783262</v>
      </c>
      <c r="X12" s="2"/>
      <c r="Y12" s="2"/>
      <c r="Z12" s="92" t="s">
        <v>198</v>
      </c>
      <c r="AA12" s="93">
        <f>J10</f>
        <v>0.49</v>
      </c>
      <c r="AB12" s="92" t="s">
        <v>128</v>
      </c>
      <c r="AC12" s="2"/>
      <c r="AD12" s="6"/>
      <c r="AE12" s="2"/>
      <c r="AF12" s="2"/>
      <c r="AG12" s="2"/>
      <c r="AH12" s="2"/>
    </row>
    <row r="13" spans="1:34" x14ac:dyDescent="0.25">
      <c r="A13" s="25" t="s">
        <v>50</v>
      </c>
      <c r="B13" s="2">
        <v>12</v>
      </c>
      <c r="C13" s="2" t="s">
        <v>38</v>
      </c>
      <c r="D13" s="2"/>
      <c r="E13" s="16" t="s">
        <v>125</v>
      </c>
      <c r="F13" s="6">
        <v>40.869999999999997</v>
      </c>
      <c r="G13" s="2" t="s">
        <v>129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24909.887461664537</v>
      </c>
      <c r="Q13" s="22">
        <f t="shared" si="2"/>
        <v>14657.318554507439</v>
      </c>
      <c r="R13" s="22">
        <f t="shared" si="3"/>
        <v>8150.2898244343405</v>
      </c>
      <c r="S13" s="22">
        <f t="shared" si="4"/>
        <v>79.337299441330501</v>
      </c>
      <c r="T13" s="21">
        <f t="shared" si="5"/>
        <v>0</v>
      </c>
      <c r="U13" s="18">
        <f t="shared" si="0"/>
        <v>47796.833140047645</v>
      </c>
      <c r="V13" s="3"/>
      <c r="W13" s="6">
        <f t="shared" si="6"/>
        <v>66390.531446251247</v>
      </c>
      <c r="X13" s="2"/>
      <c r="Y13" s="2"/>
      <c r="Z13" s="2"/>
      <c r="AA13" s="2"/>
      <c r="AB13" s="2"/>
      <c r="AC13" s="2"/>
      <c r="AD13" s="6"/>
      <c r="AE13" s="2"/>
      <c r="AF13" s="2"/>
      <c r="AG13" s="2"/>
      <c r="AH13" s="2"/>
    </row>
    <row r="14" spans="1:34" x14ac:dyDescent="0.25">
      <c r="A14" s="25" t="s">
        <v>54</v>
      </c>
      <c r="B14" s="2">
        <v>25</v>
      </c>
      <c r="C14" s="2" t="s">
        <v>38</v>
      </c>
      <c r="D14" s="2"/>
      <c r="E14" s="16" t="s">
        <v>130</v>
      </c>
      <c r="F14" s="2">
        <v>1</v>
      </c>
      <c r="G14" s="2" t="s">
        <v>56</v>
      </c>
      <c r="H14" s="15"/>
      <c r="I14" s="1" t="s">
        <v>77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14098.94451433573</v>
      </c>
      <c r="R14" s="22">
        <f t="shared" si="3"/>
        <v>7762.180785175563</v>
      </c>
      <c r="S14" s="22">
        <f t="shared" si="4"/>
        <v>75.559332801267146</v>
      </c>
      <c r="T14" s="21">
        <f t="shared" si="5"/>
        <v>0</v>
      </c>
      <c r="U14" s="18">
        <f t="shared" si="0"/>
        <v>21936.684632312557</v>
      </c>
      <c r="V14" s="3"/>
      <c r="W14" s="6">
        <f t="shared" si="6"/>
        <v>58752.45887605397</v>
      </c>
      <c r="X14" s="2"/>
      <c r="Y14" s="2"/>
      <c r="Z14" s="2"/>
      <c r="AA14" s="2"/>
      <c r="AB14" s="2"/>
      <c r="AC14" s="2"/>
      <c r="AD14" s="6"/>
      <c r="AE14" s="2"/>
      <c r="AF14" s="2"/>
      <c r="AG14" s="2"/>
      <c r="AH14" s="2"/>
    </row>
    <row r="15" spans="1:34" x14ac:dyDescent="0.25">
      <c r="A15" s="25" t="s">
        <v>59</v>
      </c>
      <c r="B15" s="2">
        <v>20</v>
      </c>
      <c r="C15" s="2" t="s">
        <v>38</v>
      </c>
      <c r="D15" s="2"/>
      <c r="E15" s="16" t="s">
        <v>64</v>
      </c>
      <c r="F15" s="2">
        <v>0</v>
      </c>
      <c r="G15" s="2" t="s">
        <v>61</v>
      </c>
      <c r="H15" s="15"/>
      <c r="I15" s="16" t="s">
        <v>83</v>
      </c>
      <c r="J15" s="2">
        <v>5</v>
      </c>
      <c r="K15" s="2" t="s">
        <v>58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13561.841866170558</v>
      </c>
      <c r="R15" s="22">
        <f t="shared" si="3"/>
        <v>7392.5531287386302</v>
      </c>
      <c r="S15" s="22">
        <f t="shared" si="4"/>
        <v>71.96126933454012</v>
      </c>
      <c r="T15" s="21">
        <f t="shared" si="5"/>
        <v>0</v>
      </c>
      <c r="U15" s="18">
        <f t="shared" si="0"/>
        <v>21026.356264243728</v>
      </c>
      <c r="V15" s="3"/>
      <c r="W15" s="6">
        <f t="shared" si="6"/>
        <v>51993.128369170794</v>
      </c>
      <c r="X15" s="2"/>
      <c r="Y15" s="2"/>
      <c r="Z15" s="2"/>
      <c r="AA15" s="2"/>
      <c r="AB15" s="2"/>
      <c r="AC15" s="2"/>
      <c r="AD15" s="6"/>
      <c r="AE15" s="2"/>
      <c r="AF15" s="2"/>
      <c r="AG15" s="2"/>
      <c r="AH15" s="2"/>
    </row>
    <row r="16" spans="1:34" x14ac:dyDescent="0.25">
      <c r="A16" s="25" t="s">
        <v>63</v>
      </c>
      <c r="B16" s="2">
        <v>0</v>
      </c>
      <c r="C16" s="2" t="s">
        <v>29</v>
      </c>
      <c r="D16" s="2"/>
      <c r="E16" s="16" t="s">
        <v>67</v>
      </c>
      <c r="F16" s="6">
        <v>115</v>
      </c>
      <c r="G16" s="2" t="s">
        <v>61</v>
      </c>
      <c r="H16" s="15"/>
      <c r="I16" s="16" t="s">
        <v>86</v>
      </c>
      <c r="J16" s="2">
        <v>30</v>
      </c>
      <c r="K16" s="2" t="s">
        <v>87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13045.200271268821</v>
      </c>
      <c r="R16" s="22">
        <f t="shared" si="3"/>
        <v>7040.5267892748861</v>
      </c>
      <c r="S16" s="22">
        <f t="shared" si="4"/>
        <v>68.53454222337156</v>
      </c>
      <c r="T16" s="21">
        <f t="shared" si="5"/>
        <v>0</v>
      </c>
      <c r="U16" s="18">
        <f t="shared" si="0"/>
        <v>20154.261602767081</v>
      </c>
      <c r="V16" s="3"/>
      <c r="W16" s="6">
        <f t="shared" si="6"/>
        <v>46011.442743460495</v>
      </c>
      <c r="X16" s="2"/>
      <c r="Y16" s="2"/>
      <c r="Z16" s="2"/>
      <c r="AA16" s="2"/>
      <c r="AB16" s="2"/>
      <c r="AC16" s="2"/>
      <c r="AD16" s="6"/>
      <c r="AE16" s="2"/>
      <c r="AF16" s="2"/>
      <c r="AG16" s="2"/>
      <c r="AH16" s="2"/>
    </row>
    <row r="17" spans="1:41" x14ac:dyDescent="0.25">
      <c r="A17" s="25" t="s">
        <v>181</v>
      </c>
      <c r="B17" s="2">
        <v>450</v>
      </c>
      <c r="C17" s="2" t="s">
        <v>29</v>
      </c>
      <c r="D17" s="2"/>
      <c r="E17" s="16" t="s">
        <v>131</v>
      </c>
      <c r="F17" s="60">
        <v>0.3</v>
      </c>
      <c r="G17" s="2"/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12548.240260934774</v>
      </c>
      <c r="R17" s="22">
        <f t="shared" si="3"/>
        <v>6705.2636088332247</v>
      </c>
      <c r="S17" s="22">
        <f t="shared" si="4"/>
        <v>65.270992593687197</v>
      </c>
      <c r="T17" s="21">
        <f t="shared" si="5"/>
        <v>0</v>
      </c>
      <c r="U17" s="18">
        <f t="shared" si="0"/>
        <v>19318.774862361686</v>
      </c>
      <c r="V17" s="3"/>
      <c r="W17" s="6">
        <f t="shared" si="6"/>
        <v>40717.935806879512</v>
      </c>
      <c r="X17" s="2"/>
      <c r="Y17" s="2"/>
      <c r="Z17" s="2"/>
      <c r="AA17" s="2"/>
      <c r="AB17" s="2"/>
      <c r="AC17" s="2"/>
      <c r="AD17" s="6"/>
      <c r="AE17" s="2"/>
      <c r="AF17" s="2"/>
      <c r="AG17" s="2"/>
      <c r="AH17" s="2"/>
    </row>
    <row r="18" spans="1:41" x14ac:dyDescent="0.25">
      <c r="A18" s="16" t="s">
        <v>183</v>
      </c>
      <c r="B18" s="2">
        <v>10</v>
      </c>
      <c r="C18" s="2" t="s">
        <v>29</v>
      </c>
      <c r="D18" s="2"/>
      <c r="E18" s="16" t="s">
        <v>73</v>
      </c>
      <c r="F18" s="6">
        <v>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12070.212060518214</v>
      </c>
      <c r="R18" s="22">
        <f t="shared" si="3"/>
        <v>6385.9653417459285</v>
      </c>
      <c r="S18" s="22">
        <f t="shared" si="4"/>
        <v>62.162850089225898</v>
      </c>
      <c r="T18" s="21">
        <f t="shared" si="5"/>
        <v>-36033.434239764232</v>
      </c>
      <c r="U18" s="18">
        <f t="shared" si="0"/>
        <v>-17515.093987410866</v>
      </c>
      <c r="V18" s="3"/>
      <c r="W18" s="6">
        <f t="shared" si="6"/>
        <v>36033.434239764232</v>
      </c>
      <c r="X18" s="2"/>
      <c r="Y18" s="2"/>
      <c r="Z18" s="2"/>
      <c r="AA18" s="2"/>
      <c r="AB18" s="2"/>
      <c r="AC18" s="2"/>
      <c r="AD18" s="6"/>
      <c r="AE18" s="2"/>
      <c r="AF18" s="2"/>
      <c r="AG18" s="2"/>
      <c r="AH18" s="2"/>
    </row>
    <row r="19" spans="1:41" x14ac:dyDescent="0.25">
      <c r="A19" s="2" t="s">
        <v>132</v>
      </c>
      <c r="B19" s="2">
        <v>50</v>
      </c>
      <c r="C19" s="2" t="s">
        <v>29</v>
      </c>
      <c r="D19" s="2"/>
      <c r="E19" s="16" t="s">
        <v>48</v>
      </c>
      <c r="F19" s="27">
        <v>11.585599999999999</v>
      </c>
      <c r="G19" s="2" t="s">
        <v>76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1">
        <f t="shared" si="5"/>
        <v>0</v>
      </c>
      <c r="U19" s="18">
        <f t="shared" si="0"/>
        <v>0</v>
      </c>
      <c r="V19" s="3"/>
      <c r="W19" s="6">
        <f t="shared" si="6"/>
        <v>0</v>
      </c>
      <c r="X19" s="2"/>
      <c r="Y19" s="2"/>
      <c r="Z19" s="2"/>
      <c r="AA19" s="2"/>
      <c r="AB19" s="2"/>
      <c r="AC19" s="2"/>
      <c r="AD19" s="6"/>
      <c r="AE19" s="2"/>
      <c r="AF19" s="2"/>
      <c r="AG19" s="2"/>
      <c r="AH19" s="2"/>
    </row>
    <row r="20" spans="1:41" x14ac:dyDescent="0.25">
      <c r="A20" s="2"/>
      <c r="B20" s="2"/>
      <c r="C20" s="2"/>
      <c r="D20" s="2"/>
      <c r="E20" s="16" t="s">
        <v>82</v>
      </c>
      <c r="F20" s="2">
        <v>7.1</v>
      </c>
      <c r="G20" s="2" t="s">
        <v>66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1">
        <f t="shared" si="5"/>
        <v>0</v>
      </c>
      <c r="U20" s="18">
        <f t="shared" si="0"/>
        <v>0</v>
      </c>
      <c r="V20" s="3"/>
      <c r="W20" s="6">
        <f t="shared" si="6"/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41" ht="15.75" customHeight="1" x14ac:dyDescent="0.25">
      <c r="A21" s="2"/>
      <c r="B21" s="2"/>
      <c r="C21" s="2"/>
      <c r="D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1">
        <f t="shared" si="5"/>
        <v>0</v>
      </c>
      <c r="U21" s="18">
        <f t="shared" si="0"/>
        <v>0</v>
      </c>
      <c r="V21" s="3"/>
      <c r="W21" s="6">
        <f t="shared" si="6"/>
        <v>0</v>
      </c>
      <c r="X21" s="2"/>
      <c r="Y21" s="2"/>
      <c r="Z21" s="29" t="s">
        <v>125</v>
      </c>
      <c r="AA21" s="30"/>
      <c r="AB21" s="30"/>
      <c r="AC21" s="30"/>
      <c r="AD21" s="2"/>
      <c r="AE21" s="29" t="s">
        <v>28</v>
      </c>
      <c r="AF21" s="30"/>
      <c r="AG21" s="30"/>
      <c r="AH21" s="30"/>
      <c r="AJ21" s="86" t="s">
        <v>187</v>
      </c>
      <c r="AK21" s="86" t="s">
        <v>188</v>
      </c>
      <c r="AL21" s="86" t="s">
        <v>196</v>
      </c>
      <c r="AM21" s="86" t="s">
        <v>191</v>
      </c>
      <c r="AN21" s="86" t="s">
        <v>190</v>
      </c>
      <c r="AO21" s="91" t="str">
        <f>Z51</f>
        <v>Energy Efficiency</v>
      </c>
    </row>
    <row r="22" spans="1:41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1">
        <f t="shared" si="5"/>
        <v>0</v>
      </c>
      <c r="U22" s="18">
        <f t="shared" si="0"/>
        <v>0</v>
      </c>
      <c r="V22" s="3"/>
      <c r="W22" s="6">
        <f t="shared" si="6"/>
        <v>0</v>
      </c>
      <c r="X22" s="2"/>
      <c r="Y22" s="2"/>
      <c r="Z22" s="30" t="s">
        <v>78</v>
      </c>
      <c r="AA22" s="30" t="s">
        <v>133</v>
      </c>
      <c r="AB22" s="30" t="s">
        <v>23</v>
      </c>
      <c r="AC22" s="30" t="s">
        <v>80</v>
      </c>
      <c r="AD22" s="2"/>
      <c r="AE22" s="30" t="s">
        <v>78</v>
      </c>
      <c r="AF22" s="30" t="s">
        <v>81</v>
      </c>
      <c r="AG22" s="30" t="s">
        <v>23</v>
      </c>
      <c r="AH22" s="30" t="s">
        <v>80</v>
      </c>
      <c r="AJ22" s="87">
        <v>-50</v>
      </c>
      <c r="AK22" s="88">
        <f>AH24</f>
        <v>-24.880796568730311</v>
      </c>
      <c r="AL22" s="88">
        <f>AC24</f>
        <v>-19.151839096402703</v>
      </c>
      <c r="AM22" s="89">
        <f t="shared" ref="AM22:AM32" si="8">AC39</f>
        <v>-10.632590521486717</v>
      </c>
      <c r="AN22" s="89">
        <f t="shared" ref="AN22:AN32" si="9">AH39</f>
        <v>-29.784429617889419</v>
      </c>
      <c r="AO22" s="58">
        <f>AC54</f>
        <v>19.151839096402718</v>
      </c>
    </row>
    <row r="23" spans="1:41" ht="15.75" customHeight="1" x14ac:dyDescent="0.25">
      <c r="A23" s="2"/>
      <c r="B23" s="2"/>
      <c r="C23" s="2"/>
      <c r="D23" s="2"/>
      <c r="E23" s="2"/>
      <c r="F23" s="2"/>
      <c r="G23" s="2"/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1">
        <f t="shared" si="5"/>
        <v>0</v>
      </c>
      <c r="U23" s="18">
        <f t="shared" si="0"/>
        <v>0</v>
      </c>
      <c r="V23" s="3"/>
      <c r="W23" s="6">
        <f t="shared" si="6"/>
        <v>0</v>
      </c>
      <c r="X23" s="2"/>
      <c r="Y23" s="2"/>
      <c r="Z23" s="30" t="s">
        <v>134</v>
      </c>
      <c r="AA23" s="33">
        <v>0.73375224416517049</v>
      </c>
      <c r="AB23" s="34">
        <f>U49</f>
        <v>377641.00433115003</v>
      </c>
      <c r="AC23" s="30"/>
      <c r="AD23" s="2"/>
      <c r="AE23" s="30" t="s">
        <v>134</v>
      </c>
      <c r="AF23" s="35">
        <v>167591.09167776685</v>
      </c>
      <c r="AG23" s="34">
        <f>U49</f>
        <v>377641.00433115003</v>
      </c>
      <c r="AH23" s="30"/>
      <c r="AJ23" s="87">
        <v>-40</v>
      </c>
      <c r="AK23" s="88">
        <f>AH25</f>
        <v>-19.904637254984241</v>
      </c>
      <c r="AL23" s="88">
        <f t="shared" ref="AL23:AL32" si="10">AC25</f>
        <v>-15.321471277122168</v>
      </c>
      <c r="AM23" s="89">
        <f t="shared" si="8"/>
        <v>-8.5060724171893529</v>
      </c>
      <c r="AN23" s="89">
        <f t="shared" si="9"/>
        <v>-23.827543694311508</v>
      </c>
      <c r="AO23" s="58">
        <f t="shared" ref="AO23:AO32" si="11">AC55</f>
        <v>15.321471277122154</v>
      </c>
    </row>
    <row r="24" spans="1:41" ht="15.75" customHeight="1" x14ac:dyDescent="0.25">
      <c r="A24" s="13"/>
      <c r="B24" s="2"/>
      <c r="C24" s="2"/>
      <c r="D24" s="2"/>
      <c r="E24" s="2"/>
      <c r="F24" s="2"/>
      <c r="G24" s="2"/>
      <c r="H24" s="15"/>
      <c r="I24" s="2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1">
        <f t="shared" si="5"/>
        <v>0</v>
      </c>
      <c r="U24" s="18">
        <f t="shared" si="0"/>
        <v>0</v>
      </c>
      <c r="V24" s="3"/>
      <c r="W24" s="6">
        <f t="shared" si="6"/>
        <v>0</v>
      </c>
      <c r="X24" s="2"/>
      <c r="Y24" s="2"/>
      <c r="Z24" s="30">
        <f t="shared" ref="Z24:Z28" si="12">Z25-10</f>
        <v>-50</v>
      </c>
      <c r="AA24" s="33">
        <f t="shared" ref="AA24:AA34" si="13">$AA$23*(1+(Z24/100))</f>
        <v>0.36687612208258524</v>
      </c>
      <c r="AB24" s="34">
        <f t="dataTable" ref="AB24:AB34" dt2D="0" dtr="0" r1="F36" ca="1"/>
        <v>305315.80681960902</v>
      </c>
      <c r="AC24" s="38">
        <f t="shared" ref="AC24:AC34" si="14">100*((AB24-$AB$29)/$AB$29)</f>
        <v>-19.151839096402703</v>
      </c>
      <c r="AD24" s="2"/>
      <c r="AE24" s="30">
        <f t="shared" ref="AE24:AE28" si="15">AE25-10</f>
        <v>-50</v>
      </c>
      <c r="AF24" s="35">
        <f t="shared" ref="AF24:AF34" si="16">$AF$23*(1+(AE24/100))</f>
        <v>83795.545838883423</v>
      </c>
      <c r="AG24" s="34">
        <f t="dataTable" ref="AG24:AG34" dt2D="0" dtr="0" r1="B47" ca="1"/>
        <v>283680.91428340657</v>
      </c>
      <c r="AH24" s="38">
        <f t="shared" ref="AH24:AH34" si="17">100*((AG24-$AG$29)/$AG$29)</f>
        <v>-24.880796568730311</v>
      </c>
      <c r="AJ24" s="87">
        <v>-30</v>
      </c>
      <c r="AK24" s="88">
        <f t="shared" ref="AK24:AK32" si="18">AH26</f>
        <v>-14.928477941238205</v>
      </c>
      <c r="AL24" s="88">
        <f t="shared" si="10"/>
        <v>-11.491103457841618</v>
      </c>
      <c r="AM24" s="89">
        <f t="shared" si="8"/>
        <v>-6.3795543128919867</v>
      </c>
      <c r="AN24" s="89">
        <f t="shared" si="9"/>
        <v>-17.870657770733654</v>
      </c>
      <c r="AO24" s="58">
        <f t="shared" si="11"/>
        <v>11.49110345784165</v>
      </c>
    </row>
    <row r="25" spans="1:41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1">
        <f t="shared" si="5"/>
        <v>0</v>
      </c>
      <c r="U25" s="18">
        <f t="shared" si="0"/>
        <v>0</v>
      </c>
      <c r="V25" s="3"/>
      <c r="W25" s="6">
        <f t="shared" si="6"/>
        <v>0</v>
      </c>
      <c r="X25" s="2"/>
      <c r="Y25" s="2"/>
      <c r="Z25" s="30">
        <f t="shared" si="12"/>
        <v>-40</v>
      </c>
      <c r="AA25" s="33">
        <f t="shared" si="13"/>
        <v>0.4402513464991023</v>
      </c>
      <c r="AB25" s="34">
        <v>319780.8463219172</v>
      </c>
      <c r="AC25" s="38">
        <f t="shared" si="14"/>
        <v>-15.321471277122168</v>
      </c>
      <c r="AD25" s="2"/>
      <c r="AE25" s="30">
        <f t="shared" si="15"/>
        <v>-40</v>
      </c>
      <c r="AF25" s="35">
        <f t="shared" si="16"/>
        <v>100554.6550066601</v>
      </c>
      <c r="AG25" s="34">
        <v>302472.93229295529</v>
      </c>
      <c r="AH25" s="38">
        <f t="shared" si="17"/>
        <v>-19.904637254984241</v>
      </c>
      <c r="AJ25" s="87">
        <v>-20</v>
      </c>
      <c r="AK25" s="88">
        <f t="shared" si="18"/>
        <v>-9.9523186274921365</v>
      </c>
      <c r="AL25" s="88">
        <f t="shared" si="10"/>
        <v>-7.6607356385610998</v>
      </c>
      <c r="AM25" s="89">
        <f t="shared" si="8"/>
        <v>-4.2530362085946845</v>
      </c>
      <c r="AN25" s="89">
        <f t="shared" si="9"/>
        <v>-11.913771847155784</v>
      </c>
      <c r="AO25" s="58">
        <f t="shared" si="11"/>
        <v>7.6607356385610839</v>
      </c>
    </row>
    <row r="26" spans="1:4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2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1">
        <f t="shared" si="5"/>
        <v>0</v>
      </c>
      <c r="U26" s="18">
        <f t="shared" si="0"/>
        <v>0</v>
      </c>
      <c r="V26" s="3"/>
      <c r="W26" s="6">
        <f t="shared" si="6"/>
        <v>0</v>
      </c>
      <c r="X26" s="2"/>
      <c r="Y26" s="2"/>
      <c r="Z26" s="30">
        <f t="shared" si="12"/>
        <v>-30</v>
      </c>
      <c r="AA26" s="33">
        <f t="shared" si="13"/>
        <v>0.51362657091561936</v>
      </c>
      <c r="AB26" s="34">
        <v>334245.88582422544</v>
      </c>
      <c r="AC26" s="38">
        <f t="shared" si="14"/>
        <v>-11.491103457841618</v>
      </c>
      <c r="AD26" s="2"/>
      <c r="AE26" s="30">
        <f t="shared" si="15"/>
        <v>-30</v>
      </c>
      <c r="AF26" s="35">
        <f t="shared" si="16"/>
        <v>117313.76417443679</v>
      </c>
      <c r="AG26" s="34">
        <v>321264.95030250389</v>
      </c>
      <c r="AH26" s="38">
        <f t="shared" si="17"/>
        <v>-14.928477941238205</v>
      </c>
      <c r="AJ26" s="87">
        <v>-10</v>
      </c>
      <c r="AK26" s="88">
        <f t="shared" si="18"/>
        <v>-4.9761593137460833</v>
      </c>
      <c r="AL26" s="88">
        <f t="shared" si="10"/>
        <v>-3.8303678192805344</v>
      </c>
      <c r="AM26" s="89">
        <f t="shared" si="8"/>
        <v>-2.1265181042973498</v>
      </c>
      <c r="AN26" s="89">
        <f t="shared" si="9"/>
        <v>-5.9568859235778842</v>
      </c>
      <c r="AO26" s="58">
        <f t="shared" si="11"/>
        <v>3.8303678192805499</v>
      </c>
    </row>
    <row r="27" spans="1:4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1">
        <f t="shared" si="5"/>
        <v>0</v>
      </c>
      <c r="U27" s="18">
        <f t="shared" si="0"/>
        <v>0</v>
      </c>
      <c r="V27" s="3"/>
      <c r="W27" s="6">
        <f t="shared" si="6"/>
        <v>0</v>
      </c>
      <c r="X27" s="2"/>
      <c r="Y27" s="2"/>
      <c r="Z27" s="30">
        <f t="shared" si="12"/>
        <v>-20</v>
      </c>
      <c r="AA27" s="33">
        <f t="shared" si="13"/>
        <v>0.58700179533213637</v>
      </c>
      <c r="AB27" s="34">
        <v>348710.92532653356</v>
      </c>
      <c r="AC27" s="38">
        <f t="shared" si="14"/>
        <v>-7.6607356385610998</v>
      </c>
      <c r="AD27" s="2"/>
      <c r="AE27" s="30">
        <f t="shared" si="15"/>
        <v>-20</v>
      </c>
      <c r="AF27" s="35">
        <f t="shared" si="16"/>
        <v>134072.87334221348</v>
      </c>
      <c r="AG27" s="34">
        <v>340056.9683120526</v>
      </c>
      <c r="AH27" s="38">
        <f t="shared" si="17"/>
        <v>-9.9523186274921365</v>
      </c>
      <c r="AJ27" s="87">
        <v>0</v>
      </c>
      <c r="AK27" s="88">
        <f t="shared" si="18"/>
        <v>0</v>
      </c>
      <c r="AL27" s="88">
        <f t="shared" si="10"/>
        <v>0</v>
      </c>
      <c r="AM27" s="89">
        <f t="shared" si="8"/>
        <v>0</v>
      </c>
      <c r="AN27" s="89">
        <f t="shared" si="9"/>
        <v>0</v>
      </c>
      <c r="AO27" s="58">
        <f t="shared" si="11"/>
        <v>0</v>
      </c>
    </row>
    <row r="28" spans="1:41" ht="15.75" customHeight="1" x14ac:dyDescent="0.25">
      <c r="A28" s="1" t="s">
        <v>88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1">
        <f t="shared" si="5"/>
        <v>0</v>
      </c>
      <c r="U28" s="18">
        <f t="shared" si="0"/>
        <v>0</v>
      </c>
      <c r="V28" s="3"/>
      <c r="W28" s="6">
        <f t="shared" si="6"/>
        <v>0</v>
      </c>
      <c r="X28" s="2"/>
      <c r="Y28" s="2"/>
      <c r="Z28" s="30">
        <f t="shared" si="12"/>
        <v>-10</v>
      </c>
      <c r="AA28" s="33">
        <f t="shared" si="13"/>
        <v>0.66037701974865348</v>
      </c>
      <c r="AB28" s="34">
        <v>363175.96482884185</v>
      </c>
      <c r="AC28" s="38">
        <f t="shared" si="14"/>
        <v>-3.8303678192805344</v>
      </c>
      <c r="AD28" s="2"/>
      <c r="AE28" s="30">
        <f t="shared" si="15"/>
        <v>-10</v>
      </c>
      <c r="AF28" s="35">
        <f t="shared" si="16"/>
        <v>150831.98250999016</v>
      </c>
      <c r="AG28" s="34">
        <v>358848.98632160126</v>
      </c>
      <c r="AH28" s="38">
        <f t="shared" si="17"/>
        <v>-4.9761593137460833</v>
      </c>
      <c r="AJ28" s="87">
        <v>10</v>
      </c>
      <c r="AK28" s="88">
        <f t="shared" si="18"/>
        <v>4.976159313746038</v>
      </c>
      <c r="AL28" s="88">
        <f t="shared" si="10"/>
        <v>3.8303678192805499</v>
      </c>
      <c r="AM28" s="89">
        <f t="shared" si="8"/>
        <v>2.1265181042973653</v>
      </c>
      <c r="AN28" s="89">
        <f t="shared" si="9"/>
        <v>5.9568859235778842</v>
      </c>
      <c r="AO28" s="58">
        <f t="shared" si="11"/>
        <v>-3.8303678192805344</v>
      </c>
    </row>
    <row r="29" spans="1:4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1">
        <f t="shared" si="5"/>
        <v>0</v>
      </c>
      <c r="U29" s="18">
        <f t="shared" si="0"/>
        <v>0</v>
      </c>
      <c r="V29" s="3"/>
      <c r="W29" s="6">
        <f t="shared" si="6"/>
        <v>0</v>
      </c>
      <c r="X29" s="2"/>
      <c r="Y29" s="2"/>
      <c r="Z29" s="43">
        <v>0</v>
      </c>
      <c r="AA29" s="44">
        <f t="shared" si="13"/>
        <v>0.73375224416517049</v>
      </c>
      <c r="AB29" s="45">
        <v>377641.00433115003</v>
      </c>
      <c r="AC29" s="46">
        <f t="shared" si="14"/>
        <v>0</v>
      </c>
      <c r="AD29" s="2"/>
      <c r="AE29" s="43">
        <v>0</v>
      </c>
      <c r="AF29" s="47">
        <f t="shared" si="16"/>
        <v>167591.09167776685</v>
      </c>
      <c r="AG29" s="45">
        <v>377641.00433115003</v>
      </c>
      <c r="AH29" s="46">
        <f t="shared" si="17"/>
        <v>0</v>
      </c>
      <c r="AJ29" s="87">
        <v>20</v>
      </c>
      <c r="AK29" s="88">
        <f t="shared" si="18"/>
        <v>9.9523186274920903</v>
      </c>
      <c r="AL29" s="88">
        <f t="shared" si="10"/>
        <v>7.6607356385610839</v>
      </c>
      <c r="AM29" s="89">
        <f t="shared" si="8"/>
        <v>4.2530362085946694</v>
      </c>
      <c r="AN29" s="89">
        <f t="shared" si="9"/>
        <v>11.913771847155754</v>
      </c>
      <c r="AO29" s="58">
        <f t="shared" si="11"/>
        <v>-7.6607356385610998</v>
      </c>
    </row>
    <row r="30" spans="1:41" ht="15.75" customHeight="1" x14ac:dyDescent="0.25">
      <c r="A30" s="7" t="s">
        <v>89</v>
      </c>
      <c r="B30" s="8"/>
      <c r="C30" s="8"/>
      <c r="D30" s="8"/>
      <c r="E30" s="10" t="s">
        <v>90</v>
      </c>
      <c r="F30" s="8"/>
      <c r="G30" s="8"/>
      <c r="H30" s="8"/>
      <c r="I30" s="10"/>
      <c r="J30" s="48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1">
        <f t="shared" si="5"/>
        <v>0</v>
      </c>
      <c r="U30" s="18">
        <f t="shared" si="0"/>
        <v>0</v>
      </c>
      <c r="V30" s="3"/>
      <c r="W30" s="6">
        <f t="shared" si="6"/>
        <v>0</v>
      </c>
      <c r="X30" s="2"/>
      <c r="Y30" s="2"/>
      <c r="Z30" s="30">
        <f t="shared" ref="Z30:Z34" si="19">Z29+10</f>
        <v>10</v>
      </c>
      <c r="AA30" s="33">
        <f t="shared" si="13"/>
        <v>0.8071274685816876</v>
      </c>
      <c r="AB30" s="34">
        <v>392106.04383345827</v>
      </c>
      <c r="AC30" s="38">
        <f t="shared" si="14"/>
        <v>3.8303678192805499</v>
      </c>
      <c r="AD30" s="2"/>
      <c r="AE30" s="30">
        <f t="shared" ref="AE30:AE34" si="20">AE29+10</f>
        <v>10</v>
      </c>
      <c r="AF30" s="35">
        <f t="shared" si="16"/>
        <v>184350.20084554356</v>
      </c>
      <c r="AG30" s="34">
        <v>396433.02234069863</v>
      </c>
      <c r="AH30" s="38">
        <f t="shared" si="17"/>
        <v>4.976159313746038</v>
      </c>
      <c r="AJ30" s="87">
        <v>30</v>
      </c>
      <c r="AK30" s="88">
        <f t="shared" si="18"/>
        <v>14.928477941238159</v>
      </c>
      <c r="AL30" s="88">
        <f t="shared" si="10"/>
        <v>11.491103457841618</v>
      </c>
      <c r="AM30" s="89">
        <f t="shared" si="8"/>
        <v>6.3795543128920036</v>
      </c>
      <c r="AN30" s="89">
        <f t="shared" si="9"/>
        <v>17.870657770733622</v>
      </c>
      <c r="AO30" s="58">
        <f t="shared" si="11"/>
        <v>-11.491103457841618</v>
      </c>
    </row>
    <row r="31" spans="1:41" ht="15.75" customHeight="1" x14ac:dyDescent="0.25">
      <c r="A31" s="25" t="s">
        <v>172</v>
      </c>
      <c r="B31" s="6">
        <f t="shared" ref="B31:B32" si="21">IF(B11=0,0,-(B11/100)*$B$45)</f>
        <v>0</v>
      </c>
      <c r="C31" s="2" t="s">
        <v>3</v>
      </c>
      <c r="D31" s="2"/>
      <c r="E31" s="16" t="s">
        <v>92</v>
      </c>
      <c r="F31" s="24">
        <f>(J16/100)*B47</f>
        <v>50277.327503330052</v>
      </c>
      <c r="G31" s="2" t="s">
        <v>3</v>
      </c>
      <c r="H31" s="2"/>
      <c r="I31" s="1" t="s">
        <v>135</v>
      </c>
      <c r="J31" s="49">
        <f>SUM(J32:J36)</f>
        <v>10402.064631956911</v>
      </c>
      <c r="K31" s="1" t="s">
        <v>49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1">
        <f t="shared" si="5"/>
        <v>0</v>
      </c>
      <c r="U31" s="18">
        <f t="shared" si="0"/>
        <v>0</v>
      </c>
      <c r="V31" s="3"/>
      <c r="W31" s="6">
        <f t="shared" si="6"/>
        <v>0</v>
      </c>
      <c r="X31" s="2"/>
      <c r="Y31" s="2"/>
      <c r="Z31" s="30">
        <f t="shared" si="19"/>
        <v>20</v>
      </c>
      <c r="AA31" s="33">
        <f t="shared" si="13"/>
        <v>0.88050269299820461</v>
      </c>
      <c r="AB31" s="34">
        <v>406571.08333576645</v>
      </c>
      <c r="AC31" s="38">
        <f t="shared" si="14"/>
        <v>7.6607356385610839</v>
      </c>
      <c r="AD31" s="2"/>
      <c r="AE31" s="30">
        <f t="shared" si="20"/>
        <v>20</v>
      </c>
      <c r="AF31" s="35">
        <f t="shared" si="16"/>
        <v>201109.31001332021</v>
      </c>
      <c r="AG31" s="34">
        <v>415225.04035024729</v>
      </c>
      <c r="AH31" s="38">
        <f t="shared" si="17"/>
        <v>9.9523186274920903</v>
      </c>
      <c r="AJ31" s="87">
        <v>40</v>
      </c>
      <c r="AK31" s="88">
        <f t="shared" si="18"/>
        <v>19.904637254984198</v>
      </c>
      <c r="AL31" s="88">
        <f t="shared" si="10"/>
        <v>15.321471277122154</v>
      </c>
      <c r="AM31" s="89">
        <f t="shared" si="8"/>
        <v>8.5060724171893529</v>
      </c>
      <c r="AN31" s="89">
        <f t="shared" si="9"/>
        <v>23.827543694311537</v>
      </c>
      <c r="AO31" s="58">
        <f t="shared" si="11"/>
        <v>-15.321471277122168</v>
      </c>
    </row>
    <row r="32" spans="1:41" ht="15.75" customHeight="1" x14ac:dyDescent="0.25">
      <c r="A32" s="25" t="s">
        <v>44</v>
      </c>
      <c r="B32" s="6">
        <f t="shared" si="21"/>
        <v>0</v>
      </c>
      <c r="C32" s="2" t="s">
        <v>3</v>
      </c>
      <c r="D32" s="2"/>
      <c r="E32" s="16" t="s">
        <v>94</v>
      </c>
      <c r="F32" s="6">
        <f>B47-F31</f>
        <v>117313.7641744368</v>
      </c>
      <c r="G32" s="2" t="s">
        <v>3</v>
      </c>
      <c r="H32" s="2"/>
      <c r="I32" s="16" t="s">
        <v>105</v>
      </c>
      <c r="J32" s="27">
        <f>F16/$B$8</f>
        <v>2.0646319569120286</v>
      </c>
      <c r="K32" s="2" t="s">
        <v>49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1">
        <f t="shared" si="5"/>
        <v>0</v>
      </c>
      <c r="U32" s="18">
        <f t="shared" si="0"/>
        <v>0</v>
      </c>
      <c r="V32" s="3"/>
      <c r="W32" s="6">
        <f t="shared" si="6"/>
        <v>0</v>
      </c>
      <c r="X32" s="2"/>
      <c r="Y32" s="2"/>
      <c r="Z32" s="30">
        <f t="shared" si="19"/>
        <v>30</v>
      </c>
      <c r="AA32" s="33">
        <f t="shared" si="13"/>
        <v>0.95387791741472161</v>
      </c>
      <c r="AB32" s="34">
        <v>421036.12283807463</v>
      </c>
      <c r="AC32" s="38">
        <f t="shared" si="14"/>
        <v>11.491103457841618</v>
      </c>
      <c r="AD32" s="2"/>
      <c r="AE32" s="30">
        <f t="shared" si="20"/>
        <v>30</v>
      </c>
      <c r="AF32" s="35">
        <f t="shared" si="16"/>
        <v>217868.41918109692</v>
      </c>
      <c r="AG32" s="34">
        <v>434017.05835979601</v>
      </c>
      <c r="AH32" s="38">
        <f t="shared" si="17"/>
        <v>14.928477941238159</v>
      </c>
      <c r="AJ32" s="87">
        <v>50</v>
      </c>
      <c r="AK32" s="88">
        <f t="shared" si="18"/>
        <v>24.880796568730279</v>
      </c>
      <c r="AL32" s="88">
        <f t="shared" si="10"/>
        <v>19.151839096402671</v>
      </c>
      <c r="AM32" s="89">
        <f t="shared" si="8"/>
        <v>10.632590521486687</v>
      </c>
      <c r="AN32" s="89">
        <f t="shared" si="9"/>
        <v>29.784429617889419</v>
      </c>
      <c r="AO32" s="58">
        <f t="shared" si="11"/>
        <v>-19.151839096402703</v>
      </c>
    </row>
    <row r="33" spans="1:34" ht="15.75" customHeight="1" x14ac:dyDescent="0.25">
      <c r="A33" s="25" t="s">
        <v>50</v>
      </c>
      <c r="B33" s="6">
        <f t="shared" ref="B33:B34" si="22">IF(B13=0,0,(B13/100)*$B$44)</f>
        <v>14678.709677419354</v>
      </c>
      <c r="C33" s="2" t="s">
        <v>3</v>
      </c>
      <c r="D33" s="2"/>
      <c r="E33" s="16" t="s">
        <v>95</v>
      </c>
      <c r="F33" s="24">
        <f>F32*(F20/100)*J15</f>
        <v>41646.386281925064</v>
      </c>
      <c r="G33" s="2" t="s">
        <v>3</v>
      </c>
      <c r="H33" s="2"/>
      <c r="I33" s="16" t="s">
        <v>73</v>
      </c>
      <c r="J33" s="27">
        <f>F18/$B$8</f>
        <v>0</v>
      </c>
      <c r="K33" s="2" t="s">
        <v>49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1">
        <f t="shared" si="5"/>
        <v>0</v>
      </c>
      <c r="U33" s="18">
        <f t="shared" si="0"/>
        <v>0</v>
      </c>
      <c r="V33" s="3"/>
      <c r="W33" s="6">
        <f t="shared" si="6"/>
        <v>0</v>
      </c>
      <c r="X33" s="2"/>
      <c r="Y33" s="2"/>
      <c r="Z33" s="30">
        <f t="shared" si="19"/>
        <v>40</v>
      </c>
      <c r="AA33" s="33">
        <f t="shared" si="13"/>
        <v>1.0272531418312387</v>
      </c>
      <c r="AB33" s="34">
        <v>435501.16234038281</v>
      </c>
      <c r="AC33" s="38">
        <f t="shared" si="14"/>
        <v>15.321471277122154</v>
      </c>
      <c r="AD33" s="2"/>
      <c r="AE33" s="30">
        <f t="shared" si="20"/>
        <v>40</v>
      </c>
      <c r="AF33" s="35">
        <f t="shared" si="16"/>
        <v>234627.52834887357</v>
      </c>
      <c r="AG33" s="34">
        <v>452809.07636934461</v>
      </c>
      <c r="AH33" s="38">
        <f t="shared" si="17"/>
        <v>19.904637254984198</v>
      </c>
    </row>
    <row r="34" spans="1:34" ht="15.75" customHeight="1" x14ac:dyDescent="0.25">
      <c r="A34" s="25" t="s">
        <v>54</v>
      </c>
      <c r="B34" s="6">
        <f t="shared" si="22"/>
        <v>30580.645161290322</v>
      </c>
      <c r="C34" s="2" t="s">
        <v>3</v>
      </c>
      <c r="D34" s="2"/>
      <c r="E34" s="2"/>
      <c r="F34" s="32"/>
      <c r="G34" s="2"/>
      <c r="H34" s="2"/>
      <c r="I34" s="16" t="s">
        <v>64</v>
      </c>
      <c r="J34" s="27">
        <f>F15/$B$8</f>
        <v>0</v>
      </c>
      <c r="K34" s="2" t="s">
        <v>49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1">
        <f t="shared" si="5"/>
        <v>0</v>
      </c>
      <c r="U34" s="18">
        <f t="shared" si="0"/>
        <v>0</v>
      </c>
      <c r="V34" s="3"/>
      <c r="W34" s="6">
        <f t="shared" si="6"/>
        <v>0</v>
      </c>
      <c r="X34" s="2"/>
      <c r="Y34" s="2"/>
      <c r="Z34" s="30">
        <f t="shared" si="19"/>
        <v>50</v>
      </c>
      <c r="AA34" s="33">
        <f t="shared" si="13"/>
        <v>1.1006283662477556</v>
      </c>
      <c r="AB34" s="34">
        <v>449966.20184269093</v>
      </c>
      <c r="AC34" s="38">
        <f t="shared" si="14"/>
        <v>19.151839096402671</v>
      </c>
      <c r="AD34" s="2"/>
      <c r="AE34" s="30">
        <f t="shared" si="20"/>
        <v>50</v>
      </c>
      <c r="AF34" s="35">
        <f t="shared" si="16"/>
        <v>251386.63751665025</v>
      </c>
      <c r="AG34" s="34">
        <v>471601.09437889338</v>
      </c>
      <c r="AH34" s="38">
        <f t="shared" si="17"/>
        <v>24.880796568730279</v>
      </c>
    </row>
    <row r="35" spans="1:34" ht="15.75" customHeight="1" x14ac:dyDescent="0.25">
      <c r="A35" s="25" t="s">
        <v>63</v>
      </c>
      <c r="B35" s="6">
        <f>IF(B16=0,0,(B16/100)*$B$44)</f>
        <v>0</v>
      </c>
      <c r="C35" s="2" t="s">
        <v>3</v>
      </c>
      <c r="D35" s="2"/>
      <c r="E35" s="1" t="s">
        <v>98</v>
      </c>
      <c r="F35" s="2"/>
      <c r="G35" s="2"/>
      <c r="H35" s="2"/>
      <c r="I35" s="2" t="s">
        <v>184</v>
      </c>
      <c r="J35" s="32">
        <f>F22/B8</f>
        <v>0</v>
      </c>
      <c r="K35" s="2" t="s">
        <v>49</v>
      </c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1">
        <f t="shared" si="5"/>
        <v>0</v>
      </c>
      <c r="U35" s="18">
        <f t="shared" si="0"/>
        <v>0</v>
      </c>
      <c r="V35" s="3"/>
      <c r="W35" s="6">
        <f t="shared" si="6"/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25" t="s">
        <v>181</v>
      </c>
      <c r="B36" s="27">
        <f t="shared" ref="B36:B38" si="23">IF(B17=0,0,(B17/$B$8))</f>
        <v>8.0789946140035909</v>
      </c>
      <c r="C36" s="2" t="s">
        <v>3</v>
      </c>
      <c r="D36" s="2"/>
      <c r="E36" s="16" t="s">
        <v>175</v>
      </c>
      <c r="F36" s="27">
        <f>F13/$B$8</f>
        <v>0.73375224416517049</v>
      </c>
      <c r="G36" s="2" t="s">
        <v>126</v>
      </c>
      <c r="H36" s="2"/>
      <c r="I36" s="16" t="s">
        <v>48</v>
      </c>
      <c r="J36" s="20">
        <f>F19*F12/$B$8</f>
        <v>10400</v>
      </c>
      <c r="K36" s="2" t="s">
        <v>49</v>
      </c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1">
        <f t="shared" si="5"/>
        <v>0</v>
      </c>
      <c r="U36" s="18">
        <f t="shared" si="0"/>
        <v>0</v>
      </c>
      <c r="V36" s="3"/>
      <c r="W36" s="6">
        <f t="shared" si="6"/>
        <v>0</v>
      </c>
      <c r="X36" s="2"/>
      <c r="Y36" s="2"/>
      <c r="Z36" s="29" t="s">
        <v>48</v>
      </c>
      <c r="AA36" s="30"/>
      <c r="AB36" s="30"/>
      <c r="AC36" s="30"/>
      <c r="AD36" s="2"/>
      <c r="AE36" s="29" t="s">
        <v>99</v>
      </c>
      <c r="AF36" s="30"/>
      <c r="AG36" s="30"/>
      <c r="AH36" s="30"/>
    </row>
    <row r="37" spans="1:34" ht="15.75" customHeight="1" x14ac:dyDescent="0.25">
      <c r="A37" s="16" t="s">
        <v>183</v>
      </c>
      <c r="B37" s="27">
        <f t="shared" si="23"/>
        <v>0.17953321364452424</v>
      </c>
      <c r="C37" s="2" t="s">
        <v>3</v>
      </c>
      <c r="D37" s="2"/>
      <c r="E37" s="16" t="s">
        <v>176</v>
      </c>
      <c r="F37" s="50">
        <f>F36*J10</f>
        <v>0.35953859964093354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1">
        <f t="shared" si="5"/>
        <v>0</v>
      </c>
      <c r="U37" s="18">
        <f t="shared" si="0"/>
        <v>0</v>
      </c>
      <c r="V37" s="3"/>
      <c r="W37" s="6">
        <f t="shared" si="6"/>
        <v>0</v>
      </c>
      <c r="X37" s="2"/>
      <c r="Y37" s="2"/>
      <c r="Z37" s="30" t="s">
        <v>78</v>
      </c>
      <c r="AA37" s="30" t="s">
        <v>136</v>
      </c>
      <c r="AB37" s="30" t="s">
        <v>23</v>
      </c>
      <c r="AC37" s="30" t="s">
        <v>80</v>
      </c>
      <c r="AD37" s="2"/>
      <c r="AE37" s="30" t="s">
        <v>78</v>
      </c>
      <c r="AF37" s="30" t="s">
        <v>103</v>
      </c>
      <c r="AG37" s="30" t="s">
        <v>23</v>
      </c>
      <c r="AH37" s="30" t="s">
        <v>80</v>
      </c>
    </row>
    <row r="38" spans="1:34" ht="15.75" customHeight="1" x14ac:dyDescent="0.25">
      <c r="A38" s="2" t="s">
        <v>132</v>
      </c>
      <c r="B38" s="27">
        <f t="shared" si="23"/>
        <v>0.89766606822262118</v>
      </c>
      <c r="C38" s="2" t="s">
        <v>3</v>
      </c>
      <c r="D38" s="2"/>
      <c r="E38" s="16" t="s">
        <v>137</v>
      </c>
      <c r="F38" s="32">
        <f>F37*F12</f>
        <v>17976.929982046677</v>
      </c>
      <c r="G38" s="26" t="s">
        <v>49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1">
        <f t="shared" si="5"/>
        <v>0</v>
      </c>
      <c r="U38" s="18">
        <f t="shared" si="0"/>
        <v>0</v>
      </c>
      <c r="V38" s="3"/>
      <c r="W38" s="6">
        <f t="shared" si="6"/>
        <v>0</v>
      </c>
      <c r="X38" s="2"/>
      <c r="Y38" s="2"/>
      <c r="Z38" s="30" t="s">
        <v>134</v>
      </c>
      <c r="AA38" s="33">
        <v>10400</v>
      </c>
      <c r="AB38" s="34">
        <f>U49</f>
        <v>377641.00433115003</v>
      </c>
      <c r="AC38" s="30"/>
      <c r="AD38" s="2"/>
      <c r="AE38" s="30" t="s">
        <v>134</v>
      </c>
      <c r="AF38" s="35">
        <v>50000</v>
      </c>
      <c r="AG38" s="34">
        <f>U49</f>
        <v>377641.00433115003</v>
      </c>
      <c r="AH38" s="30"/>
    </row>
    <row r="39" spans="1:3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1">
        <f t="shared" si="5"/>
        <v>0</v>
      </c>
      <c r="U39" s="18">
        <f t="shared" si="0"/>
        <v>0</v>
      </c>
      <c r="V39" s="3"/>
      <c r="W39" s="6">
        <f t="shared" si="6"/>
        <v>0</v>
      </c>
      <c r="X39" s="2"/>
      <c r="Y39" s="2"/>
      <c r="Z39" s="30">
        <f t="shared" ref="Z39:Z43" si="24">Z40-10</f>
        <v>-50</v>
      </c>
      <c r="AA39" s="33">
        <f t="shared" ref="AA39:AA49" si="25">$AA$38*(1+(Z39/100))</f>
        <v>5200</v>
      </c>
      <c r="AB39" s="34">
        <f t="dataTable" ref="AB39:AB49" dt2D="0" dtr="0" r1="J36" ca="1"/>
        <v>337487.98269938893</v>
      </c>
      <c r="AC39" s="38">
        <f t="shared" ref="AC39:AC49" si="26">100*((AB39-$AB$29)/$AB$29)</f>
        <v>-10.632590521486717</v>
      </c>
      <c r="AD39" s="2"/>
      <c r="AE39" s="30">
        <f t="shared" ref="AE39:AE43" si="27">AE40-10</f>
        <v>-50</v>
      </c>
      <c r="AF39" s="35">
        <f t="shared" ref="AF39:AF49" si="28">$AF$38*(1+(AE39/100))</f>
        <v>25000</v>
      </c>
      <c r="AG39" s="34">
        <f t="dataTable" ref="AG39:AG49" dt2D="0" dtr="0" r1="F12" ca="1"/>
        <v>265162.78518784791</v>
      </c>
      <c r="AH39" s="38">
        <f t="shared" ref="AH39:AH49" si="29">100*((AG39-$AG$44)/$AG$44)</f>
        <v>-29.784429617889419</v>
      </c>
    </row>
    <row r="40" spans="1:3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1">
        <f t="shared" si="5"/>
        <v>0</v>
      </c>
      <c r="U40" s="18">
        <f t="shared" si="0"/>
        <v>0</v>
      </c>
      <c r="V40" s="3"/>
      <c r="W40" s="6">
        <f t="shared" si="6"/>
        <v>0</v>
      </c>
      <c r="X40" s="2"/>
      <c r="Y40" s="2"/>
      <c r="Z40" s="30">
        <f t="shared" si="24"/>
        <v>-40</v>
      </c>
      <c r="AA40" s="33">
        <f t="shared" si="25"/>
        <v>6240</v>
      </c>
      <c r="AB40" s="34">
        <v>345518.58702574123</v>
      </c>
      <c r="AC40" s="38">
        <f t="shared" si="26"/>
        <v>-8.5060724171893529</v>
      </c>
      <c r="AD40" s="2"/>
      <c r="AE40" s="30">
        <f t="shared" si="27"/>
        <v>-40</v>
      </c>
      <c r="AF40" s="35">
        <f t="shared" si="28"/>
        <v>30000</v>
      </c>
      <c r="AG40" s="34">
        <v>287658.42901650845</v>
      </c>
      <c r="AH40" s="38">
        <f t="shared" si="29"/>
        <v>-23.827543694311508</v>
      </c>
    </row>
    <row r="41" spans="1:34" ht="15.75" customHeight="1" x14ac:dyDescent="0.25">
      <c r="A41" s="2"/>
      <c r="B41" s="2"/>
      <c r="C41" s="2"/>
      <c r="D41" s="2"/>
      <c r="E41" s="16" t="s">
        <v>96</v>
      </c>
      <c r="F41" s="6">
        <f>F12*B5</f>
        <v>500000</v>
      </c>
      <c r="G41" s="2" t="s">
        <v>97</v>
      </c>
      <c r="H41" s="2"/>
      <c r="I41" s="2"/>
      <c r="J41" s="2"/>
      <c r="K41" s="2"/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1">
        <f t="shared" si="5"/>
        <v>0</v>
      </c>
      <c r="U41" s="18">
        <f t="shared" si="0"/>
        <v>0</v>
      </c>
      <c r="V41" s="3"/>
      <c r="W41" s="6">
        <f t="shared" si="6"/>
        <v>0</v>
      </c>
      <c r="X41" s="2"/>
      <c r="Y41" s="2"/>
      <c r="Z41" s="30">
        <f t="shared" si="24"/>
        <v>-30</v>
      </c>
      <c r="AA41" s="33">
        <f t="shared" si="25"/>
        <v>7279.9999999999991</v>
      </c>
      <c r="AB41" s="34">
        <v>353549.19135209353</v>
      </c>
      <c r="AC41" s="38">
        <f t="shared" si="26"/>
        <v>-6.3795543128919867</v>
      </c>
      <c r="AD41" s="2"/>
      <c r="AE41" s="30">
        <f t="shared" si="27"/>
        <v>-30</v>
      </c>
      <c r="AF41" s="35">
        <f t="shared" si="28"/>
        <v>35000</v>
      </c>
      <c r="AG41" s="34">
        <v>310154.07284516876</v>
      </c>
      <c r="AH41" s="38">
        <f t="shared" si="29"/>
        <v>-17.870657770733654</v>
      </c>
    </row>
    <row r="42" spans="1:34" ht="15.75" customHeight="1" x14ac:dyDescent="0.25">
      <c r="A42" s="23" t="s">
        <v>108</v>
      </c>
      <c r="B42" s="3"/>
      <c r="C42" s="1"/>
      <c r="D42" s="2"/>
      <c r="E42" s="16"/>
      <c r="F42" s="27"/>
      <c r="G42" s="2"/>
      <c r="H42" s="2"/>
      <c r="I42" s="1" t="s">
        <v>138</v>
      </c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1">
        <f t="shared" si="5"/>
        <v>0</v>
      </c>
      <c r="U42" s="18">
        <f t="shared" si="0"/>
        <v>0</v>
      </c>
      <c r="V42" s="3"/>
      <c r="W42" s="6">
        <f t="shared" si="6"/>
        <v>0</v>
      </c>
      <c r="X42" s="2"/>
      <c r="Y42" s="2"/>
      <c r="Z42" s="30">
        <f t="shared" si="24"/>
        <v>-20</v>
      </c>
      <c r="AA42" s="33">
        <f t="shared" si="25"/>
        <v>8320</v>
      </c>
      <c r="AB42" s="34">
        <v>361579.7956784456</v>
      </c>
      <c r="AC42" s="38">
        <f t="shared" si="26"/>
        <v>-4.2530362085946845</v>
      </c>
      <c r="AD42" s="2"/>
      <c r="AE42" s="30">
        <f t="shared" si="27"/>
        <v>-20</v>
      </c>
      <c r="AF42" s="35">
        <f t="shared" si="28"/>
        <v>40000</v>
      </c>
      <c r="AG42" s="34">
        <v>332649.71667382913</v>
      </c>
      <c r="AH42" s="38">
        <f t="shared" si="29"/>
        <v>-11.913771847155784</v>
      </c>
    </row>
    <row r="43" spans="1:34" ht="15.75" customHeight="1" x14ac:dyDescent="0.25">
      <c r="A43" s="16" t="s">
        <v>199</v>
      </c>
      <c r="B43" s="6">
        <f>J8/B8</f>
        <v>101935.48387096774</v>
      </c>
      <c r="C43" s="2" t="s">
        <v>3</v>
      </c>
      <c r="D43" s="2"/>
      <c r="E43" s="2"/>
      <c r="F43" s="2"/>
      <c r="G43" s="2"/>
      <c r="H43" s="2"/>
      <c r="I43" s="16" t="s">
        <v>111</v>
      </c>
      <c r="J43" s="20">
        <f>F17*J9/B8</f>
        <v>101.25673249551167</v>
      </c>
      <c r="K43" s="2" t="s">
        <v>49</v>
      </c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1">
        <f t="shared" si="5"/>
        <v>0</v>
      </c>
      <c r="U43" s="18">
        <f t="shared" si="0"/>
        <v>0</v>
      </c>
      <c r="V43" s="3"/>
      <c r="W43" s="6">
        <f t="shared" si="6"/>
        <v>0</v>
      </c>
      <c r="X43" s="2"/>
      <c r="Y43" s="2"/>
      <c r="Z43" s="30">
        <f t="shared" si="24"/>
        <v>-10</v>
      </c>
      <c r="AA43" s="33">
        <f t="shared" si="25"/>
        <v>9360</v>
      </c>
      <c r="AB43" s="34">
        <v>369610.40000479779</v>
      </c>
      <c r="AC43" s="38">
        <f t="shared" si="26"/>
        <v>-2.1265181042973498</v>
      </c>
      <c r="AD43" s="2"/>
      <c r="AE43" s="30">
        <f t="shared" si="27"/>
        <v>-10</v>
      </c>
      <c r="AF43" s="35">
        <f t="shared" si="28"/>
        <v>45000</v>
      </c>
      <c r="AG43" s="34">
        <v>355145.36050248961</v>
      </c>
      <c r="AH43" s="38">
        <f t="shared" si="29"/>
        <v>-5.9568859235778842</v>
      </c>
    </row>
    <row r="44" spans="1:34" ht="15.75" customHeight="1" x14ac:dyDescent="0.25">
      <c r="A44" s="2" t="s">
        <v>114</v>
      </c>
      <c r="B44" s="24">
        <f>(1+B15/100)*B43</f>
        <v>122322.58064516129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1">
        <f t="shared" si="5"/>
        <v>0</v>
      </c>
      <c r="U44" s="18">
        <f t="shared" si="0"/>
        <v>0</v>
      </c>
      <c r="V44" s="3"/>
      <c r="W44" s="6">
        <f t="shared" si="6"/>
        <v>0</v>
      </c>
      <c r="X44" s="2"/>
      <c r="Y44" s="2"/>
      <c r="Z44" s="43">
        <v>0</v>
      </c>
      <c r="AA44" s="44">
        <f t="shared" si="25"/>
        <v>10400</v>
      </c>
      <c r="AB44" s="45">
        <v>377641.00433115003</v>
      </c>
      <c r="AC44" s="46">
        <f t="shared" si="26"/>
        <v>0</v>
      </c>
      <c r="AD44" s="2"/>
      <c r="AE44" s="43">
        <v>0</v>
      </c>
      <c r="AF44" s="47">
        <f t="shared" si="28"/>
        <v>50000</v>
      </c>
      <c r="AG44" s="45">
        <v>377641.00433115003</v>
      </c>
      <c r="AH44" s="46">
        <f t="shared" si="29"/>
        <v>0</v>
      </c>
    </row>
    <row r="45" spans="1:34" ht="15.75" customHeight="1" x14ac:dyDescent="0.25">
      <c r="A45" s="25" t="s">
        <v>139</v>
      </c>
      <c r="B45" s="6">
        <f>SUM(B33:B38)+B44</f>
        <v>167591.09167776685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1">
        <f t="shared" si="5"/>
        <v>0</v>
      </c>
      <c r="U45" s="18">
        <f t="shared" si="0"/>
        <v>0</v>
      </c>
      <c r="V45" s="3"/>
      <c r="W45" s="6">
        <f t="shared" si="6"/>
        <v>0</v>
      </c>
      <c r="X45" s="2"/>
      <c r="Y45" s="2"/>
      <c r="Z45" s="30">
        <f t="shared" ref="Z45:Z49" si="30">Z44+10</f>
        <v>10</v>
      </c>
      <c r="AA45" s="33">
        <f t="shared" si="25"/>
        <v>11440.000000000002</v>
      </c>
      <c r="AB45" s="34">
        <v>385671.60865750234</v>
      </c>
      <c r="AC45" s="38">
        <f t="shared" si="26"/>
        <v>2.1265181042973653</v>
      </c>
      <c r="AD45" s="2"/>
      <c r="AE45" s="30">
        <f t="shared" ref="AE45:AE49" si="31">AE44+10</f>
        <v>10</v>
      </c>
      <c r="AF45" s="35">
        <f t="shared" si="28"/>
        <v>55000.000000000007</v>
      </c>
      <c r="AG45" s="34">
        <v>400136.64815981046</v>
      </c>
      <c r="AH45" s="38">
        <f t="shared" si="29"/>
        <v>5.9568859235778842</v>
      </c>
    </row>
    <row r="46" spans="1:34" ht="15.75" customHeight="1" x14ac:dyDescent="0.25">
      <c r="A46" s="25" t="s">
        <v>173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1">
        <f t="shared" si="5"/>
        <v>0</v>
      </c>
      <c r="U46" s="18">
        <f t="shared" si="0"/>
        <v>0</v>
      </c>
      <c r="V46" s="3"/>
      <c r="W46" s="6">
        <f t="shared" si="6"/>
        <v>0</v>
      </c>
      <c r="X46" s="2"/>
      <c r="Y46" s="2"/>
      <c r="Z46" s="30">
        <f t="shared" si="30"/>
        <v>20</v>
      </c>
      <c r="AA46" s="33">
        <f t="shared" si="25"/>
        <v>12480</v>
      </c>
      <c r="AB46" s="34">
        <v>393702.21298385441</v>
      </c>
      <c r="AC46" s="38">
        <f t="shared" si="26"/>
        <v>4.2530362085946694</v>
      </c>
      <c r="AD46" s="2"/>
      <c r="AE46" s="30">
        <f t="shared" si="31"/>
        <v>20</v>
      </c>
      <c r="AF46" s="35">
        <f t="shared" si="28"/>
        <v>60000</v>
      </c>
      <c r="AG46" s="34">
        <v>422632.29198847082</v>
      </c>
      <c r="AH46" s="38">
        <f t="shared" si="29"/>
        <v>11.913771847155754</v>
      </c>
    </row>
    <row r="47" spans="1:34" ht="15.75" customHeight="1" x14ac:dyDescent="0.25">
      <c r="A47" s="25" t="s">
        <v>174</v>
      </c>
      <c r="B47" s="6">
        <f>SUM(B45:B46)</f>
        <v>167591.09167776685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1">
        <f t="shared" si="5"/>
        <v>0</v>
      </c>
      <c r="U47" s="18">
        <f t="shared" si="0"/>
        <v>0</v>
      </c>
      <c r="V47" s="3"/>
      <c r="W47" s="6">
        <f t="shared" si="6"/>
        <v>0</v>
      </c>
      <c r="X47" s="2"/>
      <c r="Y47" s="2"/>
      <c r="Z47" s="30">
        <f t="shared" si="30"/>
        <v>30</v>
      </c>
      <c r="AA47" s="33">
        <f t="shared" si="25"/>
        <v>13520</v>
      </c>
      <c r="AB47" s="34">
        <v>401732.81731020659</v>
      </c>
      <c r="AC47" s="38">
        <f t="shared" si="26"/>
        <v>6.3795543128920036</v>
      </c>
      <c r="AD47" s="2"/>
      <c r="AE47" s="30">
        <f t="shared" si="31"/>
        <v>30</v>
      </c>
      <c r="AF47" s="35">
        <f t="shared" si="28"/>
        <v>65000</v>
      </c>
      <c r="AG47" s="34">
        <v>445127.93581713119</v>
      </c>
      <c r="AH47" s="38">
        <f t="shared" si="29"/>
        <v>17.870657770733622</v>
      </c>
    </row>
    <row r="48" spans="1:3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1">
        <f t="shared" si="5"/>
        <v>0</v>
      </c>
      <c r="U48" s="18">
        <f t="shared" si="0"/>
        <v>0</v>
      </c>
      <c r="V48" s="3"/>
      <c r="W48" s="6">
        <f t="shared" si="6"/>
        <v>0</v>
      </c>
      <c r="X48" s="2"/>
      <c r="Y48" s="2"/>
      <c r="Z48" s="30">
        <f t="shared" si="30"/>
        <v>40</v>
      </c>
      <c r="AA48" s="33">
        <f t="shared" si="25"/>
        <v>14559.999999999998</v>
      </c>
      <c r="AB48" s="34">
        <v>409763.42163655884</v>
      </c>
      <c r="AC48" s="38">
        <f t="shared" si="26"/>
        <v>8.5060724171893529</v>
      </c>
      <c r="AD48" s="2"/>
      <c r="AE48" s="30">
        <f t="shared" si="31"/>
        <v>40</v>
      </c>
      <c r="AF48" s="35">
        <f t="shared" si="28"/>
        <v>70000</v>
      </c>
      <c r="AG48" s="34">
        <v>467623.57964579173</v>
      </c>
      <c r="AH48" s="38">
        <f t="shared" si="29"/>
        <v>23.827543694311537</v>
      </c>
    </row>
    <row r="49" spans="1:34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115</v>
      </c>
      <c r="O49" s="18">
        <f t="shared" ref="O49:U49" si="32">SUM(O8:O48)</f>
        <v>50277.327503330052</v>
      </c>
      <c r="P49" s="18">
        <f t="shared" si="32"/>
        <v>137642.85259215673</v>
      </c>
      <c r="Q49" s="18">
        <f t="shared" si="32"/>
        <v>144650.39502308209</v>
      </c>
      <c r="R49" s="18">
        <f t="shared" si="32"/>
        <v>80321.985804219643</v>
      </c>
      <c r="S49" s="18">
        <f t="shared" si="32"/>
        <v>781.87764812571527</v>
      </c>
      <c r="T49" s="18">
        <f t="shared" si="32"/>
        <v>-36033.434239764232</v>
      </c>
      <c r="U49" s="18">
        <f t="shared" si="32"/>
        <v>377641.00433115003</v>
      </c>
      <c r="V49" s="3"/>
      <c r="W49" s="3"/>
      <c r="X49" s="2"/>
      <c r="Y49" s="2"/>
      <c r="Z49" s="30">
        <f t="shared" si="30"/>
        <v>50</v>
      </c>
      <c r="AA49" s="33">
        <f t="shared" si="25"/>
        <v>15600</v>
      </c>
      <c r="AB49" s="34">
        <v>417794.02596291102</v>
      </c>
      <c r="AC49" s="38">
        <f t="shared" si="26"/>
        <v>10.632590521486687</v>
      </c>
      <c r="AD49" s="2"/>
      <c r="AE49" s="30">
        <f t="shared" si="31"/>
        <v>50</v>
      </c>
      <c r="AF49" s="35">
        <f t="shared" si="28"/>
        <v>75000</v>
      </c>
      <c r="AG49" s="34">
        <v>490119.22347445216</v>
      </c>
      <c r="AH49" s="38">
        <f t="shared" si="29"/>
        <v>29.784429617889419</v>
      </c>
    </row>
    <row r="50" spans="1:34" ht="15.75" customHeight="1" x14ac:dyDescent="0.25">
      <c r="A50" s="2"/>
      <c r="B50" s="32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SUM(R49:S49)</f>
        <v>81103.863452345351</v>
      </c>
      <c r="S50" s="2"/>
      <c r="T50" s="2"/>
      <c r="U50" s="2"/>
      <c r="V50" s="2"/>
      <c r="W50" s="2"/>
      <c r="X50" s="24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9" t="s">
        <v>198</v>
      </c>
      <c r="AA51" s="30"/>
      <c r="AB51" s="30"/>
      <c r="AC51" s="30"/>
      <c r="AD51" s="2"/>
      <c r="AE51" s="2"/>
      <c r="AF51" s="2"/>
      <c r="AG51" s="2"/>
      <c r="AH51" s="2"/>
    </row>
    <row r="52" spans="1:34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0" t="s">
        <v>78</v>
      </c>
      <c r="AA52" s="30" t="s">
        <v>198</v>
      </c>
      <c r="AB52" s="30" t="s">
        <v>23</v>
      </c>
      <c r="AC52" s="30" t="s">
        <v>80</v>
      </c>
      <c r="AD52" s="2"/>
      <c r="AE52" s="2"/>
      <c r="AF52" s="2"/>
      <c r="AG52" s="2"/>
      <c r="AH52" s="2"/>
    </row>
    <row r="53" spans="1:34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32"/>
      <c r="Y53" s="2"/>
      <c r="Z53" s="30" t="s">
        <v>134</v>
      </c>
      <c r="AA53" s="33">
        <v>0.49</v>
      </c>
      <c r="AB53" s="34">
        <f>U49</f>
        <v>377641.00433115003</v>
      </c>
      <c r="AC53" s="30"/>
      <c r="AD53" s="2"/>
      <c r="AE53" s="2"/>
      <c r="AF53" s="2"/>
      <c r="AG53" s="2"/>
      <c r="AH53" s="2"/>
    </row>
    <row r="54" spans="1:3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4"/>
      <c r="O54" s="55" t="s">
        <v>118</v>
      </c>
      <c r="P54" s="56" t="str">
        <f>B1</f>
        <v>Philippines</v>
      </c>
      <c r="Q54" s="54"/>
      <c r="R54" s="54"/>
      <c r="S54" s="54"/>
      <c r="T54" s="54"/>
      <c r="U54" s="2"/>
      <c r="V54" s="2"/>
      <c r="W54" s="2"/>
      <c r="X54" s="32"/>
      <c r="Y54" s="2"/>
      <c r="Z54" s="30">
        <f t="shared" ref="Z54:Z58" si="33">Z55-10</f>
        <v>-50</v>
      </c>
      <c r="AA54" s="33">
        <f>$AA$53*(1+(-Z54/100))</f>
        <v>0.73499999999999999</v>
      </c>
      <c r="AB54" s="34">
        <f t="dataTable" ref="AB54:AB64" dt2D="0" dtr="0" r1="J10"/>
        <v>449966.20184269111</v>
      </c>
      <c r="AC54" s="38">
        <f>100*((AB54-$AB$59)/$AB$59)</f>
        <v>19.151839096402718</v>
      </c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24">
        <f>SUM(O49:P49)</f>
        <v>187920.18009548678</v>
      </c>
      <c r="Q55" s="2" t="s">
        <v>3</v>
      </c>
      <c r="R55" s="50">
        <f t="shared" ref="R55:R58" si="34">P55/$F$41</f>
        <v>0.37584036019097355</v>
      </c>
      <c r="S55" s="2" t="s">
        <v>4</v>
      </c>
      <c r="T55" s="2"/>
      <c r="U55" s="2"/>
      <c r="V55" s="2"/>
      <c r="W55" s="2"/>
      <c r="X55" s="32"/>
      <c r="Y55" s="2"/>
      <c r="Z55" s="30">
        <f t="shared" si="33"/>
        <v>-40</v>
      </c>
      <c r="AA55" s="33">
        <f t="shared" ref="AA55:AA64" si="35">$AA$53*(1+(-Z55/100))</f>
        <v>0.68599999999999994</v>
      </c>
      <c r="AB55" s="34">
        <v>435501.16234038281</v>
      </c>
      <c r="AC55" s="38">
        <f t="shared" ref="AC55:AC64" si="36">100*((AB55-$AB$59)/$AB$59)</f>
        <v>15.321471277122154</v>
      </c>
      <c r="AD55" s="2"/>
      <c r="AE55" s="2"/>
      <c r="AF55" s="2"/>
      <c r="AG55" s="2"/>
      <c r="AH55" s="2"/>
    </row>
    <row r="56" spans="1:3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98</v>
      </c>
      <c r="P56" s="24">
        <f>SUM(Q49)</f>
        <v>144650.39502308209</v>
      </c>
      <c r="Q56" s="2" t="s">
        <v>3</v>
      </c>
      <c r="R56" s="50">
        <f t="shared" si="34"/>
        <v>0.28930079004616416</v>
      </c>
      <c r="S56" s="2" t="s">
        <v>4</v>
      </c>
      <c r="T56" s="2"/>
      <c r="U56" s="2"/>
      <c r="V56" s="2"/>
      <c r="W56" s="2"/>
      <c r="X56" s="32"/>
      <c r="Y56" s="2"/>
      <c r="Z56" s="30">
        <f t="shared" si="33"/>
        <v>-30</v>
      </c>
      <c r="AA56" s="33">
        <f t="shared" si="35"/>
        <v>0.63700000000000001</v>
      </c>
      <c r="AB56" s="34">
        <v>421036.12283807475</v>
      </c>
      <c r="AC56" s="38">
        <f t="shared" si="36"/>
        <v>11.49110345784165</v>
      </c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120</v>
      </c>
      <c r="P57" s="24">
        <f>SUM(R49:S49)</f>
        <v>81103.863452345351</v>
      </c>
      <c r="Q57" s="2" t="s">
        <v>3</v>
      </c>
      <c r="R57" s="50">
        <f t="shared" si="34"/>
        <v>0.16220772690469071</v>
      </c>
      <c r="S57" s="2" t="s">
        <v>4</v>
      </c>
      <c r="T57" s="2"/>
      <c r="U57" s="2"/>
      <c r="V57" s="2"/>
      <c r="W57" s="2"/>
      <c r="X57" s="32"/>
      <c r="Y57" s="2"/>
      <c r="Z57" s="30">
        <f t="shared" si="33"/>
        <v>-20</v>
      </c>
      <c r="AA57" s="33">
        <f t="shared" si="35"/>
        <v>0.58799999999999997</v>
      </c>
      <c r="AB57" s="34">
        <v>406571.08333576645</v>
      </c>
      <c r="AC57" s="38">
        <f t="shared" si="36"/>
        <v>7.6607356385610839</v>
      </c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122</v>
      </c>
      <c r="P58" s="24">
        <f>T49</f>
        <v>-36033.434239764232</v>
      </c>
      <c r="Q58" s="2" t="s">
        <v>3</v>
      </c>
      <c r="R58" s="50">
        <f t="shared" si="34"/>
        <v>-7.2066868479528465E-2</v>
      </c>
      <c r="S58" s="2" t="s">
        <v>4</v>
      </c>
      <c r="T58" s="2"/>
      <c r="U58" s="2"/>
      <c r="V58" s="2"/>
      <c r="W58" s="2"/>
      <c r="X58" s="32"/>
      <c r="Y58" s="2"/>
      <c r="Z58" s="30">
        <f t="shared" si="33"/>
        <v>-10</v>
      </c>
      <c r="AA58" s="33">
        <f t="shared" si="35"/>
        <v>0.53900000000000003</v>
      </c>
      <c r="AB58" s="34">
        <v>392106.04383345827</v>
      </c>
      <c r="AC58" s="38">
        <f t="shared" si="36"/>
        <v>3.8303678192805499</v>
      </c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2"/>
      <c r="Y59" s="2"/>
      <c r="Z59" s="43">
        <v>0</v>
      </c>
      <c r="AA59" s="90">
        <f t="shared" si="35"/>
        <v>0.49</v>
      </c>
      <c r="AB59" s="45">
        <v>377641.00433115003</v>
      </c>
      <c r="AC59" s="73">
        <f t="shared" si="36"/>
        <v>0</v>
      </c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377641.00433114998</v>
      </c>
      <c r="Q60" s="1" t="s">
        <v>3</v>
      </c>
      <c r="R60" s="51">
        <f>SUM(R55:R58)</f>
        <v>0.7552820086623</v>
      </c>
      <c r="S60" s="1" t="s">
        <v>4</v>
      </c>
      <c r="T60" s="2"/>
      <c r="U60" s="2"/>
      <c r="V60" s="2"/>
      <c r="W60" s="2"/>
      <c r="X60" s="32"/>
      <c r="Y60" s="2"/>
      <c r="Z60" s="30">
        <f t="shared" ref="Z60:Z64" si="37">Z59+10</f>
        <v>10</v>
      </c>
      <c r="AA60" s="33">
        <f t="shared" si="35"/>
        <v>0.441</v>
      </c>
      <c r="AB60" s="34">
        <v>363175.96482884185</v>
      </c>
      <c r="AC60" s="38">
        <f t="shared" si="36"/>
        <v>-3.8303678192805344</v>
      </c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2"/>
      <c r="Y61" s="2"/>
      <c r="Z61" s="30">
        <f t="shared" si="37"/>
        <v>20</v>
      </c>
      <c r="AA61" s="33">
        <f t="shared" si="35"/>
        <v>0.39200000000000002</v>
      </c>
      <c r="AB61" s="34">
        <v>348710.92532653356</v>
      </c>
      <c r="AC61" s="38">
        <f t="shared" si="36"/>
        <v>-7.6607356385610998</v>
      </c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2"/>
      <c r="Y62" s="2"/>
      <c r="Z62" s="30">
        <f t="shared" si="37"/>
        <v>30</v>
      </c>
      <c r="AA62" s="33">
        <f t="shared" si="35"/>
        <v>0.34299999999999997</v>
      </c>
      <c r="AB62" s="34">
        <v>334245.88582422544</v>
      </c>
      <c r="AC62" s="38">
        <f t="shared" si="36"/>
        <v>-11.491103457841618</v>
      </c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2"/>
      <c r="Y63" s="2"/>
      <c r="Z63" s="30">
        <f t="shared" si="37"/>
        <v>40</v>
      </c>
      <c r="AA63" s="33">
        <f t="shared" si="35"/>
        <v>0.29399999999999998</v>
      </c>
      <c r="AB63" s="34">
        <v>319780.8463219172</v>
      </c>
      <c r="AC63" s="38">
        <f t="shared" si="36"/>
        <v>-15.321471277122168</v>
      </c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2"/>
      <c r="Y64" s="2"/>
      <c r="Z64" s="30">
        <f t="shared" si="37"/>
        <v>50</v>
      </c>
      <c r="AA64" s="33">
        <f t="shared" si="35"/>
        <v>0.245</v>
      </c>
      <c r="AB64" s="34">
        <v>305315.80681960902</v>
      </c>
      <c r="AC64" s="38">
        <f t="shared" si="36"/>
        <v>-19.151839096402703</v>
      </c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Y1000"/>
  <sheetViews>
    <sheetView topLeftCell="F6" zoomScale="98" zoomScaleNormal="55" workbookViewId="0">
      <selection activeCell="J10" sqref="J10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7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5703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5703125" customWidth="1"/>
    <col min="40" max="40" width="9.7109375" customWidth="1"/>
    <col min="41" max="41" width="15.5703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2</v>
      </c>
      <c r="B2" s="3">
        <f>X49</f>
        <v>139617.92812597612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4">
        <f>B2/J34</f>
        <v>0.27923585625195224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2" t="s">
        <v>23</v>
      </c>
      <c r="Y7" s="1"/>
      <c r="Z7" s="2" t="s">
        <v>24</v>
      </c>
      <c r="AA7" s="2"/>
      <c r="AB7" s="2" t="s">
        <v>25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3" t="s">
        <v>26</v>
      </c>
      <c r="B8" s="14">
        <v>55.7</v>
      </c>
      <c r="C8" s="2" t="s">
        <v>27</v>
      </c>
      <c r="D8" s="2"/>
      <c r="E8" s="2"/>
      <c r="F8" s="2"/>
      <c r="G8" s="2"/>
      <c r="H8" s="15"/>
      <c r="I8" s="16" t="s">
        <v>199</v>
      </c>
      <c r="J8" s="6">
        <v>2371741.935483871</v>
      </c>
      <c r="K8" s="2" t="s">
        <v>29</v>
      </c>
      <c r="L8" s="15"/>
      <c r="M8" s="2"/>
      <c r="N8" s="11">
        <v>0</v>
      </c>
      <c r="O8" s="17">
        <f>F31</f>
        <v>25198.187051717145</v>
      </c>
      <c r="P8" s="11"/>
      <c r="Q8" s="11"/>
      <c r="R8" s="11"/>
      <c r="S8" s="11"/>
      <c r="T8" s="11"/>
      <c r="U8" s="11"/>
      <c r="V8" s="11"/>
      <c r="W8" s="11"/>
      <c r="X8" s="18">
        <f t="shared" ref="X8:X48" si="0">SUM(O8:W8)</f>
        <v>25198.187051717145</v>
      </c>
      <c r="Y8" s="3"/>
      <c r="Z8" s="6"/>
      <c r="AA8" s="2"/>
      <c r="AB8" s="2" t="s">
        <v>30</v>
      </c>
      <c r="AC8" s="19">
        <f>F36</f>
        <v>0.26175942549371634</v>
      </c>
      <c r="AD8" s="2" t="s">
        <v>31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3"/>
      <c r="B9" s="2"/>
      <c r="C9" s="2"/>
      <c r="D9" s="2"/>
      <c r="E9" s="2"/>
      <c r="F9" s="20"/>
      <c r="G9" s="2"/>
      <c r="H9" s="15"/>
      <c r="I9" s="16" t="s">
        <v>32</v>
      </c>
      <c r="J9" s="6">
        <v>7490</v>
      </c>
      <c r="K9" s="2" t="s">
        <v>33</v>
      </c>
      <c r="L9" s="15"/>
      <c r="M9" s="2"/>
      <c r="N9" s="11">
        <v>1</v>
      </c>
      <c r="O9" s="11"/>
      <c r="P9" s="21">
        <f t="shared" ref="P9:P48" si="1">IF(N9&gt;0,IF(N9&lt;=$J$21,(($F$32+$F$33)/$J$21)/((1+($F$11/100))^N9),0),0)</f>
        <v>15174.908202256325</v>
      </c>
      <c r="Q9" s="22">
        <f t="shared" ref="Q9:Q48" si="2">IF(N9&gt;0,($F$41*((1+($F$14/100))^(N9-1)))/((1+($F$11/100))^N9),0)</f>
        <v>2368.2995639907667</v>
      </c>
      <c r="R9" s="22">
        <f t="shared" ref="R9:R48" si="3">IF(N9&gt;0,$F$40/((1+($F$11/100))^N9),0)</f>
        <v>0</v>
      </c>
      <c r="S9" s="22">
        <f t="shared" ref="S9:S48" si="4">IF(N9&gt;0,$J$37/((1+($F$11/100))^N9),0)</f>
        <v>2859.1091732922969</v>
      </c>
      <c r="T9" s="22">
        <f t="shared" ref="T9:T48" si="5">IF(N9&gt;0,($J$46)/((1+($F$11/100))^N9),0)</f>
        <v>9.2208258527827631</v>
      </c>
      <c r="U9" s="22">
        <f t="shared" ref="U9:U48" si="6">IF(AND(MOD(N9,$J$31)=0,N9&gt;0),$B$46/((1+($F$11/100))^N9),0)</f>
        <v>0</v>
      </c>
      <c r="V9" s="22">
        <f t="shared" ref="V9:V48" si="7">IF(N9&gt;0,$J$32/((1+($F$11/100))^N9),0)</f>
        <v>0</v>
      </c>
      <c r="W9" s="21">
        <f t="shared" ref="W9:W18" si="8">IF(N9=$B$5,((((1-$J$16/100)^N9)*$B$47+((1-$J$17/100)^N9)*$B$48)/((1+($F$11/100))^N9))*-1,0)</f>
        <v>0</v>
      </c>
      <c r="X9" s="18">
        <f t="shared" si="0"/>
        <v>20411.537765392171</v>
      </c>
      <c r="Y9" s="3"/>
      <c r="Z9" s="6">
        <f t="shared" ref="Z9:Z48" si="9">IF(N9&gt;0,((((1-$J$16/100)^N9)*$B$47+((1-$J$17/100)^N9)*$B$48)/((1+($F$11/100))^N9)),0)</f>
        <v>53869.011981566808</v>
      </c>
      <c r="AA9" s="2"/>
      <c r="AB9" s="2" t="s">
        <v>34</v>
      </c>
      <c r="AC9" s="5">
        <f>B48</f>
        <v>10206</v>
      </c>
      <c r="AD9" s="2" t="s">
        <v>3</v>
      </c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105</v>
      </c>
      <c r="K10" s="2" t="s">
        <v>31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14452.293525958405</v>
      </c>
      <c r="Q10" s="22">
        <f t="shared" si="2"/>
        <v>2278.0786282196896</v>
      </c>
      <c r="R10" s="22">
        <f t="shared" si="3"/>
        <v>0</v>
      </c>
      <c r="S10" s="22">
        <f t="shared" si="4"/>
        <v>2722.961117421235</v>
      </c>
      <c r="T10" s="22">
        <f t="shared" si="5"/>
        <v>8.7817389074121568</v>
      </c>
      <c r="U10" s="22">
        <f t="shared" si="6"/>
        <v>0</v>
      </c>
      <c r="V10" s="22">
        <f t="shared" si="7"/>
        <v>0</v>
      </c>
      <c r="W10" s="21">
        <f t="shared" si="8"/>
        <v>0</v>
      </c>
      <c r="X10" s="18">
        <f t="shared" si="0"/>
        <v>19462.115010506743</v>
      </c>
      <c r="Y10" s="3"/>
      <c r="Z10" s="6">
        <f t="shared" si="9"/>
        <v>47348.547212639889</v>
      </c>
      <c r="AA10" s="2"/>
      <c r="AB10" s="2" t="s">
        <v>174</v>
      </c>
      <c r="AC10" s="24">
        <f>B52</f>
        <v>83993.956839057151</v>
      </c>
      <c r="AD10" s="2" t="s">
        <v>3</v>
      </c>
      <c r="AE10" s="2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25" t="s">
        <v>172</v>
      </c>
      <c r="B11" s="26">
        <v>0</v>
      </c>
      <c r="C11" s="2" t="s">
        <v>38</v>
      </c>
      <c r="D11" s="2"/>
      <c r="E11" s="16" t="s">
        <v>39</v>
      </c>
      <c r="F11" s="2">
        <v>5</v>
      </c>
      <c r="G11" s="2" t="s">
        <v>38</v>
      </c>
      <c r="H11" s="15"/>
      <c r="I11" s="16" t="s">
        <v>40</v>
      </c>
      <c r="J11" s="6">
        <v>81</v>
      </c>
      <c r="K11" s="2" t="s">
        <v>41</v>
      </c>
      <c r="L11" s="15"/>
      <c r="M11" s="2"/>
      <c r="N11" s="11">
        <f t="shared" si="10"/>
        <v>3</v>
      </c>
      <c r="O11" s="11"/>
      <c r="P11" s="21">
        <f t="shared" si="1"/>
        <v>13764.089072341338</v>
      </c>
      <c r="Q11" s="22">
        <f t="shared" si="2"/>
        <v>2191.2946804779872</v>
      </c>
      <c r="R11" s="22">
        <f t="shared" si="3"/>
        <v>0</v>
      </c>
      <c r="S11" s="22">
        <f t="shared" si="4"/>
        <v>2593.2963023059378</v>
      </c>
      <c r="T11" s="22">
        <f t="shared" si="5"/>
        <v>8.3635608642020536</v>
      </c>
      <c r="U11" s="22">
        <f t="shared" si="6"/>
        <v>7346.9387755102034</v>
      </c>
      <c r="V11" s="22">
        <f t="shared" si="7"/>
        <v>0</v>
      </c>
      <c r="W11" s="21">
        <f t="shared" si="8"/>
        <v>0</v>
      </c>
      <c r="X11" s="18">
        <f t="shared" si="0"/>
        <v>25903.98239149967</v>
      </c>
      <c r="Y11" s="3"/>
      <c r="Z11" s="6">
        <f t="shared" si="9"/>
        <v>41627.459830461892</v>
      </c>
      <c r="AA11" s="2"/>
      <c r="AB11" s="2" t="s">
        <v>42</v>
      </c>
      <c r="AC11" s="6">
        <f>F12</f>
        <v>50000</v>
      </c>
      <c r="AD11" s="2" t="s">
        <v>43</v>
      </c>
      <c r="AE11" s="2"/>
      <c r="AF11" s="6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25" t="s">
        <v>44</v>
      </c>
      <c r="B12" s="2">
        <v>0</v>
      </c>
      <c r="C12" s="2" t="s">
        <v>38</v>
      </c>
      <c r="D12" s="2"/>
      <c r="E12" s="16" t="s">
        <v>45</v>
      </c>
      <c r="F12" s="6">
        <v>50000</v>
      </c>
      <c r="G12" s="2" t="s">
        <v>43</v>
      </c>
      <c r="H12" s="15"/>
      <c r="I12" s="16" t="s">
        <v>46</v>
      </c>
      <c r="J12" s="6">
        <v>900</v>
      </c>
      <c r="K12" s="2" t="s">
        <v>47</v>
      </c>
      <c r="L12" s="15"/>
      <c r="M12" s="2"/>
      <c r="N12" s="11">
        <f t="shared" si="10"/>
        <v>4</v>
      </c>
      <c r="O12" s="11"/>
      <c r="P12" s="21">
        <f t="shared" si="1"/>
        <v>13108.656259372703</v>
      </c>
      <c r="Q12" s="22">
        <f t="shared" si="2"/>
        <v>2107.8167878883496</v>
      </c>
      <c r="R12" s="22">
        <f t="shared" si="3"/>
        <v>0</v>
      </c>
      <c r="S12" s="22">
        <f t="shared" si="4"/>
        <v>2469.8060021961319</v>
      </c>
      <c r="T12" s="22">
        <f t="shared" si="5"/>
        <v>7.9652960611448131</v>
      </c>
      <c r="U12" s="22">
        <f t="shared" si="6"/>
        <v>0</v>
      </c>
      <c r="V12" s="22">
        <f t="shared" si="7"/>
        <v>0</v>
      </c>
      <c r="W12" s="21">
        <f t="shared" si="8"/>
        <v>0</v>
      </c>
      <c r="X12" s="18">
        <f t="shared" si="0"/>
        <v>17694.244345518331</v>
      </c>
      <c r="Y12" s="3"/>
      <c r="Z12" s="6">
        <f t="shared" si="9"/>
        <v>36606.284179109709</v>
      </c>
      <c r="AA12" s="2"/>
      <c r="AB12" s="16" t="s">
        <v>48</v>
      </c>
      <c r="AC12" s="24">
        <f>J41</f>
        <v>3000</v>
      </c>
      <c r="AD12" s="2" t="s">
        <v>49</v>
      </c>
      <c r="AE12" s="2"/>
      <c r="AF12" s="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25" t="s">
        <v>50</v>
      </c>
      <c r="B13" s="2">
        <v>12</v>
      </c>
      <c r="C13" s="2" t="s">
        <v>38</v>
      </c>
      <c r="D13" s="2"/>
      <c r="E13" s="16" t="s">
        <v>30</v>
      </c>
      <c r="F13" s="27">
        <v>14.58</v>
      </c>
      <c r="G13" s="2" t="s">
        <v>51</v>
      </c>
      <c r="H13" s="15"/>
      <c r="I13" s="16" t="s">
        <v>52</v>
      </c>
      <c r="J13" s="6">
        <v>200</v>
      </c>
      <c r="K13" s="2" t="s">
        <v>53</v>
      </c>
      <c r="L13" s="15"/>
      <c r="M13" s="2"/>
      <c r="N13" s="11">
        <f t="shared" si="10"/>
        <v>5</v>
      </c>
      <c r="O13" s="11"/>
      <c r="P13" s="21">
        <f t="shared" si="1"/>
        <v>12484.434532735906</v>
      </c>
      <c r="Q13" s="22">
        <f t="shared" si="2"/>
        <v>2027.5190054926031</v>
      </c>
      <c r="R13" s="22">
        <f t="shared" si="3"/>
        <v>0</v>
      </c>
      <c r="S13" s="22">
        <f t="shared" si="4"/>
        <v>2352.1961925677442</v>
      </c>
      <c r="T13" s="22">
        <f t="shared" si="5"/>
        <v>7.5859962487093453</v>
      </c>
      <c r="U13" s="22">
        <f t="shared" si="6"/>
        <v>0</v>
      </c>
      <c r="V13" s="22">
        <f t="shared" si="7"/>
        <v>0</v>
      </c>
      <c r="W13" s="21">
        <f t="shared" si="8"/>
        <v>0</v>
      </c>
      <c r="X13" s="18">
        <f t="shared" si="0"/>
        <v>16871.735727044961</v>
      </c>
      <c r="Y13" s="3"/>
      <c r="Z13" s="6">
        <f t="shared" si="9"/>
        <v>32198.140623396077</v>
      </c>
      <c r="AA13" s="2"/>
      <c r="AB13" s="2" t="s">
        <v>171</v>
      </c>
      <c r="AC13" s="6">
        <f>J26</f>
        <v>100</v>
      </c>
      <c r="AD13" s="2" t="s">
        <v>162</v>
      </c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25" t="s">
        <v>54</v>
      </c>
      <c r="B14" s="2">
        <v>25</v>
      </c>
      <c r="C14" s="2" t="s">
        <v>38</v>
      </c>
      <c r="D14" s="2"/>
      <c r="E14" s="16" t="s">
        <v>55</v>
      </c>
      <c r="F14" s="2">
        <v>1</v>
      </c>
      <c r="G14" s="2" t="s">
        <v>56</v>
      </c>
      <c r="H14" s="15"/>
      <c r="I14" s="16" t="s">
        <v>57</v>
      </c>
      <c r="J14" s="28">
        <v>30</v>
      </c>
      <c r="K14" s="2" t="s">
        <v>58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1950.2801862357419</v>
      </c>
      <c r="R14" s="22">
        <f t="shared" si="3"/>
        <v>0</v>
      </c>
      <c r="S14" s="22">
        <f t="shared" si="4"/>
        <v>2240.1868500645187</v>
      </c>
      <c r="T14" s="22">
        <f t="shared" si="5"/>
        <v>7.2247583321041393</v>
      </c>
      <c r="U14" s="22">
        <f t="shared" si="6"/>
        <v>6346.5619483945184</v>
      </c>
      <c r="V14" s="22">
        <f t="shared" si="7"/>
        <v>0</v>
      </c>
      <c r="W14" s="21">
        <f t="shared" si="8"/>
        <v>0</v>
      </c>
      <c r="X14" s="18">
        <f t="shared" si="0"/>
        <v>10544.253743026882</v>
      </c>
      <c r="Y14" s="3"/>
      <c r="Z14" s="6">
        <f t="shared" si="9"/>
        <v>28327.113426279077</v>
      </c>
      <c r="AA14" s="2"/>
      <c r="AB14" s="2" t="s">
        <v>198</v>
      </c>
      <c r="AC14" s="27">
        <f>J18</f>
        <v>0.19</v>
      </c>
      <c r="AD14" s="2" t="s">
        <v>71</v>
      </c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25" t="s">
        <v>59</v>
      </c>
      <c r="B15" s="2">
        <v>20</v>
      </c>
      <c r="C15" s="2" t="s">
        <v>38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5">
        <v>20</v>
      </c>
      <c r="K15" s="2" t="s">
        <v>38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1875.983798188666</v>
      </c>
      <c r="R15" s="22">
        <f t="shared" si="3"/>
        <v>0</v>
      </c>
      <c r="S15" s="22">
        <f t="shared" si="4"/>
        <v>2133.5112857757317</v>
      </c>
      <c r="T15" s="22">
        <f t="shared" si="5"/>
        <v>6.8807222210515597</v>
      </c>
      <c r="U15" s="22">
        <f t="shared" si="6"/>
        <v>0</v>
      </c>
      <c r="V15" s="22">
        <f t="shared" si="7"/>
        <v>0</v>
      </c>
      <c r="W15" s="21">
        <f t="shared" si="8"/>
        <v>0</v>
      </c>
      <c r="X15" s="18">
        <f t="shared" si="0"/>
        <v>4016.3758061854496</v>
      </c>
      <c r="Y15" s="3"/>
      <c r="Z15" s="6">
        <f t="shared" si="9"/>
        <v>24926.841781841405</v>
      </c>
      <c r="AA15" s="2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25" t="s">
        <v>63</v>
      </c>
      <c r="B16" s="2">
        <f>0%*12.5%</f>
        <v>0</v>
      </c>
      <c r="C16" s="2" t="s">
        <v>29</v>
      </c>
      <c r="D16" s="2"/>
      <c r="E16" s="16" t="s">
        <v>64</v>
      </c>
      <c r="F16" s="2">
        <v>0</v>
      </c>
      <c r="G16" s="2" t="s">
        <v>61</v>
      </c>
      <c r="H16" s="15"/>
      <c r="I16" s="16" t="s">
        <v>65</v>
      </c>
      <c r="J16" s="2">
        <v>7.08</v>
      </c>
      <c r="K16" s="2" t="s">
        <v>66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1804.5177487338594</v>
      </c>
      <c r="R16" s="22">
        <f t="shared" si="3"/>
        <v>0</v>
      </c>
      <c r="S16" s="22">
        <f t="shared" si="4"/>
        <v>2031.9155102626019</v>
      </c>
      <c r="T16" s="22">
        <f t="shared" si="5"/>
        <v>6.5530687819538675</v>
      </c>
      <c r="U16" s="22">
        <f t="shared" si="6"/>
        <v>0</v>
      </c>
      <c r="V16" s="22">
        <f t="shared" si="7"/>
        <v>0</v>
      </c>
      <c r="W16" s="21">
        <f t="shared" si="8"/>
        <v>0</v>
      </c>
      <c r="X16" s="18">
        <f t="shared" si="0"/>
        <v>3842.9863277784152</v>
      </c>
      <c r="Y16" s="3"/>
      <c r="Z16" s="6">
        <f t="shared" si="9"/>
        <v>21939.295437487996</v>
      </c>
      <c r="AA16" s="2"/>
      <c r="AB16" s="2"/>
      <c r="AC16" s="2"/>
      <c r="AD16" s="2"/>
      <c r="AE16" s="2"/>
      <c r="AF16" s="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25" t="s">
        <v>181</v>
      </c>
      <c r="B17" s="2">
        <v>450</v>
      </c>
      <c r="C17" s="2" t="s">
        <v>29</v>
      </c>
      <c r="D17" s="2"/>
      <c r="E17" s="16" t="s">
        <v>67</v>
      </c>
      <c r="F17" s="6">
        <v>115</v>
      </c>
      <c r="G17" s="2" t="s">
        <v>61</v>
      </c>
      <c r="H17" s="15"/>
      <c r="I17" s="16" t="s">
        <v>68</v>
      </c>
      <c r="J17" s="2">
        <v>11</v>
      </c>
      <c r="K17" s="2" t="s">
        <v>66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1735.7742154487605</v>
      </c>
      <c r="R17" s="22">
        <f t="shared" si="3"/>
        <v>0</v>
      </c>
      <c r="S17" s="22">
        <f t="shared" si="4"/>
        <v>1935.1576288215253</v>
      </c>
      <c r="T17" s="22">
        <f t="shared" si="5"/>
        <v>6.2410178875751114</v>
      </c>
      <c r="U17" s="22">
        <f t="shared" si="6"/>
        <v>5482.3988324323655</v>
      </c>
      <c r="V17" s="22">
        <f t="shared" si="7"/>
        <v>0</v>
      </c>
      <c r="W17" s="21">
        <f t="shared" si="8"/>
        <v>0</v>
      </c>
      <c r="X17" s="18">
        <f t="shared" si="0"/>
        <v>9159.5716945902277</v>
      </c>
      <c r="Y17" s="3"/>
      <c r="Z17" s="6">
        <f t="shared" si="9"/>
        <v>19313.710241624125</v>
      </c>
      <c r="AA17" s="2"/>
      <c r="AB17" s="2"/>
      <c r="AC17" s="2"/>
      <c r="AD17" s="2"/>
      <c r="AE17" s="2"/>
      <c r="AF17" s="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25" t="s">
        <v>182</v>
      </c>
      <c r="B18" s="2">
        <v>10</v>
      </c>
      <c r="C18" s="2" t="s">
        <v>29</v>
      </c>
      <c r="D18" s="2"/>
      <c r="E18" s="16" t="s">
        <v>69</v>
      </c>
      <c r="F18" s="20">
        <v>0.24</v>
      </c>
      <c r="G18" s="2"/>
      <c r="H18" s="15"/>
      <c r="I18" s="16" t="s">
        <v>70</v>
      </c>
      <c r="J18" s="27">
        <v>0.19</v>
      </c>
      <c r="K18" s="2" t="s">
        <v>71</v>
      </c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1669.649483431665</v>
      </c>
      <c r="R18" s="22">
        <f t="shared" si="3"/>
        <v>0</v>
      </c>
      <c r="S18" s="22">
        <f t="shared" si="4"/>
        <v>1843.00726554431</v>
      </c>
      <c r="T18" s="22">
        <f t="shared" si="5"/>
        <v>5.9438265595953439</v>
      </c>
      <c r="U18" s="22">
        <f t="shared" si="6"/>
        <v>0</v>
      </c>
      <c r="V18" s="22">
        <f t="shared" si="7"/>
        <v>0</v>
      </c>
      <c r="W18" s="21">
        <f t="shared" si="8"/>
        <v>-17005.66231281943</v>
      </c>
      <c r="X18" s="18">
        <f t="shared" si="0"/>
        <v>-13487.061737283859</v>
      </c>
      <c r="Y18" s="3"/>
      <c r="Z18" s="6">
        <f t="shared" si="9"/>
        <v>17005.66231281943</v>
      </c>
      <c r="AA18" s="2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25" t="s">
        <v>72</v>
      </c>
      <c r="B19" s="2">
        <v>50</v>
      </c>
      <c r="C19" s="2" t="s">
        <v>29</v>
      </c>
      <c r="D19" s="2"/>
      <c r="E19" s="16" t="s">
        <v>73</v>
      </c>
      <c r="F19" s="6">
        <v>0</v>
      </c>
      <c r="G19" s="2" t="s">
        <v>61</v>
      </c>
      <c r="H19" s="15"/>
      <c r="I19" s="2"/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5"/>
        <v>0</v>
      </c>
      <c r="U19" s="22">
        <f t="shared" si="6"/>
        <v>0</v>
      </c>
      <c r="V19" s="22">
        <f t="shared" si="7"/>
        <v>0</v>
      </c>
      <c r="W19" s="21">
        <f t="shared" ref="W19:W48" si="11">IF(N19=$B$5,((((1-$J$16/100)^N19)*$B$52+((1-$J$17/100)^N19)*$B$48)/((1+($F$11/100))^N19))*-1,0)</f>
        <v>0</v>
      </c>
      <c r="X19" s="18">
        <f t="shared" si="0"/>
        <v>0</v>
      </c>
      <c r="Y19" s="3"/>
      <c r="Z19" s="6">
        <f t="shared" si="9"/>
        <v>0</v>
      </c>
      <c r="AA19" s="2"/>
      <c r="AB19" s="2"/>
      <c r="AC19" s="2"/>
      <c r="AD19" s="2"/>
      <c r="AE19" s="2"/>
      <c r="AF19" s="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2"/>
      <c r="B20" s="2"/>
      <c r="C20" s="2"/>
      <c r="D20" s="2"/>
      <c r="E20" s="16" t="s">
        <v>74</v>
      </c>
      <c r="F20" s="6">
        <v>0</v>
      </c>
      <c r="G20" s="2" t="s">
        <v>75</v>
      </c>
      <c r="H20" s="15"/>
      <c r="I20" s="1" t="s">
        <v>77</v>
      </c>
      <c r="J20" s="2"/>
      <c r="K20" s="2"/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5"/>
        <v>0</v>
      </c>
      <c r="U20" s="22">
        <f t="shared" si="6"/>
        <v>0</v>
      </c>
      <c r="V20" s="22">
        <f t="shared" si="7"/>
        <v>0</v>
      </c>
      <c r="W20" s="21">
        <f t="shared" si="11"/>
        <v>0</v>
      </c>
      <c r="X20" s="18">
        <f t="shared" si="0"/>
        <v>0</v>
      </c>
      <c r="Y20" s="3"/>
      <c r="Z20" s="6">
        <f t="shared" si="9"/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16" t="s">
        <v>48</v>
      </c>
      <c r="F21" s="32">
        <v>3.3420000000000001</v>
      </c>
      <c r="G21" s="2" t="s">
        <v>76</v>
      </c>
      <c r="H21" s="15"/>
      <c r="I21" s="16" t="s">
        <v>83</v>
      </c>
      <c r="J21" s="2">
        <v>5</v>
      </c>
      <c r="K21" s="2" t="s">
        <v>58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5"/>
        <v>0</v>
      </c>
      <c r="U21" s="22">
        <f t="shared" si="6"/>
        <v>0</v>
      </c>
      <c r="V21" s="22">
        <f t="shared" si="7"/>
        <v>0</v>
      </c>
      <c r="W21" s="21">
        <f t="shared" si="11"/>
        <v>0</v>
      </c>
      <c r="X21" s="18">
        <f t="shared" si="0"/>
        <v>0</v>
      </c>
      <c r="Y21" s="3"/>
      <c r="Z21" s="6">
        <f t="shared" si="9"/>
        <v>0</v>
      </c>
      <c r="AA21" s="2"/>
      <c r="AB21" s="29" t="s">
        <v>30</v>
      </c>
      <c r="AC21" s="30"/>
      <c r="AD21" s="30"/>
      <c r="AE21" s="30"/>
      <c r="AF21" s="2"/>
      <c r="AG21" s="29" t="s">
        <v>28</v>
      </c>
      <c r="AH21" s="30"/>
      <c r="AI21" s="30"/>
      <c r="AJ21" s="30"/>
      <c r="AK21" s="2"/>
      <c r="AL21" s="86" t="s">
        <v>187</v>
      </c>
      <c r="AM21" s="86" t="s">
        <v>188</v>
      </c>
      <c r="AN21" s="86" t="s">
        <v>189</v>
      </c>
      <c r="AO21" s="86" t="s">
        <v>34</v>
      </c>
      <c r="AP21" s="86" t="s">
        <v>190</v>
      </c>
      <c r="AQ21" s="86" t="s">
        <v>191</v>
      </c>
      <c r="AR21" s="91" t="str">
        <f>AB66</f>
        <v>Energy Efficiency</v>
      </c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16" t="s">
        <v>82</v>
      </c>
      <c r="F22" s="2">
        <v>7.1</v>
      </c>
      <c r="G22" s="2" t="s">
        <v>66</v>
      </c>
      <c r="H22" s="15"/>
      <c r="I22" s="16" t="s">
        <v>86</v>
      </c>
      <c r="J22" s="2">
        <v>30</v>
      </c>
      <c r="K22" s="2" t="s">
        <v>87</v>
      </c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5"/>
        <v>0</v>
      </c>
      <c r="U22" s="22">
        <f t="shared" si="6"/>
        <v>0</v>
      </c>
      <c r="V22" s="22">
        <f t="shared" si="7"/>
        <v>0</v>
      </c>
      <c r="W22" s="21">
        <f t="shared" si="11"/>
        <v>0</v>
      </c>
      <c r="X22" s="18">
        <f t="shared" si="0"/>
        <v>0</v>
      </c>
      <c r="Y22" s="3"/>
      <c r="Z22" s="6">
        <f t="shared" si="9"/>
        <v>0</v>
      </c>
      <c r="AA22" s="2"/>
      <c r="AB22" s="30" t="s">
        <v>78</v>
      </c>
      <c r="AC22" s="30" t="s">
        <v>79</v>
      </c>
      <c r="AD22" s="30" t="s">
        <v>23</v>
      </c>
      <c r="AE22" s="30" t="s">
        <v>80</v>
      </c>
      <c r="AF22" s="2"/>
      <c r="AG22" s="30" t="s">
        <v>78</v>
      </c>
      <c r="AH22" s="30" t="s">
        <v>81</v>
      </c>
      <c r="AI22" s="30" t="s">
        <v>23</v>
      </c>
      <c r="AJ22" s="30" t="s">
        <v>80</v>
      </c>
      <c r="AK22" s="2"/>
      <c r="AL22" s="87">
        <v>-50</v>
      </c>
      <c r="AM22" s="88">
        <f>AJ24</f>
        <v>-33.728680087345815</v>
      </c>
      <c r="AN22" s="88">
        <f>AE24</f>
        <v>-7.165703705348589</v>
      </c>
      <c r="AO22" s="89">
        <f t="shared" ref="AO22:AO32" si="12">AE39</f>
        <v>-4.9150442760341404</v>
      </c>
      <c r="AP22" s="89">
        <f t="shared" ref="AP22:AP32" si="13">AJ39</f>
        <v>-24.866981448890428</v>
      </c>
      <c r="AQ22" s="89">
        <f>AE54</f>
        <v>-8.2959277144739669</v>
      </c>
      <c r="AR22" s="58">
        <f>AE69</f>
        <v>7.1657037053486308</v>
      </c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16" t="s">
        <v>85</v>
      </c>
      <c r="F23" s="5">
        <v>30</v>
      </c>
      <c r="G23" s="2" t="s">
        <v>38</v>
      </c>
      <c r="H23" s="15"/>
      <c r="I23" s="62" t="s">
        <v>157</v>
      </c>
      <c r="J23" s="63"/>
      <c r="K23" s="63"/>
      <c r="L23" s="64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5"/>
        <v>0</v>
      </c>
      <c r="U23" s="22">
        <f t="shared" si="6"/>
        <v>0</v>
      </c>
      <c r="V23" s="22">
        <f t="shared" si="7"/>
        <v>0</v>
      </c>
      <c r="W23" s="21">
        <f t="shared" si="11"/>
        <v>0</v>
      </c>
      <c r="X23" s="18">
        <f t="shared" si="0"/>
        <v>0</v>
      </c>
      <c r="Y23" s="3"/>
      <c r="Z23" s="6">
        <f t="shared" si="9"/>
        <v>0</v>
      </c>
      <c r="AA23" s="2"/>
      <c r="AB23" s="30" t="s">
        <v>84</v>
      </c>
      <c r="AC23" s="33">
        <v>0.26175942549371634</v>
      </c>
      <c r="AD23" s="34">
        <f>X49</f>
        <v>139617.92812597612</v>
      </c>
      <c r="AE23" s="30"/>
      <c r="AF23" s="2"/>
      <c r="AG23" s="30" t="s">
        <v>84</v>
      </c>
      <c r="AH23" s="35">
        <v>83993.956839057151</v>
      </c>
      <c r="AI23" s="34">
        <f>X49</f>
        <v>139617.92812597612</v>
      </c>
      <c r="AJ23" s="30"/>
      <c r="AK23" s="2"/>
      <c r="AL23" s="87">
        <v>-40</v>
      </c>
      <c r="AM23" s="88">
        <f>AJ25</f>
        <v>-26.982944069876652</v>
      </c>
      <c r="AN23" s="88">
        <f t="shared" ref="AN23:AN32" si="14">AE25</f>
        <v>-5.7325629642788885</v>
      </c>
      <c r="AO23" s="89">
        <f t="shared" si="12"/>
        <v>-3.9320354208273165</v>
      </c>
      <c r="AP23" s="89">
        <f t="shared" si="13"/>
        <v>-21.558194972675285</v>
      </c>
      <c r="AQ23" s="89">
        <f t="shared" ref="AQ23:AQ32" si="15">AE55</f>
        <v>-6.6367421715791739</v>
      </c>
      <c r="AR23" s="58">
        <f t="shared" ref="AR23:AR32" si="16">AE70</f>
        <v>5.7325629642789293</v>
      </c>
      <c r="AS23" s="32"/>
      <c r="AT23" s="32"/>
      <c r="AU23" s="32"/>
      <c r="AV23" s="32"/>
      <c r="AW23" s="32"/>
      <c r="AX23" s="32"/>
      <c r="AY23" s="32"/>
    </row>
    <row r="24" spans="1:51" ht="15.75" customHeight="1" x14ac:dyDescent="0.25">
      <c r="A24" s="13"/>
      <c r="B24" s="2"/>
      <c r="C24" s="2"/>
      <c r="D24" s="2"/>
      <c r="H24" s="15"/>
      <c r="I24" s="63" t="s">
        <v>158</v>
      </c>
      <c r="J24" s="65" t="s">
        <v>156</v>
      </c>
      <c r="K24" s="63"/>
      <c r="L24" s="64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5"/>
        <v>0</v>
      </c>
      <c r="U24" s="22">
        <f t="shared" si="6"/>
        <v>0</v>
      </c>
      <c r="V24" s="22">
        <f t="shared" si="7"/>
        <v>0</v>
      </c>
      <c r="W24" s="21">
        <f t="shared" si="11"/>
        <v>0</v>
      </c>
      <c r="X24" s="18">
        <f t="shared" si="0"/>
        <v>0</v>
      </c>
      <c r="Y24" s="3"/>
      <c r="Z24" s="6">
        <f t="shared" si="9"/>
        <v>0</v>
      </c>
      <c r="AA24" s="2"/>
      <c r="AB24" s="30">
        <f t="shared" ref="AB24:AB28" si="17">AB25-10</f>
        <v>-50</v>
      </c>
      <c r="AC24" s="33">
        <f t="shared" ref="AC24:AC34" si="18">$AC$23*(1+(AB24/100))</f>
        <v>0.13087971274685817</v>
      </c>
      <c r="AD24" s="34">
        <f t="dataTable" ref="AD24:AD34" dt2D="0" dtr="0" r1="F36" ca="1"/>
        <v>129613.32107692212</v>
      </c>
      <c r="AE24" s="38">
        <f t="shared" ref="AE24:AE34" si="19">100*((AD24-$AD$29)/$AD$29)</f>
        <v>-7.165703705348589</v>
      </c>
      <c r="AF24" s="2"/>
      <c r="AG24" s="30">
        <f t="shared" ref="AG24:AG28" si="20">AG25-10</f>
        <v>-50</v>
      </c>
      <c r="AH24" s="35">
        <f t="shared" ref="AH24:AH34" si="21">$AH$23*(1+(AG24/100))</f>
        <v>41996.978419528576</v>
      </c>
      <c r="AI24" s="34">
        <f t="dataTable" ref="AI24:AI34" dt2D="0" dtr="0" r1="B52" ca="1"/>
        <v>92526.64380378522</v>
      </c>
      <c r="AJ24" s="38">
        <f t="shared" ref="AJ24:AJ34" si="22">100*((AI24-$AI$29)/$AI$29)</f>
        <v>-33.728680087345815</v>
      </c>
      <c r="AK24" s="2"/>
      <c r="AL24" s="87">
        <v>-30</v>
      </c>
      <c r="AM24" s="88">
        <f t="shared" ref="AM24:AM32" si="23">AJ26</f>
        <v>-20.237208052407496</v>
      </c>
      <c r="AN24" s="88">
        <f t="shared" si="14"/>
        <v>-4.2994222232091452</v>
      </c>
      <c r="AO24" s="89">
        <f t="shared" si="12"/>
        <v>-2.9490265656204717</v>
      </c>
      <c r="AP24" s="89">
        <f t="shared" si="13"/>
        <v>-14.498856433818666</v>
      </c>
      <c r="AQ24" s="89">
        <f t="shared" si="15"/>
        <v>-4.9775566286844013</v>
      </c>
      <c r="AR24" s="58">
        <f t="shared" si="16"/>
        <v>4.2994222232092074</v>
      </c>
      <c r="AS24" s="32"/>
      <c r="AT24" s="32"/>
      <c r="AU24" s="32"/>
      <c r="AV24" s="32"/>
      <c r="AW24" s="32"/>
      <c r="AX24" s="32"/>
      <c r="AY24" s="32"/>
    </row>
    <row r="25" spans="1:51" ht="15.75" customHeight="1" x14ac:dyDescent="0.25">
      <c r="A25" s="13"/>
      <c r="B25" s="2"/>
      <c r="C25" s="2"/>
      <c r="D25" s="2"/>
      <c r="E25" s="2"/>
      <c r="F25" s="2"/>
      <c r="G25" s="2"/>
      <c r="H25" s="15"/>
      <c r="I25" s="66" t="s">
        <v>159</v>
      </c>
      <c r="J25" s="66">
        <v>1.3</v>
      </c>
      <c r="K25" s="66" t="s">
        <v>160</v>
      </c>
      <c r="L25" s="64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5"/>
        <v>0</v>
      </c>
      <c r="U25" s="22">
        <f t="shared" si="6"/>
        <v>0</v>
      </c>
      <c r="V25" s="22">
        <f t="shared" si="7"/>
        <v>0</v>
      </c>
      <c r="W25" s="21">
        <f t="shared" si="11"/>
        <v>0</v>
      </c>
      <c r="X25" s="18">
        <f t="shared" si="0"/>
        <v>0</v>
      </c>
      <c r="Y25" s="3"/>
      <c r="Z25" s="6">
        <f t="shared" si="9"/>
        <v>0</v>
      </c>
      <c r="AA25" s="2"/>
      <c r="AB25" s="30">
        <f t="shared" si="17"/>
        <v>-40</v>
      </c>
      <c r="AC25" s="33">
        <f t="shared" si="18"/>
        <v>0.15705565529622981</v>
      </c>
      <c r="AD25" s="34">
        <v>131614.2424867329</v>
      </c>
      <c r="AE25" s="38">
        <f t="shared" si="19"/>
        <v>-5.7325629642788885</v>
      </c>
      <c r="AF25" s="2"/>
      <c r="AG25" s="30">
        <f t="shared" si="20"/>
        <v>-40</v>
      </c>
      <c r="AH25" s="35">
        <f t="shared" si="21"/>
        <v>50396.374103434289</v>
      </c>
      <c r="AI25" s="34">
        <v>101944.9006682234</v>
      </c>
      <c r="AJ25" s="38">
        <f t="shared" si="22"/>
        <v>-26.982944069876652</v>
      </c>
      <c r="AK25" s="2"/>
      <c r="AL25" s="87">
        <v>-20</v>
      </c>
      <c r="AM25" s="88">
        <f t="shared" si="23"/>
        <v>-13.49147203493831</v>
      </c>
      <c r="AN25" s="88">
        <f t="shared" si="14"/>
        <v>-2.8662814821394234</v>
      </c>
      <c r="AO25" s="89">
        <f t="shared" si="12"/>
        <v>-1.9660177104136687</v>
      </c>
      <c r="AP25" s="89">
        <f t="shared" si="13"/>
        <v>-10.784560559962349</v>
      </c>
      <c r="AQ25" s="89">
        <f t="shared" si="15"/>
        <v>-3.3183710857895869</v>
      </c>
      <c r="AR25" s="58">
        <f t="shared" si="16"/>
        <v>2.8662814821394647</v>
      </c>
      <c r="AS25" s="32"/>
      <c r="AT25" s="32"/>
      <c r="AU25" s="32"/>
      <c r="AV25" s="32"/>
      <c r="AW25" s="32"/>
      <c r="AX25" s="32"/>
      <c r="AY25" s="32"/>
    </row>
    <row r="26" spans="1:5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 t="s">
        <v>161</v>
      </c>
      <c r="J26" s="67">
        <f>J13/2</f>
        <v>100</v>
      </c>
      <c r="K26" s="41" t="s">
        <v>162</v>
      </c>
      <c r="L26" s="42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5"/>
        <v>0</v>
      </c>
      <c r="U26" s="22">
        <f t="shared" si="6"/>
        <v>0</v>
      </c>
      <c r="V26" s="22">
        <f t="shared" si="7"/>
        <v>0</v>
      </c>
      <c r="W26" s="21">
        <f t="shared" si="11"/>
        <v>0</v>
      </c>
      <c r="X26" s="18">
        <f t="shared" si="0"/>
        <v>0</v>
      </c>
      <c r="Y26" s="3"/>
      <c r="Z26" s="6">
        <f t="shared" si="9"/>
        <v>0</v>
      </c>
      <c r="AA26" s="2"/>
      <c r="AB26" s="30">
        <f t="shared" si="17"/>
        <v>-30</v>
      </c>
      <c r="AC26" s="33">
        <f t="shared" si="18"/>
        <v>0.18323159784560142</v>
      </c>
      <c r="AD26" s="34">
        <v>133615.16389654373</v>
      </c>
      <c r="AE26" s="38">
        <f t="shared" si="19"/>
        <v>-4.2994222232091452</v>
      </c>
      <c r="AF26" s="2"/>
      <c r="AG26" s="30">
        <f t="shared" si="20"/>
        <v>-30</v>
      </c>
      <c r="AH26" s="35">
        <f t="shared" si="21"/>
        <v>58795.769787340003</v>
      </c>
      <c r="AI26" s="34">
        <v>111363.15753266157</v>
      </c>
      <c r="AJ26" s="38">
        <f t="shared" si="22"/>
        <v>-20.237208052407496</v>
      </c>
      <c r="AK26" s="2"/>
      <c r="AL26" s="87">
        <v>-10</v>
      </c>
      <c r="AM26" s="88">
        <f t="shared" si="23"/>
        <v>-6.7457360174691434</v>
      </c>
      <c r="AN26" s="88">
        <f t="shared" si="14"/>
        <v>-1.4331407410697012</v>
      </c>
      <c r="AO26" s="89">
        <f t="shared" si="12"/>
        <v>-0.98300885520682391</v>
      </c>
      <c r="AP26" s="89">
        <f t="shared" si="13"/>
        <v>-7.6922342759978442</v>
      </c>
      <c r="AQ26" s="89">
        <f t="shared" si="15"/>
        <v>-1.6591855428947935</v>
      </c>
      <c r="AR26" s="58">
        <f t="shared" si="16"/>
        <v>1.4331407410697428</v>
      </c>
      <c r="AS26" s="32"/>
      <c r="AT26" s="32"/>
      <c r="AU26" s="32"/>
      <c r="AV26" s="32"/>
      <c r="AW26" s="32"/>
      <c r="AX26" s="32"/>
      <c r="AY26" s="3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5"/>
        <v>0</v>
      </c>
      <c r="U27" s="22">
        <f t="shared" si="6"/>
        <v>0</v>
      </c>
      <c r="V27" s="22">
        <f t="shared" si="7"/>
        <v>0</v>
      </c>
      <c r="W27" s="21">
        <f t="shared" si="11"/>
        <v>0</v>
      </c>
      <c r="X27" s="18">
        <f t="shared" si="0"/>
        <v>0</v>
      </c>
      <c r="Y27" s="3"/>
      <c r="Z27" s="6">
        <f t="shared" si="9"/>
        <v>0</v>
      </c>
      <c r="AA27" s="2"/>
      <c r="AB27" s="30">
        <f t="shared" si="17"/>
        <v>-20</v>
      </c>
      <c r="AC27" s="33">
        <f t="shared" si="18"/>
        <v>0.20940754039497309</v>
      </c>
      <c r="AD27" s="34">
        <v>135616.08530635454</v>
      </c>
      <c r="AE27" s="38">
        <f t="shared" si="19"/>
        <v>-2.8662814821394234</v>
      </c>
      <c r="AF27" s="2"/>
      <c r="AG27" s="30">
        <f t="shared" si="20"/>
        <v>-20</v>
      </c>
      <c r="AH27" s="35">
        <f t="shared" si="21"/>
        <v>67195.165471245724</v>
      </c>
      <c r="AI27" s="34">
        <v>120781.41439709978</v>
      </c>
      <c r="AJ27" s="38">
        <f t="shared" si="22"/>
        <v>-13.49147203493831</v>
      </c>
      <c r="AK27" s="2"/>
      <c r="AL27" s="87">
        <v>0</v>
      </c>
      <c r="AM27" s="88">
        <f t="shared" si="23"/>
        <v>0</v>
      </c>
      <c r="AN27" s="88">
        <f t="shared" si="14"/>
        <v>0</v>
      </c>
      <c r="AO27" s="89">
        <f t="shared" si="12"/>
        <v>0</v>
      </c>
      <c r="AP27" s="89">
        <f t="shared" si="13"/>
        <v>0</v>
      </c>
      <c r="AQ27" s="89">
        <f t="shared" si="15"/>
        <v>0</v>
      </c>
      <c r="AR27" s="58">
        <f t="shared" si="16"/>
        <v>0</v>
      </c>
      <c r="AS27" s="32"/>
      <c r="AT27" s="32"/>
      <c r="AU27" s="32"/>
      <c r="AV27" s="32"/>
      <c r="AW27" s="32"/>
      <c r="AX27" s="32"/>
      <c r="AY27" s="32"/>
    </row>
    <row r="28" spans="1:51" ht="15.75" customHeight="1" x14ac:dyDescent="0.25">
      <c r="A28" s="1" t="s">
        <v>88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5"/>
        <v>0</v>
      </c>
      <c r="U28" s="22">
        <f t="shared" si="6"/>
        <v>0</v>
      </c>
      <c r="V28" s="22">
        <f t="shared" si="7"/>
        <v>0</v>
      </c>
      <c r="W28" s="21">
        <f t="shared" si="11"/>
        <v>0</v>
      </c>
      <c r="X28" s="18">
        <f t="shared" si="0"/>
        <v>0</v>
      </c>
      <c r="Y28" s="3"/>
      <c r="Z28" s="6">
        <f t="shared" si="9"/>
        <v>0</v>
      </c>
      <c r="AA28" s="2"/>
      <c r="AB28" s="30">
        <f t="shared" si="17"/>
        <v>-10</v>
      </c>
      <c r="AC28" s="33">
        <f t="shared" si="18"/>
        <v>0.2355834829443447</v>
      </c>
      <c r="AD28" s="34">
        <v>137617.00671616534</v>
      </c>
      <c r="AE28" s="38">
        <f t="shared" si="19"/>
        <v>-1.4331407410697012</v>
      </c>
      <c r="AF28" s="2"/>
      <c r="AG28" s="30">
        <f t="shared" si="20"/>
        <v>-10</v>
      </c>
      <c r="AH28" s="35">
        <f t="shared" si="21"/>
        <v>75594.561155151445</v>
      </c>
      <c r="AI28" s="34">
        <v>130199.67126153797</v>
      </c>
      <c r="AJ28" s="38">
        <f t="shared" si="22"/>
        <v>-6.7457360174691434</v>
      </c>
      <c r="AK28" s="2"/>
      <c r="AL28" s="87">
        <v>10</v>
      </c>
      <c r="AM28" s="88">
        <f t="shared" si="23"/>
        <v>6.7457360174691647</v>
      </c>
      <c r="AN28" s="88">
        <f t="shared" si="14"/>
        <v>1.4331407410697428</v>
      </c>
      <c r="AO28" s="89">
        <f t="shared" si="12"/>
        <v>0.98300885520682391</v>
      </c>
      <c r="AP28" s="89">
        <f t="shared" si="13"/>
        <v>3.0923262839645362</v>
      </c>
      <c r="AQ28" s="89">
        <f t="shared" si="15"/>
        <v>1.6591855428948143</v>
      </c>
      <c r="AR28" s="58">
        <f t="shared" si="16"/>
        <v>-1.4331407410697012</v>
      </c>
      <c r="AS28" s="32"/>
      <c r="AT28" s="32"/>
      <c r="AU28" s="32"/>
      <c r="AV28" s="32"/>
      <c r="AW28" s="32"/>
      <c r="AX28" s="32"/>
      <c r="AY28" s="3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5"/>
        <v>0</v>
      </c>
      <c r="U29" s="22">
        <f t="shared" si="6"/>
        <v>0</v>
      </c>
      <c r="V29" s="22">
        <f t="shared" si="7"/>
        <v>0</v>
      </c>
      <c r="W29" s="21">
        <f t="shared" si="11"/>
        <v>0</v>
      </c>
      <c r="X29" s="18">
        <f t="shared" si="0"/>
        <v>0</v>
      </c>
      <c r="Y29" s="3"/>
      <c r="Z29" s="6">
        <f t="shared" si="9"/>
        <v>0</v>
      </c>
      <c r="AA29" s="2"/>
      <c r="AB29" s="43">
        <v>0</v>
      </c>
      <c r="AC29" s="44">
        <f t="shared" si="18"/>
        <v>0.26175942549371634</v>
      </c>
      <c r="AD29" s="45">
        <v>139617.92812597612</v>
      </c>
      <c r="AE29" s="46">
        <f t="shared" si="19"/>
        <v>0</v>
      </c>
      <c r="AF29" s="2"/>
      <c r="AG29" s="43">
        <v>0</v>
      </c>
      <c r="AH29" s="47">
        <f t="shared" si="21"/>
        <v>83993.956839057151</v>
      </c>
      <c r="AI29" s="45">
        <v>139617.92812597612</v>
      </c>
      <c r="AJ29" s="46">
        <f t="shared" si="22"/>
        <v>0</v>
      </c>
      <c r="AK29" s="2"/>
      <c r="AL29" s="87">
        <v>20</v>
      </c>
      <c r="AM29" s="88">
        <f t="shared" si="23"/>
        <v>13.491472034938329</v>
      </c>
      <c r="AN29" s="88">
        <f t="shared" si="14"/>
        <v>2.8662814821394647</v>
      </c>
      <c r="AO29" s="89">
        <f t="shared" si="12"/>
        <v>1.9660177104136478</v>
      </c>
      <c r="AP29" s="89">
        <f t="shared" si="13"/>
        <v>6.184652567929052</v>
      </c>
      <c r="AQ29" s="89">
        <f t="shared" si="15"/>
        <v>3.3183710857896078</v>
      </c>
      <c r="AR29" s="58">
        <f t="shared" si="16"/>
        <v>-2.8662814821394234</v>
      </c>
      <c r="AS29" s="32"/>
      <c r="AT29" s="32"/>
      <c r="AU29" s="32"/>
      <c r="AV29" s="32"/>
      <c r="AW29" s="32"/>
      <c r="AX29" s="32"/>
      <c r="AY29" s="32"/>
    </row>
    <row r="30" spans="1:51" ht="15.75" customHeight="1" x14ac:dyDescent="0.25">
      <c r="A30" s="7" t="s">
        <v>89</v>
      </c>
      <c r="B30" s="8"/>
      <c r="C30" s="8"/>
      <c r="D30" s="8"/>
      <c r="E30" s="10" t="s">
        <v>90</v>
      </c>
      <c r="F30" s="8"/>
      <c r="G30" s="8"/>
      <c r="H30" s="8"/>
      <c r="I30" s="10" t="s">
        <v>91</v>
      </c>
      <c r="J30" s="48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5"/>
        <v>0</v>
      </c>
      <c r="U30" s="22">
        <f t="shared" si="6"/>
        <v>0</v>
      </c>
      <c r="V30" s="22">
        <f t="shared" si="7"/>
        <v>0</v>
      </c>
      <c r="W30" s="21">
        <f t="shared" si="11"/>
        <v>0</v>
      </c>
      <c r="X30" s="18">
        <f t="shared" si="0"/>
        <v>0</v>
      </c>
      <c r="Y30" s="3"/>
      <c r="Z30" s="6">
        <f t="shared" si="9"/>
        <v>0</v>
      </c>
      <c r="AA30" s="2"/>
      <c r="AB30" s="30">
        <f t="shared" ref="AB30:AB34" si="24">AB29+10</f>
        <v>10</v>
      </c>
      <c r="AC30" s="33">
        <f t="shared" si="18"/>
        <v>0.287935368043088</v>
      </c>
      <c r="AD30" s="34">
        <v>141618.84953578695</v>
      </c>
      <c r="AE30" s="38">
        <f t="shared" si="19"/>
        <v>1.4331407410697428</v>
      </c>
      <c r="AF30" s="2"/>
      <c r="AG30" s="30">
        <f t="shared" ref="AG30:AG34" si="25">AG29+10</f>
        <v>10</v>
      </c>
      <c r="AH30" s="35">
        <f t="shared" si="21"/>
        <v>92393.352522962872</v>
      </c>
      <c r="AI30" s="34">
        <v>149036.1849904143</v>
      </c>
      <c r="AJ30" s="38">
        <f t="shared" si="22"/>
        <v>6.7457360174691647</v>
      </c>
      <c r="AK30" s="2"/>
      <c r="AL30" s="87">
        <v>30</v>
      </c>
      <c r="AM30" s="88">
        <f t="shared" si="23"/>
        <v>20.237208052407496</v>
      </c>
      <c r="AN30" s="88">
        <f t="shared" si="14"/>
        <v>4.2994222232092074</v>
      </c>
      <c r="AO30" s="89">
        <f t="shared" si="12"/>
        <v>2.9490265656204926</v>
      </c>
      <c r="AP30" s="89">
        <f t="shared" si="13"/>
        <v>18.487746997846095</v>
      </c>
      <c r="AQ30" s="89">
        <f t="shared" si="15"/>
        <v>4.9775566286843809</v>
      </c>
      <c r="AR30" s="58">
        <f t="shared" si="16"/>
        <v>-4.2994222232091452</v>
      </c>
      <c r="AS30" s="32"/>
      <c r="AT30" s="32"/>
      <c r="AU30" s="32"/>
      <c r="AV30" s="32"/>
      <c r="AW30" s="32"/>
      <c r="AX30" s="32"/>
      <c r="AY30" s="32"/>
    </row>
    <row r="31" spans="1:51" ht="15.75" customHeight="1" x14ac:dyDescent="0.25">
      <c r="A31" s="25" t="s">
        <v>172</v>
      </c>
      <c r="B31" s="6">
        <f t="shared" ref="B31:B32" si="26">IF(B11=0,0,-(B11/100)*$B$50)</f>
        <v>0</v>
      </c>
      <c r="C31" s="2" t="s">
        <v>3</v>
      </c>
      <c r="D31" s="2"/>
      <c r="E31" s="16" t="s">
        <v>92</v>
      </c>
      <c r="F31" s="24">
        <f>(J22/100)*B52</f>
        <v>25198.187051717145</v>
      </c>
      <c r="G31" s="2" t="s">
        <v>3</v>
      </c>
      <c r="H31" s="2"/>
      <c r="I31" s="16" t="s">
        <v>93</v>
      </c>
      <c r="J31" s="32">
        <f>ROUNDDOWN(J12/(F12/J13),0)</f>
        <v>3</v>
      </c>
      <c r="K31" s="2" t="s">
        <v>58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5"/>
        <v>0</v>
      </c>
      <c r="U31" s="22">
        <f t="shared" si="6"/>
        <v>0</v>
      </c>
      <c r="V31" s="22">
        <f t="shared" si="7"/>
        <v>0</v>
      </c>
      <c r="W31" s="21">
        <f t="shared" si="11"/>
        <v>0</v>
      </c>
      <c r="X31" s="18">
        <f t="shared" si="0"/>
        <v>0</v>
      </c>
      <c r="Y31" s="3"/>
      <c r="Z31" s="6">
        <f t="shared" si="9"/>
        <v>0</v>
      </c>
      <c r="AA31" s="2"/>
      <c r="AB31" s="30">
        <f t="shared" si="24"/>
        <v>20</v>
      </c>
      <c r="AC31" s="33">
        <f t="shared" si="18"/>
        <v>0.31411131059245961</v>
      </c>
      <c r="AD31" s="34">
        <v>143619.77094559776</v>
      </c>
      <c r="AE31" s="38">
        <f t="shared" si="19"/>
        <v>2.8662814821394647</v>
      </c>
      <c r="AF31" s="2"/>
      <c r="AG31" s="30">
        <f t="shared" si="25"/>
        <v>20</v>
      </c>
      <c r="AH31" s="35">
        <f t="shared" si="21"/>
        <v>100792.74820686858</v>
      </c>
      <c r="AI31" s="34">
        <v>158454.44185485248</v>
      </c>
      <c r="AJ31" s="38">
        <f t="shared" si="22"/>
        <v>13.491472034938329</v>
      </c>
      <c r="AK31" s="2"/>
      <c r="AL31" s="87">
        <v>40</v>
      </c>
      <c r="AM31" s="88">
        <f t="shared" si="23"/>
        <v>26.982944069876641</v>
      </c>
      <c r="AN31" s="88">
        <f t="shared" si="14"/>
        <v>5.7325629642789293</v>
      </c>
      <c r="AO31" s="89">
        <f t="shared" si="12"/>
        <v>3.9320354208273165</v>
      </c>
      <c r="AP31" s="89">
        <f t="shared" si="13"/>
        <v>21.580073281810588</v>
      </c>
      <c r="AQ31" s="89">
        <f t="shared" si="15"/>
        <v>6.6367421715791952</v>
      </c>
      <c r="AR31" s="58">
        <f t="shared" si="16"/>
        <v>-5.7325629642788885</v>
      </c>
      <c r="AS31" s="32"/>
      <c r="AT31" s="32"/>
      <c r="AU31" s="32"/>
      <c r="AV31" s="32"/>
      <c r="AW31" s="32"/>
      <c r="AX31" s="32"/>
      <c r="AY31" s="32"/>
    </row>
    <row r="32" spans="1:51" ht="15.75" customHeight="1" x14ac:dyDescent="0.25">
      <c r="A32" s="25" t="s">
        <v>44</v>
      </c>
      <c r="B32" s="6">
        <f t="shared" si="26"/>
        <v>0</v>
      </c>
      <c r="C32" s="2" t="s">
        <v>3</v>
      </c>
      <c r="D32" s="2"/>
      <c r="E32" s="16" t="s">
        <v>94</v>
      </c>
      <c r="F32" s="6">
        <f>B52-F31</f>
        <v>58795.769787340003</v>
      </c>
      <c r="G32" s="2" t="s">
        <v>3</v>
      </c>
      <c r="H32" s="2"/>
      <c r="I32" s="16" t="s">
        <v>60</v>
      </c>
      <c r="J32" s="27">
        <f>IF(J24="Yes",SUM(F51:F52),0)</f>
        <v>0</v>
      </c>
      <c r="K32" s="2" t="s">
        <v>49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5"/>
        <v>0</v>
      </c>
      <c r="U32" s="22">
        <f t="shared" si="6"/>
        <v>0</v>
      </c>
      <c r="V32" s="22">
        <f t="shared" si="7"/>
        <v>0</v>
      </c>
      <c r="W32" s="21">
        <f t="shared" si="11"/>
        <v>0</v>
      </c>
      <c r="X32" s="18">
        <f t="shared" si="0"/>
        <v>0</v>
      </c>
      <c r="Y32" s="3"/>
      <c r="Z32" s="6">
        <f t="shared" si="9"/>
        <v>0</v>
      </c>
      <c r="AA32" s="2"/>
      <c r="AB32" s="30">
        <f t="shared" si="24"/>
        <v>30</v>
      </c>
      <c r="AC32" s="33">
        <f t="shared" si="18"/>
        <v>0.34028725314183123</v>
      </c>
      <c r="AD32" s="34">
        <v>145620.6923554086</v>
      </c>
      <c r="AE32" s="38">
        <f t="shared" si="19"/>
        <v>4.2994222232092074</v>
      </c>
      <c r="AF32" s="2"/>
      <c r="AG32" s="30">
        <f t="shared" si="25"/>
        <v>30</v>
      </c>
      <c r="AH32" s="35">
        <f t="shared" si="21"/>
        <v>109192.1438907743</v>
      </c>
      <c r="AI32" s="34">
        <v>167872.69871929067</v>
      </c>
      <c r="AJ32" s="38">
        <f t="shared" si="22"/>
        <v>20.237208052407496</v>
      </c>
      <c r="AK32" s="2"/>
      <c r="AL32" s="87">
        <v>50</v>
      </c>
      <c r="AM32" s="88">
        <f t="shared" si="23"/>
        <v>33.728680087345822</v>
      </c>
      <c r="AN32" s="88">
        <f t="shared" si="14"/>
        <v>7.1657037053486308</v>
      </c>
      <c r="AO32" s="89">
        <f t="shared" si="12"/>
        <v>4.9150442760341404</v>
      </c>
      <c r="AP32" s="89">
        <f t="shared" si="13"/>
        <v>24.672399565775084</v>
      </c>
      <c r="AQ32" s="89">
        <f t="shared" si="15"/>
        <v>8.2959277144739882</v>
      </c>
      <c r="AR32" s="58">
        <f t="shared" si="16"/>
        <v>-7.165703705348589</v>
      </c>
      <c r="AS32" s="32"/>
      <c r="AT32" s="32"/>
      <c r="AU32" s="32"/>
      <c r="AV32" s="32"/>
      <c r="AW32" s="32"/>
      <c r="AX32" s="32"/>
      <c r="AY32" s="32"/>
    </row>
    <row r="33" spans="1:51" ht="15.75" customHeight="1" x14ac:dyDescent="0.25">
      <c r="A33" s="25" t="s">
        <v>50</v>
      </c>
      <c r="B33" s="6">
        <f>IF(B13=0,0,(B13/100)*B49)</f>
        <v>7356.3329032258052</v>
      </c>
      <c r="C33" s="2" t="s">
        <v>3</v>
      </c>
      <c r="D33" s="2"/>
      <c r="E33" s="16" t="s">
        <v>95</v>
      </c>
      <c r="F33" s="24">
        <f>F32*(F22/100)*J21</f>
        <v>20872.498274505702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5"/>
        <v>0</v>
      </c>
      <c r="U33" s="22">
        <f t="shared" si="6"/>
        <v>0</v>
      </c>
      <c r="V33" s="22">
        <f t="shared" si="7"/>
        <v>0</v>
      </c>
      <c r="W33" s="21">
        <f t="shared" si="11"/>
        <v>0</v>
      </c>
      <c r="X33" s="18">
        <f t="shared" si="0"/>
        <v>0</v>
      </c>
      <c r="Y33" s="3"/>
      <c r="Z33" s="6">
        <f t="shared" si="9"/>
        <v>0</v>
      </c>
      <c r="AA33" s="2"/>
      <c r="AB33" s="30">
        <f t="shared" si="24"/>
        <v>40</v>
      </c>
      <c r="AC33" s="33">
        <f t="shared" si="18"/>
        <v>0.36646319569120284</v>
      </c>
      <c r="AD33" s="34">
        <v>147621.6137652194</v>
      </c>
      <c r="AE33" s="38">
        <f t="shared" si="19"/>
        <v>5.7325629642789293</v>
      </c>
      <c r="AF33" s="2"/>
      <c r="AG33" s="30">
        <f t="shared" si="25"/>
        <v>40</v>
      </c>
      <c r="AH33" s="35">
        <f t="shared" si="21"/>
        <v>117591.53957468001</v>
      </c>
      <c r="AI33" s="34">
        <v>177290.95558372882</v>
      </c>
      <c r="AJ33" s="38">
        <f t="shared" si="22"/>
        <v>26.982944069876641</v>
      </c>
      <c r="AK33" s="2"/>
      <c r="AL33" s="31"/>
      <c r="AM33" s="36"/>
      <c r="AN33" s="37"/>
      <c r="AO33" s="39"/>
      <c r="AP33" s="2"/>
      <c r="AQ33" s="32"/>
      <c r="AR33" s="32"/>
      <c r="AS33" s="32"/>
      <c r="AT33" s="32"/>
      <c r="AU33" s="32"/>
      <c r="AV33" s="32"/>
      <c r="AW33" s="32"/>
      <c r="AX33" s="32"/>
      <c r="AY33" s="32"/>
    </row>
    <row r="34" spans="1:51" ht="15.75" customHeight="1" x14ac:dyDescent="0.25">
      <c r="A34" s="25" t="s">
        <v>54</v>
      </c>
      <c r="B34" s="6">
        <f>IF(B14=0,0,(B14/100)*$B$49)</f>
        <v>15325.693548387095</v>
      </c>
      <c r="C34" s="2" t="s">
        <v>3</v>
      </c>
      <c r="D34" s="2"/>
      <c r="E34" s="2"/>
      <c r="F34" s="32"/>
      <c r="G34" s="2"/>
      <c r="H34" s="2"/>
      <c r="I34" s="16" t="s">
        <v>96</v>
      </c>
      <c r="J34" s="6">
        <f>F12*B5</f>
        <v>500000</v>
      </c>
      <c r="K34" s="2" t="s">
        <v>97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5"/>
        <v>0</v>
      </c>
      <c r="U34" s="22">
        <f t="shared" si="6"/>
        <v>0</v>
      </c>
      <c r="V34" s="22">
        <f t="shared" si="7"/>
        <v>0</v>
      </c>
      <c r="W34" s="21">
        <f t="shared" si="11"/>
        <v>0</v>
      </c>
      <c r="X34" s="18">
        <f t="shared" si="0"/>
        <v>0</v>
      </c>
      <c r="Y34" s="3"/>
      <c r="Z34" s="6">
        <f t="shared" si="9"/>
        <v>0</v>
      </c>
      <c r="AA34" s="2"/>
      <c r="AB34" s="30">
        <f t="shared" si="24"/>
        <v>50</v>
      </c>
      <c r="AC34" s="33">
        <f t="shared" si="18"/>
        <v>0.3926391382405745</v>
      </c>
      <c r="AD34" s="34">
        <v>149622.53517503018</v>
      </c>
      <c r="AE34" s="38">
        <f t="shared" si="19"/>
        <v>7.1657037053486308</v>
      </c>
      <c r="AF34" s="2"/>
      <c r="AG34" s="30">
        <f t="shared" si="25"/>
        <v>50</v>
      </c>
      <c r="AH34" s="35">
        <f t="shared" si="21"/>
        <v>125990.93525858573</v>
      </c>
      <c r="AI34" s="34">
        <v>186709.21244816703</v>
      </c>
      <c r="AJ34" s="38">
        <f t="shared" si="22"/>
        <v>33.728680087345822</v>
      </c>
      <c r="AK34" s="2"/>
      <c r="AL34" s="31"/>
      <c r="AM34" s="36"/>
      <c r="AN34" s="37"/>
      <c r="AO34" s="39"/>
      <c r="AP34" s="2"/>
      <c r="AQ34" s="32"/>
      <c r="AR34" s="32"/>
      <c r="AS34" s="32"/>
      <c r="AT34" s="32"/>
      <c r="AU34" s="32"/>
      <c r="AV34" s="32"/>
      <c r="AW34" s="32"/>
      <c r="AX34" s="32"/>
      <c r="AY34" s="32"/>
    </row>
    <row r="35" spans="1:51" ht="15.75" customHeight="1" x14ac:dyDescent="0.25">
      <c r="A35" s="25" t="s">
        <v>63</v>
      </c>
      <c r="B35" s="6">
        <f t="shared" ref="B35:B38" si="27">IF(B16=0,0,(B16/$B$8))</f>
        <v>0</v>
      </c>
      <c r="C35" s="2" t="s">
        <v>3</v>
      </c>
      <c r="D35" s="2"/>
      <c r="E35" s="1" t="s">
        <v>98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5"/>
        <v>0</v>
      </c>
      <c r="U35" s="22">
        <f t="shared" si="6"/>
        <v>0</v>
      </c>
      <c r="V35" s="22">
        <f t="shared" si="7"/>
        <v>0</v>
      </c>
      <c r="W35" s="21">
        <f t="shared" si="11"/>
        <v>0</v>
      </c>
      <c r="X35" s="18">
        <f t="shared" si="0"/>
        <v>0</v>
      </c>
      <c r="Y35" s="3"/>
      <c r="Z35" s="6">
        <f t="shared" si="9"/>
        <v>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5" t="s">
        <v>181</v>
      </c>
      <c r="B36" s="6">
        <f t="shared" si="27"/>
        <v>8.0789946140035909</v>
      </c>
      <c r="C36" s="2" t="s">
        <v>3</v>
      </c>
      <c r="D36" s="2"/>
      <c r="E36" s="16" t="s">
        <v>30</v>
      </c>
      <c r="F36" s="27">
        <f>F13/$B$8</f>
        <v>0.26175942549371634</v>
      </c>
      <c r="G36" s="2" t="s">
        <v>31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5"/>
        <v>0</v>
      </c>
      <c r="U36" s="22">
        <f t="shared" si="6"/>
        <v>0</v>
      </c>
      <c r="V36" s="22">
        <f t="shared" si="7"/>
        <v>0</v>
      </c>
      <c r="W36" s="21">
        <f t="shared" si="11"/>
        <v>0</v>
      </c>
      <c r="X36" s="18">
        <f t="shared" si="0"/>
        <v>0</v>
      </c>
      <c r="Y36" s="3"/>
      <c r="Z36" s="6">
        <f t="shared" si="9"/>
        <v>0</v>
      </c>
      <c r="AA36" s="2"/>
      <c r="AB36" s="29" t="s">
        <v>34</v>
      </c>
      <c r="AC36" s="30"/>
      <c r="AD36" s="30"/>
      <c r="AE36" s="30"/>
      <c r="AF36" s="2"/>
      <c r="AG36" s="29" t="s">
        <v>99</v>
      </c>
      <c r="AH36" s="30"/>
      <c r="AI36" s="30"/>
      <c r="AJ36" s="30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5" t="s">
        <v>182</v>
      </c>
      <c r="B37" s="27">
        <f t="shared" si="27"/>
        <v>0.17953321364452424</v>
      </c>
      <c r="C37" s="2" t="s">
        <v>3</v>
      </c>
      <c r="D37" s="2"/>
      <c r="E37" s="16" t="s">
        <v>100</v>
      </c>
      <c r="F37" s="6">
        <f>(F20/((1-J15%)*J11))/B8</f>
        <v>0</v>
      </c>
      <c r="G37" s="2" t="s">
        <v>31</v>
      </c>
      <c r="H37" s="2"/>
      <c r="I37" s="1" t="s">
        <v>101</v>
      </c>
      <c r="J37" s="49">
        <f>SUM(J38:J41)</f>
        <v>3002.0646319569119</v>
      </c>
      <c r="K37" s="1" t="s">
        <v>49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5"/>
        <v>0</v>
      </c>
      <c r="U37" s="22">
        <f t="shared" si="6"/>
        <v>0</v>
      </c>
      <c r="V37" s="22">
        <f t="shared" si="7"/>
        <v>0</v>
      </c>
      <c r="W37" s="21">
        <f t="shared" si="11"/>
        <v>0</v>
      </c>
      <c r="X37" s="18">
        <f t="shared" si="0"/>
        <v>0</v>
      </c>
      <c r="Y37" s="3"/>
      <c r="Z37" s="6">
        <f t="shared" si="9"/>
        <v>0</v>
      </c>
      <c r="AA37" s="2"/>
      <c r="AB37" s="30" t="s">
        <v>78</v>
      </c>
      <c r="AC37" s="30" t="s">
        <v>102</v>
      </c>
      <c r="AD37" s="30" t="s">
        <v>23</v>
      </c>
      <c r="AE37" s="30" t="s">
        <v>80</v>
      </c>
      <c r="AF37" s="2"/>
      <c r="AG37" s="30" t="s">
        <v>78</v>
      </c>
      <c r="AH37" s="30" t="s">
        <v>103</v>
      </c>
      <c r="AI37" s="30" t="s">
        <v>23</v>
      </c>
      <c r="AJ37" s="30" t="s">
        <v>80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5" t="s">
        <v>72</v>
      </c>
      <c r="B38" s="27">
        <f t="shared" si="27"/>
        <v>0.89766606822262118</v>
      </c>
      <c r="C38" s="2" t="s">
        <v>3</v>
      </c>
      <c r="D38" s="2"/>
      <c r="E38" s="16" t="s">
        <v>104</v>
      </c>
      <c r="F38" s="50">
        <f>F36*J18</f>
        <v>4.9734290843806102E-2</v>
      </c>
      <c r="G38" s="2" t="s">
        <v>4</v>
      </c>
      <c r="H38" s="2"/>
      <c r="I38" s="16" t="s">
        <v>105</v>
      </c>
      <c r="J38" s="27">
        <f>F17/$B$8</f>
        <v>2.0646319569120286</v>
      </c>
      <c r="K38" s="2" t="s">
        <v>49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5"/>
        <v>0</v>
      </c>
      <c r="U38" s="22">
        <f t="shared" si="6"/>
        <v>0</v>
      </c>
      <c r="V38" s="22">
        <f t="shared" si="7"/>
        <v>0</v>
      </c>
      <c r="W38" s="21">
        <f t="shared" si="11"/>
        <v>0</v>
      </c>
      <c r="X38" s="18">
        <f t="shared" si="0"/>
        <v>0</v>
      </c>
      <c r="Y38" s="3"/>
      <c r="Z38" s="6">
        <f t="shared" si="9"/>
        <v>0</v>
      </c>
      <c r="AA38" s="2"/>
      <c r="AB38" s="30" t="s">
        <v>84</v>
      </c>
      <c r="AC38" s="35">
        <v>10206</v>
      </c>
      <c r="AD38" s="34">
        <f>X49</f>
        <v>139617.92812597612</v>
      </c>
      <c r="AE38" s="30"/>
      <c r="AF38" s="2"/>
      <c r="AG38" s="30" t="s">
        <v>84</v>
      </c>
      <c r="AH38" s="35">
        <v>50000</v>
      </c>
      <c r="AI38" s="34">
        <f>X49</f>
        <v>139617.92812597612</v>
      </c>
      <c r="AJ38" s="30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73</v>
      </c>
      <c r="J39" s="27">
        <f>F19/$B$8</f>
        <v>0</v>
      </c>
      <c r="K39" s="2" t="s">
        <v>49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5"/>
        <v>0</v>
      </c>
      <c r="U39" s="22">
        <f t="shared" si="6"/>
        <v>0</v>
      </c>
      <c r="V39" s="22">
        <f t="shared" si="7"/>
        <v>0</v>
      </c>
      <c r="W39" s="21">
        <f t="shared" si="11"/>
        <v>0</v>
      </c>
      <c r="X39" s="18">
        <f t="shared" si="0"/>
        <v>0</v>
      </c>
      <c r="Y39" s="3"/>
      <c r="Z39" s="6">
        <f t="shared" si="9"/>
        <v>0</v>
      </c>
      <c r="AA39" s="2"/>
      <c r="AB39" s="30">
        <f t="shared" ref="AB39:AB43" si="28">AB40-10</f>
        <v>-50</v>
      </c>
      <c r="AC39" s="35">
        <f t="shared" ref="AC39:AC49" si="29">$AC$38*(1+(AB39/100))</f>
        <v>5103</v>
      </c>
      <c r="AD39" s="34">
        <f t="dataTable" ref="AD39:AD49" dt2D="0" dtr="0" r1="B48" ca="1"/>
        <v>132755.64514130287</v>
      </c>
      <c r="AE39" s="38">
        <f>100*((AD39-$AD$44)/$AD$44)</f>
        <v>-4.9150442760341404</v>
      </c>
      <c r="AF39" s="2"/>
      <c r="AG39" s="30">
        <f t="shared" ref="AG39:AG43" si="30">AG40-10</f>
        <v>-50</v>
      </c>
      <c r="AH39" s="35">
        <f t="shared" ref="AH39:AH49" si="31">$AH$38*(1+(AG39/100))</f>
        <v>25000</v>
      </c>
      <c r="AI39" s="34">
        <f t="dataTable" ref="AI39:AI49" dt2D="0" dtr="0" r1="F12" ca="1"/>
        <v>104899.16383956447</v>
      </c>
      <c r="AJ39" s="38">
        <f t="shared" ref="AJ39:AJ49" si="32">100*((AI39-$AI$44)/$AI$44)</f>
        <v>-24.866981448890428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16" t="s">
        <v>106</v>
      </c>
      <c r="F40" s="27">
        <f>F37*F12*J18</f>
        <v>0</v>
      </c>
      <c r="G40" s="2" t="s">
        <v>49</v>
      </c>
      <c r="H40" s="2"/>
      <c r="I40" s="16" t="s">
        <v>64</v>
      </c>
      <c r="J40" s="27">
        <f>F16/$B$8</f>
        <v>0</v>
      </c>
      <c r="K40" s="2" t="s">
        <v>49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5"/>
        <v>0</v>
      </c>
      <c r="U40" s="22">
        <f t="shared" si="6"/>
        <v>0</v>
      </c>
      <c r="V40" s="22">
        <f t="shared" si="7"/>
        <v>0</v>
      </c>
      <c r="W40" s="21">
        <f t="shared" si="11"/>
        <v>0</v>
      </c>
      <c r="X40" s="18">
        <f t="shared" si="0"/>
        <v>0</v>
      </c>
      <c r="Y40" s="3"/>
      <c r="Z40" s="6">
        <f t="shared" si="9"/>
        <v>0</v>
      </c>
      <c r="AA40" s="2"/>
      <c r="AB40" s="30">
        <f t="shared" si="28"/>
        <v>-40</v>
      </c>
      <c r="AC40" s="35">
        <f t="shared" si="29"/>
        <v>6123.5999999999995</v>
      </c>
      <c r="AD40" s="34">
        <v>134128.10173823751</v>
      </c>
      <c r="AE40" s="38">
        <f t="shared" ref="AE40:AE49" si="33">100*((AD40-$AD$29)/$AD$29)</f>
        <v>-3.9320354208273165</v>
      </c>
      <c r="AF40" s="2"/>
      <c r="AG40" s="30">
        <f t="shared" si="30"/>
        <v>-40</v>
      </c>
      <c r="AH40" s="35">
        <f t="shared" si="31"/>
        <v>30000</v>
      </c>
      <c r="AI40" s="34">
        <v>109518.82296376854</v>
      </c>
      <c r="AJ40" s="38">
        <f t="shared" si="32"/>
        <v>-21.558194972675285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16" t="s">
        <v>107</v>
      </c>
      <c r="F41" s="32">
        <f>F38*F12</f>
        <v>2486.7145421903051</v>
      </c>
      <c r="G41" s="26" t="s">
        <v>49</v>
      </c>
      <c r="H41" s="2"/>
      <c r="I41" s="16" t="s">
        <v>48</v>
      </c>
      <c r="J41" s="51">
        <f>F21*F12/$B$8</f>
        <v>3000</v>
      </c>
      <c r="K41" s="2" t="s">
        <v>49</v>
      </c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5"/>
        <v>0</v>
      </c>
      <c r="U41" s="22">
        <f t="shared" si="6"/>
        <v>0</v>
      </c>
      <c r="V41" s="22">
        <f t="shared" si="7"/>
        <v>0</v>
      </c>
      <c r="W41" s="21">
        <f t="shared" si="11"/>
        <v>0</v>
      </c>
      <c r="X41" s="18">
        <f t="shared" si="0"/>
        <v>0</v>
      </c>
      <c r="Y41" s="3"/>
      <c r="Z41" s="6">
        <f t="shared" si="9"/>
        <v>0</v>
      </c>
      <c r="AA41" s="2"/>
      <c r="AB41" s="30">
        <f t="shared" si="28"/>
        <v>-30</v>
      </c>
      <c r="AC41" s="35">
        <f t="shared" si="29"/>
        <v>7144.2</v>
      </c>
      <c r="AD41" s="34">
        <v>135500.55833517219</v>
      </c>
      <c r="AE41" s="38">
        <f t="shared" si="33"/>
        <v>-2.9490265656204717</v>
      </c>
      <c r="AF41" s="2"/>
      <c r="AG41" s="30">
        <f t="shared" si="30"/>
        <v>-30</v>
      </c>
      <c r="AH41" s="35">
        <f t="shared" si="31"/>
        <v>35000</v>
      </c>
      <c r="AI41" s="34">
        <v>119374.92517111871</v>
      </c>
      <c r="AJ41" s="38">
        <f t="shared" si="32"/>
        <v>-14.498856433818666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5"/>
        <v>0</v>
      </c>
      <c r="U42" s="22">
        <f t="shared" si="6"/>
        <v>0</v>
      </c>
      <c r="V42" s="22">
        <f t="shared" si="7"/>
        <v>0</v>
      </c>
      <c r="W42" s="21">
        <f t="shared" si="11"/>
        <v>0</v>
      </c>
      <c r="X42" s="18">
        <f t="shared" si="0"/>
        <v>0</v>
      </c>
      <c r="Y42" s="3"/>
      <c r="Z42" s="6">
        <f t="shared" si="9"/>
        <v>0</v>
      </c>
      <c r="AA42" s="2"/>
      <c r="AB42" s="30">
        <f t="shared" si="28"/>
        <v>-20</v>
      </c>
      <c r="AC42" s="35">
        <f t="shared" si="29"/>
        <v>8164.8</v>
      </c>
      <c r="AD42" s="34">
        <v>136873.0149321068</v>
      </c>
      <c r="AE42" s="38">
        <f t="shared" si="33"/>
        <v>-1.9660177104136687</v>
      </c>
      <c r="AF42" s="2"/>
      <c r="AG42" s="30">
        <f t="shared" si="30"/>
        <v>-20</v>
      </c>
      <c r="AH42" s="35">
        <f t="shared" si="31"/>
        <v>40000</v>
      </c>
      <c r="AI42" s="34">
        <v>124560.74811466552</v>
      </c>
      <c r="AJ42" s="38">
        <f t="shared" si="32"/>
        <v>-10.784560559962349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5"/>
        <v>0</v>
      </c>
      <c r="U43" s="22">
        <f t="shared" si="6"/>
        <v>0</v>
      </c>
      <c r="V43" s="22">
        <f t="shared" si="7"/>
        <v>0</v>
      </c>
      <c r="W43" s="21">
        <f t="shared" si="11"/>
        <v>0</v>
      </c>
      <c r="X43" s="18">
        <f t="shared" si="0"/>
        <v>0</v>
      </c>
      <c r="Y43" s="3"/>
      <c r="Z43" s="6">
        <f t="shared" si="9"/>
        <v>0</v>
      </c>
      <c r="AA43" s="2"/>
      <c r="AB43" s="30">
        <f t="shared" si="28"/>
        <v>-10</v>
      </c>
      <c r="AC43" s="35">
        <f t="shared" si="29"/>
        <v>9185.4</v>
      </c>
      <c r="AD43" s="34">
        <v>138245.47152904148</v>
      </c>
      <c r="AE43" s="38">
        <f t="shared" si="33"/>
        <v>-0.98300885520682391</v>
      </c>
      <c r="AF43" s="2"/>
      <c r="AG43" s="30">
        <f t="shared" si="30"/>
        <v>-10</v>
      </c>
      <c r="AH43" s="35">
        <f t="shared" si="31"/>
        <v>45000</v>
      </c>
      <c r="AI43" s="34">
        <v>128878.19000323175</v>
      </c>
      <c r="AJ43" s="38">
        <f t="shared" si="32"/>
        <v>-7.6922342759978442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3" t="s">
        <v>108</v>
      </c>
      <c r="B44" s="3"/>
      <c r="C44" s="1"/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5"/>
        <v>0</v>
      </c>
      <c r="U44" s="22">
        <f t="shared" si="6"/>
        <v>0</v>
      </c>
      <c r="V44" s="22">
        <f t="shared" si="7"/>
        <v>0</v>
      </c>
      <c r="W44" s="21">
        <f t="shared" si="11"/>
        <v>0</v>
      </c>
      <c r="X44" s="18">
        <f t="shared" si="0"/>
        <v>0</v>
      </c>
      <c r="Y44" s="3"/>
      <c r="Z44" s="6">
        <f t="shared" si="9"/>
        <v>0</v>
      </c>
      <c r="AA44" s="2"/>
      <c r="AB44" s="43">
        <v>0</v>
      </c>
      <c r="AC44" s="47">
        <f t="shared" si="29"/>
        <v>10206</v>
      </c>
      <c r="AD44" s="45">
        <v>139617.92812597612</v>
      </c>
      <c r="AE44" s="46">
        <f t="shared" si="33"/>
        <v>0</v>
      </c>
      <c r="AF44" s="2"/>
      <c r="AG44" s="43">
        <v>0</v>
      </c>
      <c r="AH44" s="47">
        <f t="shared" si="31"/>
        <v>50000</v>
      </c>
      <c r="AI44" s="45">
        <v>139617.92812597612</v>
      </c>
      <c r="AJ44" s="46">
        <f t="shared" si="32"/>
        <v>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16" t="s">
        <v>199</v>
      </c>
      <c r="B45" s="6">
        <f>J8/B8</f>
        <v>42580.645161290318</v>
      </c>
      <c r="C45" s="2" t="s">
        <v>3</v>
      </c>
      <c r="D45" s="2"/>
      <c r="E45" s="1" t="s">
        <v>163</v>
      </c>
      <c r="F45" s="2"/>
      <c r="G45" s="2"/>
      <c r="H45" s="2"/>
      <c r="I45" s="1" t="s">
        <v>109</v>
      </c>
      <c r="J45" s="2"/>
      <c r="K45" s="2"/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5"/>
        <v>0</v>
      </c>
      <c r="U45" s="22">
        <f t="shared" si="6"/>
        <v>0</v>
      </c>
      <c r="V45" s="22">
        <f t="shared" si="7"/>
        <v>0</v>
      </c>
      <c r="W45" s="21">
        <f t="shared" si="11"/>
        <v>0</v>
      </c>
      <c r="X45" s="18">
        <f t="shared" si="0"/>
        <v>0</v>
      </c>
      <c r="Y45" s="3"/>
      <c r="Z45" s="6">
        <f t="shared" si="9"/>
        <v>0</v>
      </c>
      <c r="AA45" s="2"/>
      <c r="AB45" s="30">
        <f t="shared" ref="AB45:AB49" si="34">AB44+10</f>
        <v>10</v>
      </c>
      <c r="AC45" s="35">
        <f t="shared" si="29"/>
        <v>11226.6</v>
      </c>
      <c r="AD45" s="34">
        <v>140990.38472291076</v>
      </c>
      <c r="AE45" s="38">
        <f t="shared" si="33"/>
        <v>0.98300885520682391</v>
      </c>
      <c r="AF45" s="2"/>
      <c r="AG45" s="30">
        <f t="shared" ref="AG45:AG49" si="35">AG44+10</f>
        <v>10</v>
      </c>
      <c r="AH45" s="35">
        <f t="shared" si="31"/>
        <v>55000.000000000007</v>
      </c>
      <c r="AI45" s="34">
        <v>143935.37001454239</v>
      </c>
      <c r="AJ45" s="38">
        <f t="shared" si="32"/>
        <v>3.0923262839645362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16" t="s">
        <v>110</v>
      </c>
      <c r="B46" s="6">
        <f>IF(J24="No",J10*J11,0)</f>
        <v>8505</v>
      </c>
      <c r="C46" s="2" t="s">
        <v>3</v>
      </c>
      <c r="D46" s="2"/>
      <c r="E46" s="16" t="s">
        <v>164</v>
      </c>
      <c r="F46" s="68">
        <f>((1+(B15/100))*J10*J11)*(1+(B13%+B14%))</f>
        <v>13982.220000000001</v>
      </c>
      <c r="G46" s="2" t="s">
        <v>3</v>
      </c>
      <c r="H46" s="2"/>
      <c r="I46" s="16" t="s">
        <v>111</v>
      </c>
      <c r="J46" s="20">
        <f>F18*J9*F23%/$B$8</f>
        <v>9.6818671454219025</v>
      </c>
      <c r="K46" s="2" t="s">
        <v>49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5"/>
        <v>0</v>
      </c>
      <c r="U46" s="22">
        <f t="shared" si="6"/>
        <v>0</v>
      </c>
      <c r="V46" s="22">
        <f t="shared" si="7"/>
        <v>0</v>
      </c>
      <c r="W46" s="21">
        <f t="shared" si="11"/>
        <v>0</v>
      </c>
      <c r="X46" s="18">
        <f t="shared" si="0"/>
        <v>0</v>
      </c>
      <c r="Y46" s="3"/>
      <c r="Z46" s="6">
        <f t="shared" si="9"/>
        <v>0</v>
      </c>
      <c r="AA46" s="2"/>
      <c r="AB46" s="30">
        <f t="shared" si="34"/>
        <v>20</v>
      </c>
      <c r="AC46" s="35">
        <f t="shared" si="29"/>
        <v>12247.199999999999</v>
      </c>
      <c r="AD46" s="34">
        <v>142362.84131984541</v>
      </c>
      <c r="AE46" s="38">
        <f t="shared" si="33"/>
        <v>1.9660177104136478</v>
      </c>
      <c r="AF46" s="2"/>
      <c r="AG46" s="30">
        <f t="shared" si="35"/>
        <v>20</v>
      </c>
      <c r="AH46" s="35">
        <f t="shared" si="31"/>
        <v>60000</v>
      </c>
      <c r="AI46" s="34">
        <v>148252.81190310864</v>
      </c>
      <c r="AJ46" s="38">
        <f t="shared" si="32"/>
        <v>6.184652567929052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5" t="s">
        <v>112</v>
      </c>
      <c r="B47" s="24">
        <f>(1+(B15/100))*B45</f>
        <v>51096.774193548379</v>
      </c>
      <c r="C47" s="2" t="s">
        <v>3</v>
      </c>
      <c r="D47" s="2"/>
      <c r="E47" s="2" t="s">
        <v>165</v>
      </c>
      <c r="F47" s="68">
        <f>((J22%)*F46)+(((1-J22%)*F46)*(1+(F22%*J21)))</f>
        <v>17456.801670000001</v>
      </c>
      <c r="G47" s="2" t="s">
        <v>3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5"/>
        <v>0</v>
      </c>
      <c r="U47" s="22">
        <f t="shared" si="6"/>
        <v>0</v>
      </c>
      <c r="V47" s="22">
        <f t="shared" si="7"/>
        <v>0</v>
      </c>
      <c r="W47" s="21">
        <f t="shared" si="11"/>
        <v>0</v>
      </c>
      <c r="X47" s="18">
        <f t="shared" si="0"/>
        <v>0</v>
      </c>
      <c r="Y47" s="3"/>
      <c r="Z47" s="6">
        <f t="shared" si="9"/>
        <v>0</v>
      </c>
      <c r="AA47" s="2"/>
      <c r="AB47" s="30">
        <f t="shared" si="34"/>
        <v>30</v>
      </c>
      <c r="AC47" s="35">
        <f t="shared" si="29"/>
        <v>13267.800000000001</v>
      </c>
      <c r="AD47" s="34">
        <v>143735.29791678008</v>
      </c>
      <c r="AE47" s="38">
        <f t="shared" si="33"/>
        <v>2.9490265656204926</v>
      </c>
      <c r="AF47" s="2"/>
      <c r="AG47" s="30">
        <f t="shared" si="35"/>
        <v>30</v>
      </c>
      <c r="AH47" s="35">
        <f t="shared" si="31"/>
        <v>65000</v>
      </c>
      <c r="AI47" s="34">
        <v>165430.13744154118</v>
      </c>
      <c r="AJ47" s="38">
        <f t="shared" si="32"/>
        <v>18.487746997846095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52" t="s">
        <v>113</v>
      </c>
      <c r="B48" s="53">
        <f>(1+(B15/100))*B46</f>
        <v>10206</v>
      </c>
      <c r="C48" s="26" t="s">
        <v>3</v>
      </c>
      <c r="D48" s="2"/>
      <c r="E48" s="2" t="s">
        <v>93</v>
      </c>
      <c r="F48" s="68">
        <f>J13*J12</f>
        <v>180000</v>
      </c>
      <c r="G48" s="2" t="s">
        <v>97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5"/>
        <v>0</v>
      </c>
      <c r="U48" s="22">
        <f t="shared" si="6"/>
        <v>0</v>
      </c>
      <c r="V48" s="22">
        <f t="shared" si="7"/>
        <v>0</v>
      </c>
      <c r="W48" s="21">
        <f t="shared" si="11"/>
        <v>0</v>
      </c>
      <c r="X48" s="18">
        <f t="shared" si="0"/>
        <v>0</v>
      </c>
      <c r="Y48" s="3"/>
      <c r="Z48" s="6">
        <f t="shared" si="9"/>
        <v>0</v>
      </c>
      <c r="AA48" s="2"/>
      <c r="AB48" s="30">
        <f t="shared" si="34"/>
        <v>40</v>
      </c>
      <c r="AC48" s="35">
        <f t="shared" si="29"/>
        <v>14288.4</v>
      </c>
      <c r="AD48" s="34">
        <v>145107.75451371472</v>
      </c>
      <c r="AE48" s="38">
        <f t="shared" si="33"/>
        <v>3.9320354208273165</v>
      </c>
      <c r="AF48" s="2"/>
      <c r="AG48" s="30">
        <f t="shared" si="35"/>
        <v>40</v>
      </c>
      <c r="AH48" s="35">
        <f t="shared" si="31"/>
        <v>70000</v>
      </c>
      <c r="AI48" s="34">
        <v>169747.5793301074</v>
      </c>
      <c r="AJ48" s="38">
        <f t="shared" si="32"/>
        <v>21.580073281810588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 t="s">
        <v>114</v>
      </c>
      <c r="B49" s="24">
        <f>B47+B48</f>
        <v>61302.774193548379</v>
      </c>
      <c r="C49" s="2" t="s">
        <v>3</v>
      </c>
      <c r="D49" s="2"/>
      <c r="E49" s="2" t="s">
        <v>166</v>
      </c>
      <c r="F49" s="69">
        <f>(F47/F48)*J25</f>
        <v>0.12607690095000001</v>
      </c>
      <c r="G49" s="2" t="s">
        <v>4</v>
      </c>
      <c r="H49" s="2"/>
      <c r="I49" s="2"/>
      <c r="J49" s="2"/>
      <c r="K49" s="2"/>
      <c r="L49" s="15"/>
      <c r="M49" s="2"/>
      <c r="N49" s="12" t="s">
        <v>115</v>
      </c>
      <c r="O49" s="18">
        <f t="shared" ref="O49:X49" si="36">SUM(O8:O48)</f>
        <v>25198.187051717145</v>
      </c>
      <c r="P49" s="18">
        <f t="shared" si="36"/>
        <v>68984.381592664678</v>
      </c>
      <c r="Q49" s="18">
        <f t="shared" si="36"/>
        <v>20009.214098108088</v>
      </c>
      <c r="R49" s="18">
        <f t="shared" si="36"/>
        <v>0</v>
      </c>
      <c r="S49" s="18">
        <f t="shared" si="36"/>
        <v>23181.147328252035</v>
      </c>
      <c r="T49" s="18">
        <f t="shared" si="36"/>
        <v>74.760811716531151</v>
      </c>
      <c r="U49" s="18">
        <f t="shared" si="36"/>
        <v>19175.899556337088</v>
      </c>
      <c r="V49" s="18">
        <f t="shared" si="36"/>
        <v>0</v>
      </c>
      <c r="W49" s="18">
        <f t="shared" si="36"/>
        <v>-17005.66231281943</v>
      </c>
      <c r="X49" s="18">
        <f t="shared" si="36"/>
        <v>139617.92812597612</v>
      </c>
      <c r="Y49" s="3"/>
      <c r="Z49" s="3"/>
      <c r="AA49" s="2"/>
      <c r="AB49" s="30">
        <f t="shared" si="34"/>
        <v>50</v>
      </c>
      <c r="AC49" s="35">
        <f t="shared" si="29"/>
        <v>15309</v>
      </c>
      <c r="AD49" s="34">
        <v>146480.21111064937</v>
      </c>
      <c r="AE49" s="38">
        <f t="shared" si="33"/>
        <v>4.9150442760341404</v>
      </c>
      <c r="AF49" s="2"/>
      <c r="AG49" s="30">
        <f t="shared" si="35"/>
        <v>50</v>
      </c>
      <c r="AH49" s="35">
        <f t="shared" si="31"/>
        <v>75000</v>
      </c>
      <c r="AI49" s="34">
        <v>174065.02121867362</v>
      </c>
      <c r="AJ49" s="38">
        <f t="shared" si="32"/>
        <v>24.672399565775084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5" t="s">
        <v>116</v>
      </c>
      <c r="B50" s="6">
        <f>SUM(B33:B38)+SUM(B49)</f>
        <v>83993.956839057151</v>
      </c>
      <c r="C50" s="2" t="s">
        <v>3</v>
      </c>
      <c r="D50" s="2"/>
      <c r="E50" s="2" t="s">
        <v>167</v>
      </c>
      <c r="F50" s="6">
        <f>J26*365</f>
        <v>36500</v>
      </c>
      <c r="G50" s="2" t="s">
        <v>43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SUM(S49:T49)</f>
        <v>23255.908139968567</v>
      </c>
      <c r="T50" s="2"/>
      <c r="U50" s="2"/>
      <c r="V50" s="2"/>
      <c r="W50" s="2"/>
      <c r="X50" s="24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5" t="s">
        <v>173</v>
      </c>
      <c r="B51" s="6">
        <f>SUM(B31:B32)</f>
        <v>0</v>
      </c>
      <c r="C51" s="2" t="s">
        <v>3</v>
      </c>
      <c r="D51" s="2"/>
      <c r="E51" s="2" t="s">
        <v>168</v>
      </c>
      <c r="F51" s="5">
        <f>F49*F50</f>
        <v>4601.8068846750002</v>
      </c>
      <c r="G51" s="70" t="s">
        <v>49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9" t="s">
        <v>48</v>
      </c>
      <c r="AC51" s="30"/>
      <c r="AD51" s="30"/>
      <c r="AE51" s="30"/>
      <c r="AF51" s="2"/>
      <c r="AG51" s="29" t="s">
        <v>161</v>
      </c>
      <c r="AH51" s="30"/>
      <c r="AI51" s="30"/>
      <c r="AJ51" s="30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5" t="s">
        <v>174</v>
      </c>
      <c r="B52" s="6">
        <f>B50-B51</f>
        <v>83993.956839057151</v>
      </c>
      <c r="C52" s="2" t="s">
        <v>3</v>
      </c>
      <c r="D52" s="2"/>
      <c r="E52" s="2" t="s">
        <v>169</v>
      </c>
      <c r="F52" s="71">
        <f>IF(F12&gt;F50,(F12-F50)*F49,0)</f>
        <v>1702.0381628250002</v>
      </c>
      <c r="G52" s="70" t="s">
        <v>49</v>
      </c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0" t="s">
        <v>78</v>
      </c>
      <c r="AC52" s="30" t="s">
        <v>117</v>
      </c>
      <c r="AD52" s="30" t="s">
        <v>23</v>
      </c>
      <c r="AE52" s="30" t="s">
        <v>80</v>
      </c>
      <c r="AF52" s="2"/>
      <c r="AG52" s="30" t="s">
        <v>78</v>
      </c>
      <c r="AH52" s="30" t="s">
        <v>170</v>
      </c>
      <c r="AI52" s="30" t="s">
        <v>23</v>
      </c>
      <c r="AJ52" s="30" t="s">
        <v>80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0" t="s">
        <v>84</v>
      </c>
      <c r="AC53" s="35">
        <v>3000</v>
      </c>
      <c r="AD53" s="34">
        <f>X49</f>
        <v>139617.92812597612</v>
      </c>
      <c r="AE53" s="30"/>
      <c r="AF53" s="2"/>
      <c r="AG53" s="30" t="s">
        <v>84</v>
      </c>
      <c r="AH53" s="35">
        <v>100</v>
      </c>
      <c r="AI53" s="34">
        <f>X49</f>
        <v>139617.92812597612</v>
      </c>
      <c r="AJ53" s="30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4"/>
      <c r="O54" s="55" t="s">
        <v>118</v>
      </c>
      <c r="P54" s="56" t="str">
        <f>B1</f>
        <v>Philippines</v>
      </c>
      <c r="Q54" s="54"/>
      <c r="R54" s="54"/>
      <c r="S54" s="54"/>
      <c r="T54" s="54"/>
      <c r="U54" s="54"/>
      <c r="V54" s="57"/>
      <c r="W54" s="2"/>
      <c r="X54" s="32"/>
      <c r="Y54" s="32"/>
      <c r="Z54" s="57"/>
      <c r="AA54" s="32"/>
      <c r="AB54" s="30">
        <f t="shared" ref="AB54:AB58" si="37">AB55-10</f>
        <v>-50</v>
      </c>
      <c r="AC54" s="35">
        <f t="shared" ref="AC54:AC64" si="38">$AC$53*(1+(AB54/100))</f>
        <v>1500</v>
      </c>
      <c r="AD54" s="34">
        <f t="dataTable" ref="AD54:AD64" dt2D="0" dtr="0" r1="J41" ca="1"/>
        <v>128035.32573219892</v>
      </c>
      <c r="AE54" s="38">
        <f t="shared" ref="AE54:AE64" si="39">100*((AD54-$AI$29)/$AI$29)</f>
        <v>-8.2959277144739669</v>
      </c>
      <c r="AF54" s="2"/>
      <c r="AG54" s="30">
        <f t="shared" ref="AG54:AG56" si="40">AG55-20</f>
        <v>-100</v>
      </c>
      <c r="AH54" s="35">
        <f>$AH$53*(1+(AG54/100))</f>
        <v>0</v>
      </c>
      <c r="AI54" s="34">
        <f t="dataTable" ref="AI54:AI64" dt2D="0" dtr="0" r1="J26" ca="1"/>
        <v>139617.92812597612</v>
      </c>
      <c r="AJ54" s="38">
        <f>100*((AI54-$AI$59)/$AI$59)</f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24">
        <f>SUM(O49:P49)</f>
        <v>94182.568644381827</v>
      </c>
      <c r="Q55" s="2" t="s">
        <v>3</v>
      </c>
      <c r="R55" s="50">
        <f t="shared" ref="R55:R59" si="41">P55/$J$34</f>
        <v>0.18836513728876364</v>
      </c>
      <c r="S55" s="2" t="s">
        <v>4</v>
      </c>
      <c r="T55" s="2"/>
      <c r="U55" s="2"/>
      <c r="V55" s="57"/>
      <c r="W55" s="2"/>
      <c r="X55" s="32"/>
      <c r="Y55" s="32"/>
      <c r="Z55" s="57"/>
      <c r="AA55" s="32"/>
      <c r="AB55" s="30">
        <f t="shared" si="37"/>
        <v>-40</v>
      </c>
      <c r="AC55" s="35">
        <f t="shared" si="38"/>
        <v>1800</v>
      </c>
      <c r="AD55" s="34">
        <v>130351.84621095436</v>
      </c>
      <c r="AE55" s="38">
        <f t="shared" si="39"/>
        <v>-6.6367421715791739</v>
      </c>
      <c r="AF55" s="2"/>
      <c r="AG55" s="30">
        <f t="shared" si="40"/>
        <v>-80</v>
      </c>
      <c r="AH55" s="35">
        <f t="shared" ref="AH55:AH64" si="42">$AH$53*(1+(AG55/100))</f>
        <v>19.999999999999996</v>
      </c>
      <c r="AI55" s="34">
        <v>139617.92812597612</v>
      </c>
      <c r="AJ55" s="38">
        <f t="shared" ref="AJ55:AJ64" si="43">100*((AI55-$AI$59)/$AI$59)</f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98</v>
      </c>
      <c r="P56" s="24">
        <f>SUM(Q49:R49)</f>
        <v>20009.214098108088</v>
      </c>
      <c r="Q56" s="2" t="s">
        <v>3</v>
      </c>
      <c r="R56" s="50">
        <f t="shared" si="41"/>
        <v>4.0018428196216177E-2</v>
      </c>
      <c r="S56" s="2" t="s">
        <v>4</v>
      </c>
      <c r="T56" s="2"/>
      <c r="U56" s="2"/>
      <c r="V56" s="57"/>
      <c r="W56" s="2"/>
      <c r="X56" s="32"/>
      <c r="Y56" s="32"/>
      <c r="Z56" s="57"/>
      <c r="AA56" s="32"/>
      <c r="AB56" s="30">
        <f t="shared" si="37"/>
        <v>-30</v>
      </c>
      <c r="AC56" s="35">
        <f t="shared" si="38"/>
        <v>2100</v>
      </c>
      <c r="AD56" s="34">
        <v>132668.36668970977</v>
      </c>
      <c r="AE56" s="38">
        <f t="shared" si="39"/>
        <v>-4.9775566286844013</v>
      </c>
      <c r="AF56" s="2"/>
      <c r="AG56" s="30">
        <f t="shared" si="40"/>
        <v>-60</v>
      </c>
      <c r="AH56" s="35">
        <f t="shared" si="42"/>
        <v>40</v>
      </c>
      <c r="AI56" s="34">
        <v>139617.92812597612</v>
      </c>
      <c r="AJ56" s="38">
        <f t="shared" si="43"/>
        <v>0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120</v>
      </c>
      <c r="P57" s="24">
        <f>SUM(S49:T49)</f>
        <v>23255.908139968567</v>
      </c>
      <c r="Q57" s="2" t="s">
        <v>3</v>
      </c>
      <c r="R57" s="50">
        <f t="shared" si="41"/>
        <v>4.6511816279937133E-2</v>
      </c>
      <c r="S57" s="2" t="s">
        <v>4</v>
      </c>
      <c r="T57" s="2"/>
      <c r="U57" s="2"/>
      <c r="V57" s="57"/>
      <c r="W57" s="2"/>
      <c r="X57" s="32"/>
      <c r="Y57" s="32"/>
      <c r="Z57" s="57"/>
      <c r="AA57" s="32"/>
      <c r="AB57" s="30">
        <f t="shared" si="37"/>
        <v>-20</v>
      </c>
      <c r="AC57" s="35">
        <f t="shared" si="38"/>
        <v>2400</v>
      </c>
      <c r="AD57" s="34">
        <v>134984.88716846524</v>
      </c>
      <c r="AE57" s="38">
        <f t="shared" si="39"/>
        <v>-3.3183710857895869</v>
      </c>
      <c r="AF57" s="2"/>
      <c r="AG57" s="30">
        <f>AG58-20</f>
        <v>-40</v>
      </c>
      <c r="AH57" s="35">
        <f t="shared" si="42"/>
        <v>60</v>
      </c>
      <c r="AI57" s="34">
        <v>139617.92812597612</v>
      </c>
      <c r="AJ57" s="38">
        <f t="shared" si="43"/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121</v>
      </c>
      <c r="P58" s="24">
        <f>SUM(U49:V49)</f>
        <v>19175.899556337088</v>
      </c>
      <c r="Q58" s="2" t="s">
        <v>3</v>
      </c>
      <c r="R58" s="50">
        <f t="shared" si="41"/>
        <v>3.8351799112674174E-2</v>
      </c>
      <c r="S58" s="2" t="s">
        <v>4</v>
      </c>
      <c r="T58" s="2"/>
      <c r="U58" s="2"/>
      <c r="V58" s="57"/>
      <c r="W58" s="2"/>
      <c r="X58" s="32"/>
      <c r="Y58" s="32"/>
      <c r="Z58" s="57"/>
      <c r="AA58" s="32"/>
      <c r="AB58" s="30">
        <f t="shared" si="37"/>
        <v>-10</v>
      </c>
      <c r="AC58" s="35">
        <f t="shared" si="38"/>
        <v>2700</v>
      </c>
      <c r="AD58" s="34">
        <v>137301.40764722068</v>
      </c>
      <c r="AE58" s="38">
        <f t="shared" si="39"/>
        <v>-1.6591855428947935</v>
      </c>
      <c r="AF58" s="2"/>
      <c r="AG58" s="30">
        <f>AG59-20</f>
        <v>-20</v>
      </c>
      <c r="AH58" s="35">
        <f t="shared" si="42"/>
        <v>80</v>
      </c>
      <c r="AI58" s="34">
        <v>139617.92812597612</v>
      </c>
      <c r="AJ58" s="38">
        <f t="shared" si="43"/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122</v>
      </c>
      <c r="P59" s="24">
        <f>W49</f>
        <v>-17005.66231281943</v>
      </c>
      <c r="Q59" s="2" t="s">
        <v>3</v>
      </c>
      <c r="R59" s="50">
        <f t="shared" si="41"/>
        <v>-3.4011324625638863E-2</v>
      </c>
      <c r="S59" s="2" t="s">
        <v>4</v>
      </c>
      <c r="T59" s="2"/>
      <c r="U59" s="2"/>
      <c r="V59" s="57"/>
      <c r="W59" s="2"/>
      <c r="X59" s="32"/>
      <c r="Y59" s="32"/>
      <c r="Z59" s="57"/>
      <c r="AA59" s="32"/>
      <c r="AB59" s="43">
        <v>0</v>
      </c>
      <c r="AC59" s="47">
        <f t="shared" si="38"/>
        <v>3000</v>
      </c>
      <c r="AD59" s="45">
        <v>139617.92812597612</v>
      </c>
      <c r="AE59" s="46">
        <f t="shared" si="39"/>
        <v>0</v>
      </c>
      <c r="AF59" s="2"/>
      <c r="AG59" s="43">
        <v>0</v>
      </c>
      <c r="AH59" s="72">
        <f t="shared" si="42"/>
        <v>100</v>
      </c>
      <c r="AI59" s="45">
        <v>139617.92812597612</v>
      </c>
      <c r="AJ59" s="73">
        <f t="shared" si="43"/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139617.92812597615</v>
      </c>
      <c r="Q60" s="1" t="s">
        <v>3</v>
      </c>
      <c r="R60" s="51">
        <f>SUM(R55:R59)</f>
        <v>0.27923585625195224</v>
      </c>
      <c r="S60" s="1" t="s">
        <v>4</v>
      </c>
      <c r="T60" s="1"/>
      <c r="U60" s="2"/>
      <c r="V60" s="57"/>
      <c r="W60" s="2"/>
      <c r="X60" s="32"/>
      <c r="Y60" s="32"/>
      <c r="Z60" s="57"/>
      <c r="AA60" s="32"/>
      <c r="AB60" s="30">
        <f t="shared" ref="AB60:AB64" si="44">AB59+10</f>
        <v>10</v>
      </c>
      <c r="AC60" s="35">
        <f t="shared" si="38"/>
        <v>3300.0000000000005</v>
      </c>
      <c r="AD60" s="34">
        <v>141934.44860473159</v>
      </c>
      <c r="AE60" s="38">
        <f t="shared" si="39"/>
        <v>1.6591855428948143</v>
      </c>
      <c r="AF60" s="2"/>
      <c r="AG60" s="30">
        <f>AG59+20</f>
        <v>20</v>
      </c>
      <c r="AH60" s="35">
        <f t="shared" si="42"/>
        <v>120</v>
      </c>
      <c r="AI60" s="34">
        <v>139617.92812597612</v>
      </c>
      <c r="AJ60" s="38">
        <f t="shared" si="43"/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7"/>
      <c r="W61" s="2"/>
      <c r="X61" s="32"/>
      <c r="Y61" s="32"/>
      <c r="Z61" s="57"/>
      <c r="AA61" s="32"/>
      <c r="AB61" s="30">
        <f t="shared" si="44"/>
        <v>20</v>
      </c>
      <c r="AC61" s="35">
        <f t="shared" si="38"/>
        <v>3600</v>
      </c>
      <c r="AD61" s="34">
        <v>144250.96908348703</v>
      </c>
      <c r="AE61" s="38">
        <f t="shared" si="39"/>
        <v>3.3183710857896078</v>
      </c>
      <c r="AF61" s="2"/>
      <c r="AG61" s="30">
        <f t="shared" ref="AG61:AG64" si="45">AG60+20</f>
        <v>40</v>
      </c>
      <c r="AH61" s="35">
        <f t="shared" si="42"/>
        <v>140</v>
      </c>
      <c r="AI61" s="34">
        <v>139617.92812597612</v>
      </c>
      <c r="AJ61" s="38">
        <f t="shared" si="43"/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7"/>
      <c r="W62" s="2"/>
      <c r="X62" s="32"/>
      <c r="Y62" s="32"/>
      <c r="Z62" s="57"/>
      <c r="AA62" s="32"/>
      <c r="AB62" s="30">
        <f t="shared" si="44"/>
        <v>30</v>
      </c>
      <c r="AC62" s="35">
        <f t="shared" si="38"/>
        <v>3900</v>
      </c>
      <c r="AD62" s="34">
        <v>146567.48956224244</v>
      </c>
      <c r="AE62" s="38">
        <f t="shared" si="39"/>
        <v>4.9775566286843809</v>
      </c>
      <c r="AF62" s="2"/>
      <c r="AG62" s="30">
        <f t="shared" si="45"/>
        <v>60</v>
      </c>
      <c r="AH62" s="35">
        <f t="shared" si="42"/>
        <v>160</v>
      </c>
      <c r="AI62" s="34">
        <v>139617.92812597612</v>
      </c>
      <c r="AJ62" s="38">
        <f t="shared" si="43"/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7"/>
      <c r="W63" s="2"/>
      <c r="X63" s="32"/>
      <c r="Y63" s="32"/>
      <c r="Z63" s="57"/>
      <c r="AA63" s="32"/>
      <c r="AB63" s="30">
        <f t="shared" si="44"/>
        <v>40</v>
      </c>
      <c r="AC63" s="35">
        <f t="shared" si="38"/>
        <v>4200</v>
      </c>
      <c r="AD63" s="34">
        <v>148884.01004099791</v>
      </c>
      <c r="AE63" s="38">
        <f t="shared" si="39"/>
        <v>6.6367421715791952</v>
      </c>
      <c r="AF63" s="2"/>
      <c r="AG63" s="30">
        <f t="shared" si="45"/>
        <v>80</v>
      </c>
      <c r="AH63" s="35">
        <f t="shared" si="42"/>
        <v>180</v>
      </c>
      <c r="AI63" s="34">
        <v>139617.92812597612</v>
      </c>
      <c r="AJ63" s="38">
        <f t="shared" si="43"/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7"/>
      <c r="W64" s="2"/>
      <c r="X64" s="32"/>
      <c r="Y64" s="32"/>
      <c r="Z64" s="57"/>
      <c r="AA64" s="32"/>
      <c r="AB64" s="30">
        <f t="shared" si="44"/>
        <v>50</v>
      </c>
      <c r="AC64" s="35">
        <f t="shared" si="38"/>
        <v>4500</v>
      </c>
      <c r="AD64" s="34">
        <v>151200.53051975335</v>
      </c>
      <c r="AE64" s="38">
        <f t="shared" si="39"/>
        <v>8.2959277144739882</v>
      </c>
      <c r="AF64" s="2"/>
      <c r="AG64" s="30">
        <f t="shared" si="45"/>
        <v>100</v>
      </c>
      <c r="AH64" s="35">
        <f t="shared" si="42"/>
        <v>200</v>
      </c>
      <c r="AI64" s="34">
        <v>139617.92812597612</v>
      </c>
      <c r="AJ64" s="38">
        <f t="shared" si="43"/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7"/>
      <c r="W65" s="2"/>
      <c r="X65" s="32"/>
      <c r="Y65" s="32"/>
      <c r="Z65" s="57"/>
      <c r="AA65" s="32"/>
      <c r="AB65" s="2"/>
      <c r="AC65" s="2"/>
      <c r="AD65" s="2"/>
      <c r="AE65" s="2"/>
      <c r="AF65" s="2"/>
      <c r="AG65" s="2"/>
      <c r="AH65" s="20"/>
      <c r="AI65" s="6"/>
      <c r="AJ65" s="5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7"/>
      <c r="W66" s="2"/>
      <c r="X66" s="32"/>
      <c r="Y66" s="32"/>
      <c r="Z66" s="57"/>
      <c r="AA66" s="32"/>
      <c r="AB66" s="29" t="s">
        <v>198</v>
      </c>
      <c r="AC66" s="30"/>
      <c r="AD66" s="30"/>
      <c r="AE66" s="30"/>
      <c r="AF66" s="2"/>
      <c r="AG66" s="2"/>
      <c r="AH66" s="20"/>
      <c r="AI66" s="6"/>
      <c r="AJ66" s="5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7"/>
      <c r="W67" s="2"/>
      <c r="X67" s="32"/>
      <c r="Y67" s="32"/>
      <c r="Z67" s="57"/>
      <c r="AA67" s="32"/>
      <c r="AB67" s="30" t="s">
        <v>78</v>
      </c>
      <c r="AC67" s="30" t="s">
        <v>198</v>
      </c>
      <c r="AD67" s="30" t="s">
        <v>23</v>
      </c>
      <c r="AE67" s="30" t="s">
        <v>80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7"/>
      <c r="W68" s="2"/>
      <c r="X68" s="32"/>
      <c r="Y68" s="32"/>
      <c r="Z68" s="57"/>
      <c r="AA68" s="32"/>
      <c r="AB68" s="30" t="s">
        <v>84</v>
      </c>
      <c r="AC68" s="33">
        <v>0.19</v>
      </c>
      <c r="AD68" s="34">
        <f>X49</f>
        <v>139617.92812597612</v>
      </c>
      <c r="AE68" s="30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59"/>
      <c r="Y69" s="59"/>
      <c r="Z69" s="2"/>
      <c r="AA69" s="59"/>
      <c r="AB69" s="30">
        <f t="shared" ref="AB69:AB73" si="46">AB70-10</f>
        <v>-50</v>
      </c>
      <c r="AC69" s="33">
        <f>$AC$68*(1+(-AB69/100))</f>
        <v>0.28500000000000003</v>
      </c>
      <c r="AD69" s="34">
        <f t="dataTable" ref="AD69:AD79" dt2D="0" dtr="0" r1="J18"/>
        <v>149622.53517503018</v>
      </c>
      <c r="AE69" s="38">
        <f>100*((AD69-$AD$74)/$AD$74)</f>
        <v>7.1657037053486308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0">
        <f t="shared" si="46"/>
        <v>-40</v>
      </c>
      <c r="AC70" s="33">
        <f t="shared" ref="AC70:AC79" si="47">$AC$68*(1+(-AB70/100))</f>
        <v>0.26599999999999996</v>
      </c>
      <c r="AD70" s="34">
        <v>147621.6137652194</v>
      </c>
      <c r="AE70" s="38">
        <f t="shared" ref="AE70:AE79" si="48">100*((AD70-$AD$74)/$AD$74)</f>
        <v>5.7325629642789293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0">
        <f t="shared" si="46"/>
        <v>-30</v>
      </c>
      <c r="AC71" s="33">
        <f t="shared" si="47"/>
        <v>0.24700000000000003</v>
      </c>
      <c r="AD71" s="34">
        <v>145620.6923554086</v>
      </c>
      <c r="AE71" s="38">
        <f t="shared" si="48"/>
        <v>4.2994222232092074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0">
        <f t="shared" si="46"/>
        <v>-20</v>
      </c>
      <c r="AC72" s="33">
        <f t="shared" si="47"/>
        <v>0.22799999999999998</v>
      </c>
      <c r="AD72" s="34">
        <v>143619.77094559776</v>
      </c>
      <c r="AE72" s="38">
        <f t="shared" si="48"/>
        <v>2.8662814821394647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0">
        <f t="shared" si="46"/>
        <v>-10</v>
      </c>
      <c r="AC73" s="33">
        <f t="shared" si="47"/>
        <v>0.20900000000000002</v>
      </c>
      <c r="AD73" s="34">
        <v>141618.84953578695</v>
      </c>
      <c r="AE73" s="38">
        <f t="shared" si="48"/>
        <v>1.4331407410697428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43">
        <v>0</v>
      </c>
      <c r="AC74" s="90">
        <f t="shared" si="47"/>
        <v>0.19</v>
      </c>
      <c r="AD74" s="45">
        <v>139617.92812597612</v>
      </c>
      <c r="AE74" s="73">
        <f t="shared" si="48"/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0">
        <f t="shared" ref="AB75:AB79" si="49">AB74+10</f>
        <v>10</v>
      </c>
      <c r="AC75" s="33">
        <f t="shared" si="47"/>
        <v>0.17100000000000001</v>
      </c>
      <c r="AD75" s="34">
        <v>137617.00671616534</v>
      </c>
      <c r="AE75" s="38">
        <f t="shared" si="48"/>
        <v>-1.4331407410697012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0">
        <f t="shared" si="49"/>
        <v>20</v>
      </c>
      <c r="AC76" s="33">
        <f t="shared" si="47"/>
        <v>0.15200000000000002</v>
      </c>
      <c r="AD76" s="34">
        <v>135616.08530635454</v>
      </c>
      <c r="AE76" s="38">
        <f t="shared" si="48"/>
        <v>-2.8662814821394234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0">
        <f t="shared" si="49"/>
        <v>30</v>
      </c>
      <c r="AC77" s="33">
        <f t="shared" si="47"/>
        <v>0.13299999999999998</v>
      </c>
      <c r="AD77" s="34">
        <v>133615.16389654373</v>
      </c>
      <c r="AE77" s="38">
        <f t="shared" si="48"/>
        <v>-4.2994222232091452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0">
        <f t="shared" si="49"/>
        <v>40</v>
      </c>
      <c r="AC78" s="33">
        <f t="shared" si="47"/>
        <v>0.11399999999999999</v>
      </c>
      <c r="AD78" s="34">
        <v>131614.2424867329</v>
      </c>
      <c r="AE78" s="38">
        <f t="shared" si="48"/>
        <v>-5.7325629642788885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0">
        <f t="shared" si="49"/>
        <v>50</v>
      </c>
      <c r="AC79" s="33">
        <f t="shared" si="47"/>
        <v>9.5000000000000001E-2</v>
      </c>
      <c r="AD79" s="34">
        <v>129613.32107692212</v>
      </c>
      <c r="AE79" s="38">
        <f t="shared" si="48"/>
        <v>-7.165703705348589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" right="0.7" top="0.75" bottom="0.75" header="0" footer="0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6850509-8989-4766-BDF8-AEA5EA6A934D}">
          <x14:formula1>
            <xm:f>Description!$A$18:$A$19</xm:f>
          </x14:formula1>
          <xm:sqref>J24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O1000"/>
  <sheetViews>
    <sheetView zoomScale="70" zoomScaleNormal="70" workbookViewId="0">
      <selection activeCell="J10" sqref="J10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50.5703125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2</v>
      </c>
      <c r="B2" s="3">
        <f>U49</f>
        <v>100500.50372907556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4">
        <f>B2/F41</f>
        <v>0.20100100745815111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7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123</v>
      </c>
      <c r="R7" s="11" t="s">
        <v>124</v>
      </c>
      <c r="S7" s="11" t="s">
        <v>19</v>
      </c>
      <c r="T7" s="11" t="s">
        <v>22</v>
      </c>
      <c r="U7" s="12" t="s">
        <v>23</v>
      </c>
      <c r="V7" s="1"/>
      <c r="W7" s="2" t="s">
        <v>24</v>
      </c>
      <c r="X7" s="2"/>
      <c r="Y7" s="2"/>
      <c r="Z7" s="2" t="s">
        <v>25</v>
      </c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3" t="s">
        <v>26</v>
      </c>
      <c r="B8" s="14">
        <v>55.7</v>
      </c>
      <c r="C8" s="2" t="s">
        <v>27</v>
      </c>
      <c r="D8" s="2"/>
      <c r="E8" s="2"/>
      <c r="F8" s="2"/>
      <c r="G8" s="2"/>
      <c r="H8" s="15"/>
      <c r="I8" s="16" t="s">
        <v>199</v>
      </c>
      <c r="J8" s="6">
        <v>539032.25806451624</v>
      </c>
      <c r="K8" s="2" t="s">
        <v>29</v>
      </c>
      <c r="L8" s="15"/>
      <c r="M8" s="2"/>
      <c r="N8" s="11">
        <v>0</v>
      </c>
      <c r="O8" s="17">
        <f>F31</f>
        <v>4775.6500839752143</v>
      </c>
      <c r="P8" s="11"/>
      <c r="Q8" s="11"/>
      <c r="R8" s="11"/>
      <c r="S8" s="11"/>
      <c r="T8" s="11"/>
      <c r="U8" s="18">
        <f t="shared" ref="U8:U48" si="0">SUM(O8:T8)</f>
        <v>4775.6500839752143</v>
      </c>
      <c r="V8" s="3"/>
      <c r="W8" s="6"/>
      <c r="X8" s="2"/>
      <c r="Y8" s="2"/>
      <c r="Z8" s="2" t="s">
        <v>177</v>
      </c>
      <c r="AA8" s="19">
        <f>F36</f>
        <v>0.73375224416517049</v>
      </c>
      <c r="AB8" s="2" t="s">
        <v>126</v>
      </c>
      <c r="AC8" s="2"/>
      <c r="AD8" s="2"/>
      <c r="AE8" s="2"/>
      <c r="AF8" s="2"/>
      <c r="AG8" s="2"/>
      <c r="AH8" s="2"/>
    </row>
    <row r="9" spans="1:34" x14ac:dyDescent="0.25">
      <c r="A9" s="13"/>
      <c r="B9" s="2"/>
      <c r="C9" s="2"/>
      <c r="D9" s="2"/>
      <c r="E9" s="2"/>
      <c r="F9" s="20"/>
      <c r="G9" s="2"/>
      <c r="H9" s="15"/>
      <c r="I9" s="16" t="s">
        <v>32</v>
      </c>
      <c r="J9" s="2">
        <v>5150</v>
      </c>
      <c r="K9" s="2" t="s">
        <v>33</v>
      </c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2876.0026061272956</v>
      </c>
      <c r="Q9" s="22">
        <f t="shared" ref="Q9:Q48" si="2">IF(N9&gt;0,($F$38*((1+($F$14/100))^(N9-1)))/((1+($F$11/100))^N9),0)</f>
        <v>5590.4932888774892</v>
      </c>
      <c r="R9" s="22">
        <f t="shared" ref="R9:R48" si="3">IF(N9&gt;0,$J$31/((1+($F$11/100))^N9),0)</f>
        <v>4763.8710780542024</v>
      </c>
      <c r="S9" s="22">
        <f t="shared" ref="S9:S48" si="4">IF(N9&gt;0,($J$43)/((1+($F$11/100))^N9),0)</f>
        <v>26.417030007694276</v>
      </c>
      <c r="T9" s="21">
        <f t="shared" ref="T9:T48" si="5">IF(N9=$B$5,((((1-$J$12/100)^N9)*$B$44)/((1+($F$11/100))^N9))*-1,0)</f>
        <v>0</v>
      </c>
      <c r="U9" s="18">
        <f t="shared" si="0"/>
        <v>13256.784003066681</v>
      </c>
      <c r="V9" s="3"/>
      <c r="W9" s="6">
        <f t="shared" ref="W9:W48" si="6">IF(N9&gt;0,((((1-$J$12/100)^N9)*$B$44/((1+($F$11/100))^N9))),0)</f>
        <v>10276.866359447007</v>
      </c>
      <c r="X9" s="2"/>
      <c r="Y9" s="2"/>
      <c r="Z9" s="2" t="s">
        <v>174</v>
      </c>
      <c r="AA9" s="24">
        <f>B47</f>
        <v>15918.833613250714</v>
      </c>
      <c r="AB9" s="2" t="s">
        <v>3</v>
      </c>
      <c r="AC9" s="2"/>
      <c r="AD9" s="6"/>
      <c r="AE9" s="2"/>
      <c r="AF9" s="2"/>
      <c r="AG9" s="2"/>
      <c r="AH9" s="2"/>
    </row>
    <row r="10" spans="1:34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127</v>
      </c>
      <c r="J10" s="27">
        <v>0.16</v>
      </c>
      <c r="K10" s="2" t="s">
        <v>128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2739.0501010736148</v>
      </c>
      <c r="Q10" s="22">
        <f t="shared" si="2"/>
        <v>5377.5221159678704</v>
      </c>
      <c r="R10" s="22">
        <f t="shared" si="3"/>
        <v>4537.0200743373352</v>
      </c>
      <c r="S10" s="22">
        <f t="shared" si="4"/>
        <v>25.159076197804072</v>
      </c>
      <c r="T10" s="21">
        <f t="shared" si="5"/>
        <v>0</v>
      </c>
      <c r="U10" s="18">
        <f t="shared" si="0"/>
        <v>12678.751367576624</v>
      </c>
      <c r="V10" s="3"/>
      <c r="W10" s="6">
        <f t="shared" si="6"/>
        <v>9094.5373535220551</v>
      </c>
      <c r="X10" s="2"/>
      <c r="Y10" s="2"/>
      <c r="Z10" s="2" t="s">
        <v>42</v>
      </c>
      <c r="AA10" s="6">
        <f>F12</f>
        <v>50000</v>
      </c>
      <c r="AB10" s="2" t="s">
        <v>43</v>
      </c>
      <c r="AC10" s="2"/>
      <c r="AD10" s="6"/>
      <c r="AE10" s="2"/>
      <c r="AF10" s="2"/>
      <c r="AG10" s="2"/>
      <c r="AH10" s="2"/>
    </row>
    <row r="11" spans="1:34" x14ac:dyDescent="0.25">
      <c r="A11" s="25" t="s">
        <v>172</v>
      </c>
      <c r="B11" s="2">
        <v>0</v>
      </c>
      <c r="C11" s="2" t="s">
        <v>38</v>
      </c>
      <c r="D11" s="2"/>
      <c r="E11" s="16" t="s">
        <v>39</v>
      </c>
      <c r="F11" s="2">
        <v>5</v>
      </c>
      <c r="G11" s="2" t="s">
        <v>38</v>
      </c>
      <c r="H11" s="15"/>
      <c r="I11" s="16" t="s">
        <v>57</v>
      </c>
      <c r="J11" s="2">
        <v>30</v>
      </c>
      <c r="K11" s="2" t="s">
        <v>58</v>
      </c>
      <c r="L11" s="15"/>
      <c r="M11" s="2"/>
      <c r="N11" s="11">
        <f t="shared" si="7"/>
        <v>3</v>
      </c>
      <c r="O11" s="11"/>
      <c r="P11" s="21">
        <f t="shared" si="1"/>
        <v>2608.6191438796327</v>
      </c>
      <c r="Q11" s="22">
        <f t="shared" si="2"/>
        <v>5172.6641305976655</v>
      </c>
      <c r="R11" s="22">
        <f t="shared" si="3"/>
        <v>4320.9714993688904</v>
      </c>
      <c r="S11" s="22">
        <f t="shared" si="4"/>
        <v>23.961024950289591</v>
      </c>
      <c r="T11" s="21">
        <f t="shared" si="5"/>
        <v>0</v>
      </c>
      <c r="U11" s="18">
        <f t="shared" si="0"/>
        <v>12126.215798796478</v>
      </c>
      <c r="V11" s="3"/>
      <c r="W11" s="6">
        <f t="shared" si="6"/>
        <v>8048.2324846597085</v>
      </c>
      <c r="X11" s="2"/>
      <c r="Y11" s="2"/>
      <c r="Z11" s="16" t="s">
        <v>48</v>
      </c>
      <c r="AA11" s="6">
        <f>J36</f>
        <v>5000</v>
      </c>
      <c r="AB11" s="2" t="s">
        <v>49</v>
      </c>
      <c r="AC11" s="2"/>
      <c r="AD11" s="6"/>
      <c r="AE11" s="2"/>
      <c r="AF11" s="2"/>
      <c r="AG11" s="2"/>
      <c r="AH11" s="2"/>
    </row>
    <row r="12" spans="1:34" x14ac:dyDescent="0.25">
      <c r="A12" s="25" t="s">
        <v>44</v>
      </c>
      <c r="B12" s="2">
        <v>0</v>
      </c>
      <c r="C12" s="2" t="s">
        <v>38</v>
      </c>
      <c r="D12" s="2"/>
      <c r="E12" s="16" t="s">
        <v>45</v>
      </c>
      <c r="F12" s="6">
        <v>50000</v>
      </c>
      <c r="G12" s="2" t="s">
        <v>43</v>
      </c>
      <c r="H12" s="15"/>
      <c r="I12" s="16" t="s">
        <v>65</v>
      </c>
      <c r="J12" s="2">
        <v>7.08</v>
      </c>
      <c r="K12" s="2" t="s">
        <v>66</v>
      </c>
      <c r="L12" s="15"/>
      <c r="M12" s="2"/>
      <c r="N12" s="11">
        <f t="shared" si="7"/>
        <v>4</v>
      </c>
      <c r="O12" s="11"/>
      <c r="P12" s="21">
        <f t="shared" si="1"/>
        <v>2484.3991846472695</v>
      </c>
      <c r="Q12" s="22">
        <f t="shared" si="2"/>
        <v>4975.6102589558495</v>
      </c>
      <c r="R12" s="22">
        <f t="shared" si="3"/>
        <v>4115.2109517798963</v>
      </c>
      <c r="S12" s="22">
        <f t="shared" si="4"/>
        <v>22.820023762180565</v>
      </c>
      <c r="T12" s="21">
        <f t="shared" si="5"/>
        <v>0</v>
      </c>
      <c r="U12" s="18">
        <f t="shared" si="0"/>
        <v>11598.040419145196</v>
      </c>
      <c r="V12" s="3"/>
      <c r="W12" s="6">
        <f t="shared" si="6"/>
        <v>7122.3024997579078</v>
      </c>
      <c r="X12" s="2"/>
      <c r="Y12" s="2"/>
      <c r="Z12" s="92" t="s">
        <v>198</v>
      </c>
      <c r="AA12" s="93">
        <f>J10</f>
        <v>0.16</v>
      </c>
      <c r="AB12" s="92" t="s">
        <v>128</v>
      </c>
      <c r="AC12" s="2"/>
      <c r="AD12" s="6"/>
      <c r="AE12" s="2"/>
      <c r="AF12" s="2"/>
      <c r="AG12" s="2"/>
      <c r="AH12" s="2"/>
    </row>
    <row r="13" spans="1:34" x14ac:dyDescent="0.25">
      <c r="A13" s="25" t="s">
        <v>50</v>
      </c>
      <c r="B13" s="2">
        <v>12</v>
      </c>
      <c r="C13" s="2" t="s">
        <v>38</v>
      </c>
      <c r="D13" s="2"/>
      <c r="E13" s="16" t="s">
        <v>125</v>
      </c>
      <c r="F13" s="6">
        <v>40.869999999999997</v>
      </c>
      <c r="G13" s="2" t="s">
        <v>129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2366.0944615688281</v>
      </c>
      <c r="Q13" s="22">
        <f t="shared" si="2"/>
        <v>4786.0632014718176</v>
      </c>
      <c r="R13" s="22">
        <f t="shared" si="3"/>
        <v>3919.2485255046627</v>
      </c>
      <c r="S13" s="22">
        <f t="shared" si="4"/>
        <v>21.733355963981488</v>
      </c>
      <c r="T13" s="21">
        <f t="shared" si="5"/>
        <v>0</v>
      </c>
      <c r="U13" s="18">
        <f t="shared" si="0"/>
        <v>11093.139544509289</v>
      </c>
      <c r="V13" s="3"/>
      <c r="W13" s="6">
        <f t="shared" si="6"/>
        <v>6302.898555023854</v>
      </c>
      <c r="X13" s="2"/>
      <c r="Y13" s="2"/>
      <c r="Z13" s="2"/>
      <c r="AA13" s="2"/>
      <c r="AB13" s="2"/>
      <c r="AC13" s="2"/>
      <c r="AD13" s="6"/>
      <c r="AE13" s="2"/>
      <c r="AF13" s="2"/>
      <c r="AG13" s="2"/>
      <c r="AH13" s="2"/>
    </row>
    <row r="14" spans="1:34" x14ac:dyDescent="0.25">
      <c r="A14" s="25" t="s">
        <v>54</v>
      </c>
      <c r="B14" s="2">
        <v>25</v>
      </c>
      <c r="C14" s="2" t="s">
        <v>38</v>
      </c>
      <c r="D14" s="2"/>
      <c r="E14" s="16" t="s">
        <v>130</v>
      </c>
      <c r="F14" s="2">
        <v>1</v>
      </c>
      <c r="G14" s="2" t="s">
        <v>56</v>
      </c>
      <c r="H14" s="15"/>
      <c r="I14" s="1" t="s">
        <v>77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4603.7369842728913</v>
      </c>
      <c r="R14" s="22">
        <f t="shared" si="3"/>
        <v>3732.6176433377741</v>
      </c>
      <c r="S14" s="22">
        <f t="shared" si="4"/>
        <v>20.698434251410944</v>
      </c>
      <c r="T14" s="21">
        <f t="shared" si="5"/>
        <v>0</v>
      </c>
      <c r="U14" s="18">
        <f t="shared" si="0"/>
        <v>8357.053061862076</v>
      </c>
      <c r="V14" s="3"/>
      <c r="W14" s="6">
        <f t="shared" si="6"/>
        <v>5577.7650831696828</v>
      </c>
      <c r="X14" s="2"/>
      <c r="Y14" s="2"/>
      <c r="Z14" s="2"/>
      <c r="AA14" s="2"/>
      <c r="AB14" s="2"/>
      <c r="AC14" s="2"/>
      <c r="AD14" s="6"/>
      <c r="AE14" s="2"/>
      <c r="AF14" s="2"/>
      <c r="AG14" s="2"/>
      <c r="AH14" s="2"/>
    </row>
    <row r="15" spans="1:34" x14ac:dyDescent="0.25">
      <c r="A15" s="25" t="s">
        <v>59</v>
      </c>
      <c r="B15" s="2">
        <v>20</v>
      </c>
      <c r="C15" s="2" t="s">
        <v>38</v>
      </c>
      <c r="D15" s="2"/>
      <c r="E15" s="16" t="s">
        <v>64</v>
      </c>
      <c r="F15" s="2">
        <v>0</v>
      </c>
      <c r="G15" s="2" t="s">
        <v>61</v>
      </c>
      <c r="H15" s="15"/>
      <c r="I15" s="16" t="s">
        <v>83</v>
      </c>
      <c r="J15" s="2">
        <v>5</v>
      </c>
      <c r="K15" s="2" t="s">
        <v>58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4428.3565277291627</v>
      </c>
      <c r="R15" s="22">
        <f t="shared" si="3"/>
        <v>3554.8739460359748</v>
      </c>
      <c r="S15" s="22">
        <f t="shared" si="4"/>
        <v>19.712794525153278</v>
      </c>
      <c r="T15" s="21">
        <f t="shared" si="5"/>
        <v>0</v>
      </c>
      <c r="U15" s="18">
        <f t="shared" si="0"/>
        <v>8002.9432682902907</v>
      </c>
      <c r="V15" s="3"/>
      <c r="W15" s="6">
        <f t="shared" si="6"/>
        <v>4936.0564907440639</v>
      </c>
      <c r="X15" s="2"/>
      <c r="Y15" s="2"/>
      <c r="Z15" s="2"/>
      <c r="AA15" s="2"/>
      <c r="AB15" s="2"/>
      <c r="AC15" s="2"/>
      <c r="AD15" s="6"/>
      <c r="AE15" s="2"/>
      <c r="AF15" s="2"/>
      <c r="AG15" s="2"/>
      <c r="AH15" s="2"/>
    </row>
    <row r="16" spans="1:34" x14ac:dyDescent="0.25">
      <c r="A16" s="25" t="s">
        <v>63</v>
      </c>
      <c r="B16" s="2">
        <v>0</v>
      </c>
      <c r="C16" s="2" t="s">
        <v>29</v>
      </c>
      <c r="D16" s="2"/>
      <c r="E16" s="16" t="s">
        <v>67</v>
      </c>
      <c r="F16" s="6">
        <v>115</v>
      </c>
      <c r="G16" s="2" t="s">
        <v>61</v>
      </c>
      <c r="H16" s="15"/>
      <c r="I16" s="16" t="s">
        <v>86</v>
      </c>
      <c r="J16" s="2">
        <v>30</v>
      </c>
      <c r="K16" s="2" t="s">
        <v>87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4259.6572314347168</v>
      </c>
      <c r="R16" s="22">
        <f t="shared" si="3"/>
        <v>3385.5942343199763</v>
      </c>
      <c r="S16" s="22">
        <f t="shared" si="4"/>
        <v>18.774090023955505</v>
      </c>
      <c r="T16" s="21">
        <f t="shared" si="5"/>
        <v>0</v>
      </c>
      <c r="U16" s="18">
        <f t="shared" si="0"/>
        <v>7664.0255557786477</v>
      </c>
      <c r="V16" s="3"/>
      <c r="W16" s="6">
        <f t="shared" si="6"/>
        <v>4368.1749439994146</v>
      </c>
      <c r="X16" s="2"/>
      <c r="Y16" s="2"/>
      <c r="Z16" s="2"/>
      <c r="AA16" s="2"/>
      <c r="AB16" s="2"/>
      <c r="AC16" s="2"/>
      <c r="AD16" s="6"/>
      <c r="AE16" s="2"/>
      <c r="AF16" s="2"/>
      <c r="AG16" s="2"/>
      <c r="AH16" s="2"/>
    </row>
    <row r="17" spans="1:41" x14ac:dyDescent="0.25">
      <c r="A17" s="25" t="s">
        <v>181</v>
      </c>
      <c r="B17" s="2">
        <v>450</v>
      </c>
      <c r="C17" s="2" t="s">
        <v>29</v>
      </c>
      <c r="D17" s="2"/>
      <c r="E17" s="16" t="s">
        <v>131</v>
      </c>
      <c r="F17" s="60">
        <v>0.3</v>
      </c>
      <c r="G17" s="2"/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4097.3845749991096</v>
      </c>
      <c r="R17" s="22">
        <f t="shared" si="3"/>
        <v>3224.3754612571202</v>
      </c>
      <c r="S17" s="22">
        <f t="shared" si="4"/>
        <v>17.88008573710048</v>
      </c>
      <c r="T17" s="21">
        <f t="shared" si="5"/>
        <v>0</v>
      </c>
      <c r="U17" s="18">
        <f t="shared" si="0"/>
        <v>7339.6401219933305</v>
      </c>
      <c r="V17" s="3"/>
      <c r="W17" s="6">
        <f t="shared" si="6"/>
        <v>3865.6268171088154</v>
      </c>
      <c r="X17" s="2"/>
      <c r="Y17" s="2"/>
      <c r="Z17" s="2"/>
      <c r="AA17" s="2"/>
      <c r="AB17" s="2"/>
      <c r="AC17" s="2"/>
      <c r="AD17" s="6"/>
      <c r="AE17" s="2"/>
      <c r="AF17" s="2"/>
      <c r="AG17" s="2"/>
      <c r="AH17" s="2"/>
    </row>
    <row r="18" spans="1:41" x14ac:dyDescent="0.25">
      <c r="A18" s="16" t="s">
        <v>183</v>
      </c>
      <c r="B18" s="2">
        <v>10</v>
      </c>
      <c r="C18" s="2" t="s">
        <v>29</v>
      </c>
      <c r="D18" s="2"/>
      <c r="E18" s="16" t="s">
        <v>73</v>
      </c>
      <c r="F18" s="6">
        <v>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3941.2937340467629</v>
      </c>
      <c r="R18" s="22">
        <f t="shared" si="3"/>
        <v>3070.8337726258287</v>
      </c>
      <c r="S18" s="22">
        <f t="shared" si="4"/>
        <v>17.028653082952836</v>
      </c>
      <c r="T18" s="21">
        <f t="shared" si="5"/>
        <v>-3420.8956556738203</v>
      </c>
      <c r="U18" s="18">
        <f t="shared" si="0"/>
        <v>3608.2605040817243</v>
      </c>
      <c r="V18" s="3"/>
      <c r="W18" s="6">
        <f t="shared" si="6"/>
        <v>3420.8956556738203</v>
      </c>
      <c r="X18" s="2"/>
      <c r="Y18" s="2"/>
      <c r="Z18" s="2"/>
      <c r="AA18" s="2"/>
      <c r="AB18" s="2"/>
      <c r="AC18" s="2"/>
      <c r="AD18" s="6"/>
      <c r="AE18" s="2"/>
      <c r="AF18" s="2"/>
      <c r="AG18" s="2"/>
      <c r="AH18" s="2"/>
    </row>
    <row r="19" spans="1:41" x14ac:dyDescent="0.25">
      <c r="A19" s="2" t="s">
        <v>132</v>
      </c>
      <c r="B19" s="2">
        <v>50</v>
      </c>
      <c r="C19" s="2" t="s">
        <v>29</v>
      </c>
      <c r="D19" s="2"/>
      <c r="E19" s="16" t="s">
        <v>48</v>
      </c>
      <c r="F19" s="27">
        <v>5.57</v>
      </c>
      <c r="G19" s="2" t="s">
        <v>76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1">
        <f t="shared" si="5"/>
        <v>0</v>
      </c>
      <c r="U19" s="18">
        <f t="shared" si="0"/>
        <v>0</v>
      </c>
      <c r="V19" s="3"/>
      <c r="W19" s="6">
        <f t="shared" si="6"/>
        <v>0</v>
      </c>
      <c r="X19" s="2"/>
      <c r="Y19" s="2"/>
      <c r="Z19" s="2"/>
      <c r="AA19" s="2"/>
      <c r="AB19" s="2"/>
      <c r="AC19" s="2"/>
      <c r="AD19" s="6"/>
      <c r="AE19" s="2"/>
      <c r="AF19" s="2"/>
      <c r="AG19" s="2"/>
      <c r="AH19" s="2"/>
    </row>
    <row r="20" spans="1:41" x14ac:dyDescent="0.25">
      <c r="A20" s="2"/>
      <c r="B20" s="2"/>
      <c r="C20" s="2"/>
      <c r="D20" s="2"/>
      <c r="E20" s="16" t="s">
        <v>82</v>
      </c>
      <c r="F20" s="2">
        <v>7.1</v>
      </c>
      <c r="G20" s="2" t="s">
        <v>66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1">
        <f t="shared" si="5"/>
        <v>0</v>
      </c>
      <c r="U20" s="18">
        <f t="shared" si="0"/>
        <v>0</v>
      </c>
      <c r="V20" s="3"/>
      <c r="W20" s="6">
        <f t="shared" si="6"/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41" ht="15.75" customHeight="1" x14ac:dyDescent="0.25">
      <c r="A21" s="2"/>
      <c r="B21" s="2"/>
      <c r="C21" s="2"/>
      <c r="D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1">
        <f t="shared" si="5"/>
        <v>0</v>
      </c>
      <c r="U21" s="18">
        <f t="shared" si="0"/>
        <v>0</v>
      </c>
      <c r="V21" s="3"/>
      <c r="W21" s="6">
        <f t="shared" si="6"/>
        <v>0</v>
      </c>
      <c r="X21" s="2"/>
      <c r="Y21" s="2"/>
      <c r="Z21" s="29" t="s">
        <v>125</v>
      </c>
      <c r="AA21" s="30"/>
      <c r="AB21" s="30"/>
      <c r="AC21" s="30"/>
      <c r="AD21" s="2"/>
      <c r="AE21" s="29" t="s">
        <v>28</v>
      </c>
      <c r="AF21" s="30"/>
      <c r="AG21" s="30"/>
      <c r="AH21" s="30"/>
      <c r="AJ21" s="86" t="s">
        <v>187</v>
      </c>
      <c r="AK21" s="86" t="s">
        <v>188</v>
      </c>
      <c r="AL21" s="86" t="s">
        <v>196</v>
      </c>
      <c r="AM21" s="86" t="s">
        <v>191</v>
      </c>
      <c r="AN21" s="86" t="s">
        <v>190</v>
      </c>
      <c r="AO21" s="91" t="str">
        <f>Z51</f>
        <v>Energy Efficiency</v>
      </c>
    </row>
    <row r="22" spans="1:41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1">
        <f t="shared" si="5"/>
        <v>0</v>
      </c>
      <c r="U22" s="18">
        <f t="shared" si="0"/>
        <v>0</v>
      </c>
      <c r="V22" s="3"/>
      <c r="W22" s="6">
        <f t="shared" si="6"/>
        <v>0</v>
      </c>
      <c r="X22" s="2"/>
      <c r="Y22" s="2"/>
      <c r="Z22" s="30" t="s">
        <v>78</v>
      </c>
      <c r="AA22" s="30" t="s">
        <v>133</v>
      </c>
      <c r="AB22" s="30" t="s">
        <v>23</v>
      </c>
      <c r="AC22" s="30" t="s">
        <v>80</v>
      </c>
      <c r="AD22" s="2"/>
      <c r="AE22" s="30" t="s">
        <v>78</v>
      </c>
      <c r="AF22" s="30" t="s">
        <v>81</v>
      </c>
      <c r="AG22" s="30" t="s">
        <v>23</v>
      </c>
      <c r="AH22" s="30" t="s">
        <v>80</v>
      </c>
      <c r="AJ22" s="87">
        <v>-50</v>
      </c>
      <c r="AK22" s="88">
        <f>AH24</f>
        <v>-8.8804607534060427</v>
      </c>
      <c r="AL22" s="88">
        <f>AC24</f>
        <v>-23.498778760194682</v>
      </c>
      <c r="AM22" s="89">
        <f t="shared" ref="AM22:AM32" si="8">AC39</f>
        <v>-19.208199567836736</v>
      </c>
      <c r="AN22" s="89">
        <f t="shared" ref="AN22:AN32" si="9">AH39</f>
        <v>-42.706978328031411</v>
      </c>
      <c r="AO22" s="58">
        <f>AC54</f>
        <v>23.498778760194682</v>
      </c>
    </row>
    <row r="23" spans="1:41" ht="15.75" customHeight="1" x14ac:dyDescent="0.25">
      <c r="A23" s="2"/>
      <c r="B23" s="2"/>
      <c r="C23" s="2"/>
      <c r="D23" s="2"/>
      <c r="E23" s="2"/>
      <c r="F23" s="2"/>
      <c r="G23" s="2"/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1">
        <f t="shared" si="5"/>
        <v>0</v>
      </c>
      <c r="U23" s="18">
        <f t="shared" si="0"/>
        <v>0</v>
      </c>
      <c r="V23" s="3"/>
      <c r="W23" s="6">
        <f t="shared" si="6"/>
        <v>0</v>
      </c>
      <c r="X23" s="2"/>
      <c r="Y23" s="2"/>
      <c r="Z23" s="30" t="s">
        <v>134</v>
      </c>
      <c r="AA23" s="33">
        <v>0.73375224416517049</v>
      </c>
      <c r="AB23" s="34">
        <f>U49</f>
        <v>100500.50372907556</v>
      </c>
      <c r="AC23" s="30"/>
      <c r="AD23" s="2"/>
      <c r="AE23" s="30" t="s">
        <v>134</v>
      </c>
      <c r="AF23" s="35">
        <v>15918.833613250714</v>
      </c>
      <c r="AG23" s="34">
        <f>U49</f>
        <v>100500.50372907556</v>
      </c>
      <c r="AH23" s="30"/>
      <c r="AJ23" s="87">
        <v>-40</v>
      </c>
      <c r="AK23" s="88">
        <f>AH25</f>
        <v>-7.1043686027248514</v>
      </c>
      <c r="AL23" s="88">
        <f t="shared" ref="AL23:AL32" si="10">AC25</f>
        <v>-18.799023008155753</v>
      </c>
      <c r="AM23" s="89">
        <f t="shared" si="8"/>
        <v>-15.366559654269391</v>
      </c>
      <c r="AN23" s="89">
        <f t="shared" si="9"/>
        <v>-34.16558266242513</v>
      </c>
      <c r="AO23" s="58">
        <f t="shared" ref="AO23:AO32" si="11">AC55</f>
        <v>18.799023008155739</v>
      </c>
    </row>
    <row r="24" spans="1:41" ht="15.75" customHeight="1" x14ac:dyDescent="0.25">
      <c r="A24" s="13"/>
      <c r="B24" s="2"/>
      <c r="C24" s="2"/>
      <c r="D24" s="2"/>
      <c r="E24" s="2"/>
      <c r="F24" s="2"/>
      <c r="G24" s="2"/>
      <c r="H24" s="15"/>
      <c r="I24" s="2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1">
        <f t="shared" si="5"/>
        <v>0</v>
      </c>
      <c r="U24" s="18">
        <f t="shared" si="0"/>
        <v>0</v>
      </c>
      <c r="V24" s="3"/>
      <c r="W24" s="6">
        <f t="shared" si="6"/>
        <v>0</v>
      </c>
      <c r="X24" s="2"/>
      <c r="Y24" s="2"/>
      <c r="Z24" s="30">
        <f t="shared" ref="Z24:Z28" si="12">Z25-10</f>
        <v>-50</v>
      </c>
      <c r="AA24" s="33">
        <f t="shared" ref="AA24:AA34" si="13">$AA$23*(1+(Z24/100))</f>
        <v>0.36687612208258524</v>
      </c>
      <c r="AB24" s="34">
        <f t="dataTable" ref="AB24:AB34" dt2D="0" dtr="0" r1="F36" ca="1"/>
        <v>76884.112704898886</v>
      </c>
      <c r="AC24" s="38">
        <f t="shared" ref="AC24:AC34" si="14">100*((AB24-$AB$29)/$AB$29)</f>
        <v>-23.498778760194682</v>
      </c>
      <c r="AD24" s="2"/>
      <c r="AE24" s="30">
        <f t="shared" ref="AE24:AE28" si="15">AE25-10</f>
        <v>-50</v>
      </c>
      <c r="AF24" s="35">
        <f t="shared" ref="AF24:AF34" si="16">$AF$23*(1+(AE24/100))</f>
        <v>7959.4168066253569</v>
      </c>
      <c r="AG24" s="34">
        <f t="dataTable" ref="AG24:AG34" dt2D="0" dtr="0" r1="B47" ca="1"/>
        <v>91575.595938439626</v>
      </c>
      <c r="AH24" s="38">
        <f t="shared" ref="AH24:AH34" si="17">100*((AG24-$AG$29)/$AG$29)</f>
        <v>-8.8804607534060427</v>
      </c>
      <c r="AJ24" s="87">
        <v>-30</v>
      </c>
      <c r="AK24" s="88">
        <f t="shared" ref="AK24:AK32" si="18">AH26</f>
        <v>-5.3282764520436308</v>
      </c>
      <c r="AL24" s="88">
        <f t="shared" si="10"/>
        <v>-14.099267256116798</v>
      </c>
      <c r="AM24" s="89">
        <f t="shared" si="8"/>
        <v>-11.524919740702048</v>
      </c>
      <c r="AN24" s="89">
        <f t="shared" si="9"/>
        <v>-25.62418699681886</v>
      </c>
      <c r="AO24" s="58">
        <f t="shared" si="11"/>
        <v>14.099267256116812</v>
      </c>
    </row>
    <row r="25" spans="1:41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1">
        <f t="shared" si="5"/>
        <v>0</v>
      </c>
      <c r="U25" s="18">
        <f t="shared" si="0"/>
        <v>0</v>
      </c>
      <c r="V25" s="3"/>
      <c r="W25" s="6">
        <f t="shared" si="6"/>
        <v>0</v>
      </c>
      <c r="X25" s="2"/>
      <c r="Y25" s="2"/>
      <c r="Z25" s="30">
        <f t="shared" si="12"/>
        <v>-40</v>
      </c>
      <c r="AA25" s="33">
        <f t="shared" si="13"/>
        <v>0.4402513464991023</v>
      </c>
      <c r="AB25" s="34">
        <v>81607.390909734211</v>
      </c>
      <c r="AC25" s="38">
        <f t="shared" si="14"/>
        <v>-18.799023008155753</v>
      </c>
      <c r="AD25" s="2"/>
      <c r="AE25" s="30">
        <f t="shared" si="15"/>
        <v>-40</v>
      </c>
      <c r="AF25" s="35">
        <f t="shared" si="16"/>
        <v>9551.3001679504287</v>
      </c>
      <c r="AG25" s="34">
        <v>93360.577496566795</v>
      </c>
      <c r="AH25" s="38">
        <f t="shared" si="17"/>
        <v>-7.1043686027248514</v>
      </c>
      <c r="AJ25" s="87">
        <v>-20</v>
      </c>
      <c r="AK25" s="88">
        <f t="shared" si="18"/>
        <v>-3.5521843013624115</v>
      </c>
      <c r="AL25" s="88">
        <f t="shared" si="10"/>
        <v>-9.3995115040778696</v>
      </c>
      <c r="AM25" s="89">
        <f t="shared" si="8"/>
        <v>-7.6832798271347036</v>
      </c>
      <c r="AN25" s="89">
        <f t="shared" si="9"/>
        <v>-17.082791331212587</v>
      </c>
      <c r="AO25" s="58">
        <f t="shared" si="11"/>
        <v>9.3995115040778696</v>
      </c>
    </row>
    <row r="26" spans="1:4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2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1">
        <f t="shared" si="5"/>
        <v>0</v>
      </c>
      <c r="U26" s="18">
        <f t="shared" si="0"/>
        <v>0</v>
      </c>
      <c r="V26" s="3"/>
      <c r="W26" s="6">
        <f t="shared" si="6"/>
        <v>0</v>
      </c>
      <c r="X26" s="2"/>
      <c r="Y26" s="2"/>
      <c r="Z26" s="30">
        <f t="shared" si="12"/>
        <v>-30</v>
      </c>
      <c r="AA26" s="33">
        <f t="shared" si="13"/>
        <v>0.51362657091561936</v>
      </c>
      <c r="AB26" s="34">
        <v>86330.669114569566</v>
      </c>
      <c r="AC26" s="38">
        <f t="shared" si="14"/>
        <v>-14.099267256116798</v>
      </c>
      <c r="AD26" s="2"/>
      <c r="AE26" s="30">
        <f t="shared" si="15"/>
        <v>-30</v>
      </c>
      <c r="AF26" s="35">
        <f t="shared" si="16"/>
        <v>11143.183529275499</v>
      </c>
      <c r="AG26" s="34">
        <v>95145.559054693993</v>
      </c>
      <c r="AH26" s="38">
        <f t="shared" si="17"/>
        <v>-5.3282764520436308</v>
      </c>
      <c r="AJ26" s="87">
        <v>-10</v>
      </c>
      <c r="AK26" s="88">
        <f t="shared" si="18"/>
        <v>-1.7760921506812199</v>
      </c>
      <c r="AL26" s="88">
        <f t="shared" si="10"/>
        <v>-4.6997557520389277</v>
      </c>
      <c r="AM26" s="89">
        <f t="shared" si="8"/>
        <v>-3.8416399135673442</v>
      </c>
      <c r="AN26" s="89">
        <f t="shared" si="9"/>
        <v>-8.5413956656062862</v>
      </c>
      <c r="AO26" s="58">
        <f t="shared" si="11"/>
        <v>4.6997557520389419</v>
      </c>
    </row>
    <row r="27" spans="1:4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1">
        <f t="shared" si="5"/>
        <v>0</v>
      </c>
      <c r="U27" s="18">
        <f t="shared" si="0"/>
        <v>0</v>
      </c>
      <c r="V27" s="3"/>
      <c r="W27" s="6">
        <f t="shared" si="6"/>
        <v>0</v>
      </c>
      <c r="X27" s="2"/>
      <c r="Y27" s="2"/>
      <c r="Z27" s="30">
        <f t="shared" si="12"/>
        <v>-20</v>
      </c>
      <c r="AA27" s="33">
        <f t="shared" si="13"/>
        <v>0.58700179533213637</v>
      </c>
      <c r="AB27" s="34">
        <v>91053.947319404891</v>
      </c>
      <c r="AC27" s="38">
        <f t="shared" si="14"/>
        <v>-9.3995115040778696</v>
      </c>
      <c r="AD27" s="2"/>
      <c r="AE27" s="30">
        <f t="shared" si="15"/>
        <v>-20</v>
      </c>
      <c r="AF27" s="35">
        <f t="shared" si="16"/>
        <v>12735.066890600572</v>
      </c>
      <c r="AG27" s="34">
        <v>96930.540612821191</v>
      </c>
      <c r="AH27" s="38">
        <f t="shared" si="17"/>
        <v>-3.5521843013624115</v>
      </c>
      <c r="AJ27" s="87">
        <v>0</v>
      </c>
      <c r="AK27" s="88">
        <f t="shared" si="18"/>
        <v>0</v>
      </c>
      <c r="AL27" s="88">
        <f t="shared" si="10"/>
        <v>0</v>
      </c>
      <c r="AM27" s="89">
        <f t="shared" si="8"/>
        <v>0</v>
      </c>
      <c r="AN27" s="89">
        <f t="shared" si="9"/>
        <v>0</v>
      </c>
      <c r="AO27" s="58">
        <f t="shared" si="11"/>
        <v>0</v>
      </c>
    </row>
    <row r="28" spans="1:41" ht="15.75" customHeight="1" x14ac:dyDescent="0.25">
      <c r="A28" s="1" t="s">
        <v>88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1">
        <f t="shared" si="5"/>
        <v>0</v>
      </c>
      <c r="U28" s="18">
        <f t="shared" si="0"/>
        <v>0</v>
      </c>
      <c r="V28" s="3"/>
      <c r="W28" s="6">
        <f t="shared" si="6"/>
        <v>0</v>
      </c>
      <c r="X28" s="2"/>
      <c r="Y28" s="2"/>
      <c r="Z28" s="30">
        <f t="shared" si="12"/>
        <v>-10</v>
      </c>
      <c r="AA28" s="33">
        <f t="shared" si="13"/>
        <v>0.66037701974865348</v>
      </c>
      <c r="AB28" s="34">
        <v>95777.225524240232</v>
      </c>
      <c r="AC28" s="38">
        <f t="shared" si="14"/>
        <v>-4.6997557520389277</v>
      </c>
      <c r="AD28" s="2"/>
      <c r="AE28" s="30">
        <f t="shared" si="15"/>
        <v>-10</v>
      </c>
      <c r="AF28" s="35">
        <f t="shared" si="16"/>
        <v>14326.950251925642</v>
      </c>
      <c r="AG28" s="34">
        <v>98715.522170948359</v>
      </c>
      <c r="AH28" s="38">
        <f t="shared" si="17"/>
        <v>-1.7760921506812199</v>
      </c>
      <c r="AJ28" s="87">
        <v>10</v>
      </c>
      <c r="AK28" s="88">
        <f t="shared" si="18"/>
        <v>1.7760921506812057</v>
      </c>
      <c r="AL28" s="88">
        <f t="shared" si="10"/>
        <v>4.6997557520389419</v>
      </c>
      <c r="AM28" s="89">
        <f t="shared" si="8"/>
        <v>3.8416399135673442</v>
      </c>
      <c r="AN28" s="89">
        <f t="shared" si="9"/>
        <v>8.5413956656062862</v>
      </c>
      <c r="AO28" s="58">
        <f t="shared" si="11"/>
        <v>-4.6997557520389277</v>
      </c>
    </row>
    <row r="29" spans="1:4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1">
        <f t="shared" si="5"/>
        <v>0</v>
      </c>
      <c r="U29" s="18">
        <f t="shared" si="0"/>
        <v>0</v>
      </c>
      <c r="V29" s="3"/>
      <c r="W29" s="6">
        <f t="shared" si="6"/>
        <v>0</v>
      </c>
      <c r="X29" s="2"/>
      <c r="Y29" s="2"/>
      <c r="Z29" s="43">
        <v>0</v>
      </c>
      <c r="AA29" s="44">
        <f t="shared" si="13"/>
        <v>0.73375224416517049</v>
      </c>
      <c r="AB29" s="45">
        <v>100500.50372907556</v>
      </c>
      <c r="AC29" s="46">
        <f t="shared" si="14"/>
        <v>0</v>
      </c>
      <c r="AD29" s="2"/>
      <c r="AE29" s="43">
        <v>0</v>
      </c>
      <c r="AF29" s="47">
        <f t="shared" si="16"/>
        <v>15918.833613250714</v>
      </c>
      <c r="AG29" s="45">
        <v>100500.50372907556</v>
      </c>
      <c r="AH29" s="46">
        <f t="shared" si="17"/>
        <v>0</v>
      </c>
      <c r="AJ29" s="87">
        <v>20</v>
      </c>
      <c r="AK29" s="88">
        <f t="shared" si="18"/>
        <v>3.5521843013624115</v>
      </c>
      <c r="AL29" s="88">
        <f t="shared" si="10"/>
        <v>9.3995115040778696</v>
      </c>
      <c r="AM29" s="89">
        <f t="shared" si="8"/>
        <v>7.6832798271346885</v>
      </c>
      <c r="AN29" s="89">
        <f t="shared" si="9"/>
        <v>17.082791331212558</v>
      </c>
      <c r="AO29" s="58">
        <f t="shared" si="11"/>
        <v>-9.3995115040778696</v>
      </c>
    </row>
    <row r="30" spans="1:41" ht="15.75" customHeight="1" x14ac:dyDescent="0.25">
      <c r="A30" s="7" t="s">
        <v>89</v>
      </c>
      <c r="B30" s="8"/>
      <c r="C30" s="8"/>
      <c r="D30" s="8"/>
      <c r="E30" s="10" t="s">
        <v>90</v>
      </c>
      <c r="F30" s="8"/>
      <c r="G30" s="8"/>
      <c r="H30" s="8"/>
      <c r="I30" s="10"/>
      <c r="J30" s="48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1">
        <f t="shared" si="5"/>
        <v>0</v>
      </c>
      <c r="U30" s="18">
        <f t="shared" si="0"/>
        <v>0</v>
      </c>
      <c r="V30" s="3"/>
      <c r="W30" s="6">
        <f t="shared" si="6"/>
        <v>0</v>
      </c>
      <c r="X30" s="2"/>
      <c r="Y30" s="2"/>
      <c r="Z30" s="30">
        <f t="shared" ref="Z30:Z34" si="19">Z29+10</f>
        <v>10</v>
      </c>
      <c r="AA30" s="33">
        <f t="shared" si="13"/>
        <v>0.8071274685816876</v>
      </c>
      <c r="AB30" s="34">
        <v>105223.7819339109</v>
      </c>
      <c r="AC30" s="38">
        <f t="shared" si="14"/>
        <v>4.6997557520389419</v>
      </c>
      <c r="AD30" s="2"/>
      <c r="AE30" s="30">
        <f t="shared" ref="AE30:AE34" si="20">AE29+10</f>
        <v>10</v>
      </c>
      <c r="AF30" s="35">
        <f t="shared" si="16"/>
        <v>17510.716974575786</v>
      </c>
      <c r="AG30" s="34">
        <v>102285.48528720274</v>
      </c>
      <c r="AH30" s="38">
        <f t="shared" si="17"/>
        <v>1.7760921506812057</v>
      </c>
      <c r="AJ30" s="87">
        <v>30</v>
      </c>
      <c r="AK30" s="88">
        <f t="shared" si="18"/>
        <v>5.3282764520436166</v>
      </c>
      <c r="AL30" s="88">
        <f t="shared" si="10"/>
        <v>14.099267256116812</v>
      </c>
      <c r="AM30" s="89">
        <f t="shared" si="8"/>
        <v>11.524919740702034</v>
      </c>
      <c r="AN30" s="89">
        <f t="shared" si="9"/>
        <v>25.624186996818832</v>
      </c>
      <c r="AO30" s="58">
        <f t="shared" si="11"/>
        <v>-14.099267256116812</v>
      </c>
    </row>
    <row r="31" spans="1:41" ht="15.75" customHeight="1" x14ac:dyDescent="0.25">
      <c r="A31" s="25" t="s">
        <v>172</v>
      </c>
      <c r="B31" s="6">
        <f t="shared" ref="B31:B32" si="21">IF(B11=0,0,-(B11/100)*$B$45)</f>
        <v>0</v>
      </c>
      <c r="C31" s="2" t="s">
        <v>3</v>
      </c>
      <c r="D31" s="2"/>
      <c r="E31" s="16" t="s">
        <v>92</v>
      </c>
      <c r="F31" s="24">
        <f>(J16/100)*B47</f>
        <v>4775.6500839752143</v>
      </c>
      <c r="G31" s="2" t="s">
        <v>3</v>
      </c>
      <c r="H31" s="2"/>
      <c r="I31" s="1" t="s">
        <v>135</v>
      </c>
      <c r="J31" s="49">
        <f>SUM(J32:J36)</f>
        <v>5002.0646319569123</v>
      </c>
      <c r="K31" s="1" t="s">
        <v>49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1">
        <f t="shared" si="5"/>
        <v>0</v>
      </c>
      <c r="U31" s="18">
        <f t="shared" si="0"/>
        <v>0</v>
      </c>
      <c r="V31" s="3"/>
      <c r="W31" s="6">
        <f t="shared" si="6"/>
        <v>0</v>
      </c>
      <c r="X31" s="2"/>
      <c r="Y31" s="2"/>
      <c r="Z31" s="30">
        <f t="shared" si="19"/>
        <v>20</v>
      </c>
      <c r="AA31" s="33">
        <f t="shared" si="13"/>
        <v>0.88050269299820461</v>
      </c>
      <c r="AB31" s="34">
        <v>109947.06013874622</v>
      </c>
      <c r="AC31" s="38">
        <f t="shared" si="14"/>
        <v>9.3995115040778696</v>
      </c>
      <c r="AD31" s="2"/>
      <c r="AE31" s="30">
        <f t="shared" si="20"/>
        <v>20</v>
      </c>
      <c r="AF31" s="35">
        <f t="shared" si="16"/>
        <v>19102.600335900857</v>
      </c>
      <c r="AG31" s="34">
        <v>104070.46684532992</v>
      </c>
      <c r="AH31" s="38">
        <f t="shared" si="17"/>
        <v>3.5521843013624115</v>
      </c>
      <c r="AJ31" s="87">
        <v>40</v>
      </c>
      <c r="AK31" s="88">
        <f t="shared" si="18"/>
        <v>7.104368602724823</v>
      </c>
      <c r="AL31" s="88">
        <f t="shared" si="10"/>
        <v>18.799023008155753</v>
      </c>
      <c r="AM31" s="89">
        <f t="shared" si="8"/>
        <v>15.366559654269363</v>
      </c>
      <c r="AN31" s="89">
        <f t="shared" si="9"/>
        <v>34.16558266242513</v>
      </c>
      <c r="AO31" s="58">
        <f t="shared" si="11"/>
        <v>-18.799023008155753</v>
      </c>
    </row>
    <row r="32" spans="1:41" ht="15.75" customHeight="1" x14ac:dyDescent="0.25">
      <c r="A32" s="25" t="s">
        <v>44</v>
      </c>
      <c r="B32" s="6">
        <f t="shared" si="21"/>
        <v>0</v>
      </c>
      <c r="C32" s="2" t="s">
        <v>3</v>
      </c>
      <c r="D32" s="2"/>
      <c r="E32" s="16" t="s">
        <v>94</v>
      </c>
      <c r="F32" s="6">
        <f>B47-F31</f>
        <v>11143.183529275499</v>
      </c>
      <c r="G32" s="2" t="s">
        <v>3</v>
      </c>
      <c r="H32" s="2"/>
      <c r="I32" s="16" t="s">
        <v>105</v>
      </c>
      <c r="J32" s="27">
        <f>F16/$B$8</f>
        <v>2.0646319569120286</v>
      </c>
      <c r="K32" s="2" t="s">
        <v>49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1">
        <f t="shared" si="5"/>
        <v>0</v>
      </c>
      <c r="U32" s="18">
        <f t="shared" si="0"/>
        <v>0</v>
      </c>
      <c r="V32" s="3"/>
      <c r="W32" s="6">
        <f t="shared" si="6"/>
        <v>0</v>
      </c>
      <c r="X32" s="2"/>
      <c r="Y32" s="2"/>
      <c r="Z32" s="30">
        <f t="shared" si="19"/>
        <v>30</v>
      </c>
      <c r="AA32" s="33">
        <f t="shared" si="13"/>
        <v>0.95387791741472161</v>
      </c>
      <c r="AB32" s="34">
        <v>114670.33834358156</v>
      </c>
      <c r="AC32" s="38">
        <f t="shared" si="14"/>
        <v>14.099267256116812</v>
      </c>
      <c r="AD32" s="2"/>
      <c r="AE32" s="30">
        <f t="shared" si="20"/>
        <v>30</v>
      </c>
      <c r="AF32" s="35">
        <f t="shared" si="16"/>
        <v>20694.483697225929</v>
      </c>
      <c r="AG32" s="34">
        <v>105855.44840345711</v>
      </c>
      <c r="AH32" s="38">
        <f t="shared" si="17"/>
        <v>5.3282764520436166</v>
      </c>
      <c r="AJ32" s="87">
        <v>50</v>
      </c>
      <c r="AK32" s="88">
        <f t="shared" si="18"/>
        <v>8.8804607534060267</v>
      </c>
      <c r="AL32" s="88">
        <f t="shared" si="10"/>
        <v>23.498778760194639</v>
      </c>
      <c r="AM32" s="89">
        <f t="shared" si="8"/>
        <v>19.208199567836736</v>
      </c>
      <c r="AN32" s="89">
        <f t="shared" si="9"/>
        <v>42.706978328031433</v>
      </c>
      <c r="AO32" s="58">
        <f t="shared" si="11"/>
        <v>-23.498778760194682</v>
      </c>
    </row>
    <row r="33" spans="1:34" ht="15.75" customHeight="1" x14ac:dyDescent="0.25">
      <c r="A33" s="25" t="s">
        <v>50</v>
      </c>
      <c r="B33" s="6">
        <f t="shared" ref="B33:B34" si="22">IF(B13=0,0,(B13/100)*$B$44)</f>
        <v>1393.5483870967744</v>
      </c>
      <c r="C33" s="2" t="s">
        <v>3</v>
      </c>
      <c r="D33" s="2"/>
      <c r="E33" s="16" t="s">
        <v>95</v>
      </c>
      <c r="F33" s="24">
        <f>F32*(F20/100)*J15</f>
        <v>3955.8301528928018</v>
      </c>
      <c r="G33" s="2" t="s">
        <v>3</v>
      </c>
      <c r="H33" s="2"/>
      <c r="I33" s="16" t="s">
        <v>73</v>
      </c>
      <c r="J33" s="27">
        <f>F18/$B$8</f>
        <v>0</v>
      </c>
      <c r="K33" s="2" t="s">
        <v>49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1">
        <f t="shared" si="5"/>
        <v>0</v>
      </c>
      <c r="U33" s="18">
        <f t="shared" si="0"/>
        <v>0</v>
      </c>
      <c r="V33" s="3"/>
      <c r="W33" s="6">
        <f t="shared" si="6"/>
        <v>0</v>
      </c>
      <c r="X33" s="2"/>
      <c r="Y33" s="2"/>
      <c r="Z33" s="30">
        <f t="shared" si="19"/>
        <v>40</v>
      </c>
      <c r="AA33" s="33">
        <f t="shared" si="13"/>
        <v>1.0272531418312387</v>
      </c>
      <c r="AB33" s="34">
        <v>119393.6165484169</v>
      </c>
      <c r="AC33" s="38">
        <f t="shared" si="14"/>
        <v>18.799023008155753</v>
      </c>
      <c r="AD33" s="2"/>
      <c r="AE33" s="30">
        <f t="shared" si="20"/>
        <v>40</v>
      </c>
      <c r="AF33" s="35">
        <f t="shared" si="16"/>
        <v>22286.367058550997</v>
      </c>
      <c r="AG33" s="34">
        <v>107640.42996158429</v>
      </c>
      <c r="AH33" s="38">
        <f t="shared" si="17"/>
        <v>7.104368602724823</v>
      </c>
    </row>
    <row r="34" spans="1:34" ht="15.75" customHeight="1" x14ac:dyDescent="0.25">
      <c r="A34" s="25" t="s">
        <v>54</v>
      </c>
      <c r="B34" s="6">
        <f t="shared" si="22"/>
        <v>2903.2258064516136</v>
      </c>
      <c r="C34" s="2" t="s">
        <v>3</v>
      </c>
      <c r="D34" s="2"/>
      <c r="E34" s="2"/>
      <c r="F34" s="32"/>
      <c r="G34" s="2"/>
      <c r="H34" s="2"/>
      <c r="I34" s="16" t="s">
        <v>64</v>
      </c>
      <c r="J34" s="27">
        <f>F15/$B$8</f>
        <v>0</v>
      </c>
      <c r="K34" s="2" t="s">
        <v>49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1">
        <f t="shared" si="5"/>
        <v>0</v>
      </c>
      <c r="U34" s="18">
        <f t="shared" si="0"/>
        <v>0</v>
      </c>
      <c r="V34" s="3"/>
      <c r="W34" s="6">
        <f t="shared" si="6"/>
        <v>0</v>
      </c>
      <c r="X34" s="2"/>
      <c r="Y34" s="2"/>
      <c r="Z34" s="30">
        <f t="shared" si="19"/>
        <v>50</v>
      </c>
      <c r="AA34" s="33">
        <f t="shared" si="13"/>
        <v>1.1006283662477556</v>
      </c>
      <c r="AB34" s="34">
        <v>124116.89475325219</v>
      </c>
      <c r="AC34" s="38">
        <f t="shared" si="14"/>
        <v>23.498778760194639</v>
      </c>
      <c r="AD34" s="2"/>
      <c r="AE34" s="30">
        <f t="shared" si="20"/>
        <v>50</v>
      </c>
      <c r="AF34" s="35">
        <f t="shared" si="16"/>
        <v>23878.250419876073</v>
      </c>
      <c r="AG34" s="34">
        <v>109425.41151971147</v>
      </c>
      <c r="AH34" s="38">
        <f t="shared" si="17"/>
        <v>8.8804607534060267</v>
      </c>
    </row>
    <row r="35" spans="1:34" ht="15.75" customHeight="1" x14ac:dyDescent="0.25">
      <c r="A35" s="25" t="s">
        <v>63</v>
      </c>
      <c r="B35" s="6">
        <f>IF(B16=0,0,(B16/100)*$B$44)</f>
        <v>0</v>
      </c>
      <c r="C35" s="2" t="s">
        <v>3</v>
      </c>
      <c r="D35" s="2"/>
      <c r="E35" s="1" t="s">
        <v>98</v>
      </c>
      <c r="F35" s="2"/>
      <c r="G35" s="2"/>
      <c r="H35" s="2"/>
      <c r="I35" s="2" t="s">
        <v>184</v>
      </c>
      <c r="J35" s="32">
        <f>F22/B8</f>
        <v>0</v>
      </c>
      <c r="K35" s="2" t="s">
        <v>49</v>
      </c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1">
        <f t="shared" si="5"/>
        <v>0</v>
      </c>
      <c r="U35" s="18">
        <f t="shared" si="0"/>
        <v>0</v>
      </c>
      <c r="V35" s="3"/>
      <c r="W35" s="6">
        <f t="shared" si="6"/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25" t="s">
        <v>181</v>
      </c>
      <c r="B36" s="27">
        <f t="shared" ref="B36:B38" si="23">IF(B17=0,0,(B17/$B$8))</f>
        <v>8.0789946140035909</v>
      </c>
      <c r="C36" s="2" t="s">
        <v>3</v>
      </c>
      <c r="D36" s="2"/>
      <c r="E36" s="16" t="s">
        <v>175</v>
      </c>
      <c r="F36" s="27">
        <f>F13/$B$8</f>
        <v>0.73375224416517049</v>
      </c>
      <c r="G36" s="2" t="s">
        <v>126</v>
      </c>
      <c r="H36" s="2"/>
      <c r="I36" s="16" t="s">
        <v>48</v>
      </c>
      <c r="J36" s="20">
        <f>F19*F12/$B$8</f>
        <v>5000</v>
      </c>
      <c r="K36" s="2" t="s">
        <v>49</v>
      </c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1">
        <f t="shared" si="5"/>
        <v>0</v>
      </c>
      <c r="U36" s="18">
        <f t="shared" si="0"/>
        <v>0</v>
      </c>
      <c r="V36" s="3"/>
      <c r="W36" s="6">
        <f t="shared" si="6"/>
        <v>0</v>
      </c>
      <c r="X36" s="2"/>
      <c r="Y36" s="2"/>
      <c r="Z36" s="29" t="s">
        <v>48</v>
      </c>
      <c r="AA36" s="30"/>
      <c r="AB36" s="30"/>
      <c r="AC36" s="30"/>
      <c r="AD36" s="2"/>
      <c r="AE36" s="29" t="s">
        <v>99</v>
      </c>
      <c r="AF36" s="30"/>
      <c r="AG36" s="30"/>
      <c r="AH36" s="30"/>
    </row>
    <row r="37" spans="1:34" ht="15.75" customHeight="1" x14ac:dyDescent="0.25">
      <c r="A37" s="16" t="s">
        <v>183</v>
      </c>
      <c r="B37" s="27">
        <f t="shared" si="23"/>
        <v>0.17953321364452424</v>
      </c>
      <c r="C37" s="2" t="s">
        <v>3</v>
      </c>
      <c r="D37" s="2"/>
      <c r="E37" s="16" t="s">
        <v>176</v>
      </c>
      <c r="F37" s="50">
        <f>F36*J10</f>
        <v>0.11740035906642728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1">
        <f t="shared" si="5"/>
        <v>0</v>
      </c>
      <c r="U37" s="18">
        <f t="shared" si="0"/>
        <v>0</v>
      </c>
      <c r="V37" s="3"/>
      <c r="W37" s="6">
        <f t="shared" si="6"/>
        <v>0</v>
      </c>
      <c r="X37" s="2"/>
      <c r="Y37" s="2"/>
      <c r="Z37" s="30" t="s">
        <v>78</v>
      </c>
      <c r="AA37" s="30" t="s">
        <v>136</v>
      </c>
      <c r="AB37" s="30" t="s">
        <v>23</v>
      </c>
      <c r="AC37" s="30" t="s">
        <v>80</v>
      </c>
      <c r="AD37" s="2"/>
      <c r="AE37" s="30" t="s">
        <v>78</v>
      </c>
      <c r="AF37" s="30" t="s">
        <v>103</v>
      </c>
      <c r="AG37" s="30" t="s">
        <v>23</v>
      </c>
      <c r="AH37" s="30" t="s">
        <v>80</v>
      </c>
    </row>
    <row r="38" spans="1:34" ht="15.75" customHeight="1" x14ac:dyDescent="0.25">
      <c r="A38" s="2" t="s">
        <v>132</v>
      </c>
      <c r="B38" s="27">
        <f t="shared" si="23"/>
        <v>0.89766606822262118</v>
      </c>
      <c r="C38" s="2" t="s">
        <v>3</v>
      </c>
      <c r="D38" s="2"/>
      <c r="E38" s="16" t="s">
        <v>137</v>
      </c>
      <c r="F38" s="32">
        <f>F37*F12</f>
        <v>5870.0179533213641</v>
      </c>
      <c r="G38" s="26" t="s">
        <v>49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1">
        <f t="shared" si="5"/>
        <v>0</v>
      </c>
      <c r="U38" s="18">
        <f t="shared" si="0"/>
        <v>0</v>
      </c>
      <c r="V38" s="3"/>
      <c r="W38" s="6">
        <f t="shared" si="6"/>
        <v>0</v>
      </c>
      <c r="X38" s="2"/>
      <c r="Y38" s="2"/>
      <c r="Z38" s="30" t="s">
        <v>134</v>
      </c>
      <c r="AA38" s="33">
        <v>5000</v>
      </c>
      <c r="AB38" s="34">
        <f>U49</f>
        <v>100500.50372907556</v>
      </c>
      <c r="AC38" s="30"/>
      <c r="AD38" s="2"/>
      <c r="AE38" s="30" t="s">
        <v>134</v>
      </c>
      <c r="AF38" s="35">
        <v>50000</v>
      </c>
      <c r="AG38" s="34">
        <f>U49</f>
        <v>100500.50372907556</v>
      </c>
      <c r="AH38" s="30"/>
    </row>
    <row r="39" spans="1:3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1">
        <f t="shared" si="5"/>
        <v>0</v>
      </c>
      <c r="U39" s="18">
        <f t="shared" si="0"/>
        <v>0</v>
      </c>
      <c r="V39" s="3"/>
      <c r="W39" s="6">
        <f t="shared" si="6"/>
        <v>0</v>
      </c>
      <c r="X39" s="2"/>
      <c r="Y39" s="2"/>
      <c r="Z39" s="30">
        <f t="shared" ref="Z39:Z43" si="24">Z40-10</f>
        <v>-50</v>
      </c>
      <c r="AA39" s="33">
        <f t="shared" ref="AA39:AA49" si="25">$AA$38*(1+(Z39/100))</f>
        <v>2500</v>
      </c>
      <c r="AB39" s="34">
        <f t="dataTable" ref="AB39:AB49" dt2D="0" dtr="0" r1="J36" ca="1"/>
        <v>81196.166406113523</v>
      </c>
      <c r="AC39" s="38">
        <f t="shared" ref="AC39:AC49" si="26">100*((AB39-$AB$29)/$AB$29)</f>
        <v>-19.208199567836736</v>
      </c>
      <c r="AD39" s="2"/>
      <c r="AE39" s="30">
        <f t="shared" ref="AE39:AE43" si="27">AE40-10</f>
        <v>-50</v>
      </c>
      <c r="AF39" s="35">
        <f t="shared" ref="AF39:AF49" si="28">$AF$38*(1+(AE39/100))</f>
        <v>25000</v>
      </c>
      <c r="AG39" s="34">
        <f t="dataTable" ref="AG39:AG49" dt2D="0" dtr="0" r1="F12" ca="1"/>
        <v>57579.775381936859</v>
      </c>
      <c r="AH39" s="38">
        <f t="shared" ref="AH39:AH49" si="29">100*((AG39-$AG$44)/$AG$44)</f>
        <v>-42.706978328031411</v>
      </c>
    </row>
    <row r="40" spans="1:3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1">
        <f t="shared" si="5"/>
        <v>0</v>
      </c>
      <c r="U40" s="18">
        <f t="shared" si="0"/>
        <v>0</v>
      </c>
      <c r="V40" s="3"/>
      <c r="W40" s="6">
        <f t="shared" si="6"/>
        <v>0</v>
      </c>
      <c r="X40" s="2"/>
      <c r="Y40" s="2"/>
      <c r="Z40" s="30">
        <f t="shared" si="24"/>
        <v>-40</v>
      </c>
      <c r="AA40" s="33">
        <f t="shared" si="25"/>
        <v>3000</v>
      </c>
      <c r="AB40" s="34">
        <v>85057.033870705927</v>
      </c>
      <c r="AC40" s="38">
        <f t="shared" si="26"/>
        <v>-15.366559654269391</v>
      </c>
      <c r="AD40" s="2"/>
      <c r="AE40" s="30">
        <f t="shared" si="27"/>
        <v>-40</v>
      </c>
      <c r="AF40" s="35">
        <f t="shared" si="28"/>
        <v>30000</v>
      </c>
      <c r="AG40" s="34">
        <v>66163.921051364596</v>
      </c>
      <c r="AH40" s="38">
        <f t="shared" si="29"/>
        <v>-34.16558266242513</v>
      </c>
    </row>
    <row r="41" spans="1:34" ht="15.75" customHeight="1" x14ac:dyDescent="0.25">
      <c r="A41" s="2"/>
      <c r="B41" s="2"/>
      <c r="C41" s="2"/>
      <c r="D41" s="2"/>
      <c r="E41" s="16" t="s">
        <v>96</v>
      </c>
      <c r="F41" s="6">
        <f>F12*B5</f>
        <v>500000</v>
      </c>
      <c r="G41" s="2" t="s">
        <v>97</v>
      </c>
      <c r="H41" s="2"/>
      <c r="I41" s="2"/>
      <c r="J41" s="2"/>
      <c r="K41" s="2"/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1">
        <f t="shared" si="5"/>
        <v>0</v>
      </c>
      <c r="U41" s="18">
        <f t="shared" si="0"/>
        <v>0</v>
      </c>
      <c r="V41" s="3"/>
      <c r="W41" s="6">
        <f t="shared" si="6"/>
        <v>0</v>
      </c>
      <c r="X41" s="2"/>
      <c r="Y41" s="2"/>
      <c r="Z41" s="30">
        <f t="shared" si="24"/>
        <v>-30</v>
      </c>
      <c r="AA41" s="33">
        <f t="shared" si="25"/>
        <v>3500</v>
      </c>
      <c r="AB41" s="34">
        <v>88917.901335298331</v>
      </c>
      <c r="AC41" s="38">
        <f t="shared" si="26"/>
        <v>-11.524919740702048</v>
      </c>
      <c r="AD41" s="2"/>
      <c r="AE41" s="30">
        <f t="shared" si="27"/>
        <v>-30</v>
      </c>
      <c r="AF41" s="35">
        <f t="shared" si="28"/>
        <v>35000</v>
      </c>
      <c r="AG41" s="34">
        <v>74748.066720792325</v>
      </c>
      <c r="AH41" s="38">
        <f t="shared" si="29"/>
        <v>-25.62418699681886</v>
      </c>
    </row>
    <row r="42" spans="1:34" ht="15.75" customHeight="1" x14ac:dyDescent="0.25">
      <c r="A42" s="23" t="s">
        <v>108</v>
      </c>
      <c r="B42" s="3"/>
      <c r="C42" s="1"/>
      <c r="D42" s="2"/>
      <c r="E42" s="16"/>
      <c r="F42" s="27"/>
      <c r="G42" s="2"/>
      <c r="H42" s="2"/>
      <c r="I42" s="1" t="s">
        <v>138</v>
      </c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1">
        <f t="shared" si="5"/>
        <v>0</v>
      </c>
      <c r="U42" s="18">
        <f t="shared" si="0"/>
        <v>0</v>
      </c>
      <c r="V42" s="3"/>
      <c r="W42" s="6">
        <f t="shared" si="6"/>
        <v>0</v>
      </c>
      <c r="X42" s="2"/>
      <c r="Y42" s="2"/>
      <c r="Z42" s="30">
        <f t="shared" si="24"/>
        <v>-20</v>
      </c>
      <c r="AA42" s="33">
        <f t="shared" si="25"/>
        <v>4000</v>
      </c>
      <c r="AB42" s="34">
        <v>92778.768799890735</v>
      </c>
      <c r="AC42" s="38">
        <f t="shared" si="26"/>
        <v>-7.6832798271347036</v>
      </c>
      <c r="AD42" s="2"/>
      <c r="AE42" s="30">
        <f t="shared" si="27"/>
        <v>-20</v>
      </c>
      <c r="AF42" s="35">
        <f t="shared" si="28"/>
        <v>40000</v>
      </c>
      <c r="AG42" s="34">
        <v>83332.212390220055</v>
      </c>
      <c r="AH42" s="38">
        <f t="shared" si="29"/>
        <v>-17.082791331212587</v>
      </c>
    </row>
    <row r="43" spans="1:34" ht="15.75" customHeight="1" x14ac:dyDescent="0.25">
      <c r="A43" s="16" t="s">
        <v>199</v>
      </c>
      <c r="B43" s="6">
        <f>J8/B8</f>
        <v>9677.419354838712</v>
      </c>
      <c r="C43" s="2" t="s">
        <v>3</v>
      </c>
      <c r="D43" s="2"/>
      <c r="E43" s="2"/>
      <c r="F43" s="2"/>
      <c r="G43" s="2"/>
      <c r="H43" s="2"/>
      <c r="I43" s="16" t="s">
        <v>111</v>
      </c>
      <c r="J43" s="20">
        <f>F17*J9/B8</f>
        <v>27.737881508078992</v>
      </c>
      <c r="K43" s="2" t="s">
        <v>49</v>
      </c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1">
        <f t="shared" si="5"/>
        <v>0</v>
      </c>
      <c r="U43" s="18">
        <f t="shared" si="0"/>
        <v>0</v>
      </c>
      <c r="V43" s="3"/>
      <c r="W43" s="6">
        <f t="shared" si="6"/>
        <v>0</v>
      </c>
      <c r="X43" s="2"/>
      <c r="Y43" s="2"/>
      <c r="Z43" s="30">
        <f t="shared" si="24"/>
        <v>-10</v>
      </c>
      <c r="AA43" s="33">
        <f t="shared" si="25"/>
        <v>4500</v>
      </c>
      <c r="AB43" s="34">
        <v>96639.636264483153</v>
      </c>
      <c r="AC43" s="38">
        <f t="shared" si="26"/>
        <v>-3.8416399135673442</v>
      </c>
      <c r="AD43" s="2"/>
      <c r="AE43" s="30">
        <f t="shared" si="27"/>
        <v>-10</v>
      </c>
      <c r="AF43" s="35">
        <f t="shared" si="28"/>
        <v>45000</v>
      </c>
      <c r="AG43" s="34">
        <v>91916.358059647813</v>
      </c>
      <c r="AH43" s="38">
        <f t="shared" si="29"/>
        <v>-8.5413956656062862</v>
      </c>
    </row>
    <row r="44" spans="1:34" ht="15.75" customHeight="1" x14ac:dyDescent="0.25">
      <c r="A44" s="2" t="s">
        <v>114</v>
      </c>
      <c r="B44" s="24">
        <f>(1+B15/100)*B43</f>
        <v>11612.903225806454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1">
        <f t="shared" si="5"/>
        <v>0</v>
      </c>
      <c r="U44" s="18">
        <f t="shared" si="0"/>
        <v>0</v>
      </c>
      <c r="V44" s="3"/>
      <c r="W44" s="6">
        <f t="shared" si="6"/>
        <v>0</v>
      </c>
      <c r="X44" s="2"/>
      <c r="Y44" s="2"/>
      <c r="Z44" s="43">
        <v>0</v>
      </c>
      <c r="AA44" s="44">
        <f t="shared" si="25"/>
        <v>5000</v>
      </c>
      <c r="AB44" s="45">
        <v>100500.50372907556</v>
      </c>
      <c r="AC44" s="46">
        <f t="shared" si="26"/>
        <v>0</v>
      </c>
      <c r="AD44" s="2"/>
      <c r="AE44" s="43">
        <v>0</v>
      </c>
      <c r="AF44" s="47">
        <f t="shared" si="28"/>
        <v>50000</v>
      </c>
      <c r="AG44" s="45">
        <v>100500.50372907556</v>
      </c>
      <c r="AH44" s="46">
        <f t="shared" si="29"/>
        <v>0</v>
      </c>
    </row>
    <row r="45" spans="1:34" ht="15.75" customHeight="1" x14ac:dyDescent="0.25">
      <c r="A45" s="25" t="s">
        <v>139</v>
      </c>
      <c r="B45" s="6">
        <f>SUM(B33:B38)+B44</f>
        <v>15918.833613250714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1">
        <f t="shared" si="5"/>
        <v>0</v>
      </c>
      <c r="U45" s="18">
        <f t="shared" si="0"/>
        <v>0</v>
      </c>
      <c r="V45" s="3"/>
      <c r="W45" s="6">
        <f t="shared" si="6"/>
        <v>0</v>
      </c>
      <c r="X45" s="2"/>
      <c r="Y45" s="2"/>
      <c r="Z45" s="30">
        <f t="shared" ref="Z45:Z49" si="30">Z44+10</f>
        <v>10</v>
      </c>
      <c r="AA45" s="33">
        <f t="shared" si="25"/>
        <v>5500</v>
      </c>
      <c r="AB45" s="34">
        <v>104361.37119366796</v>
      </c>
      <c r="AC45" s="38">
        <f t="shared" si="26"/>
        <v>3.8416399135673442</v>
      </c>
      <c r="AD45" s="2"/>
      <c r="AE45" s="30">
        <f t="shared" ref="AE45:AE49" si="31">AE44+10</f>
        <v>10</v>
      </c>
      <c r="AF45" s="35">
        <f t="shared" si="28"/>
        <v>55000.000000000007</v>
      </c>
      <c r="AG45" s="34">
        <v>109084.6493985033</v>
      </c>
      <c r="AH45" s="38">
        <f t="shared" si="29"/>
        <v>8.5413956656062862</v>
      </c>
    </row>
    <row r="46" spans="1:34" ht="15.75" customHeight="1" x14ac:dyDescent="0.25">
      <c r="A46" s="25" t="s">
        <v>173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1">
        <f t="shared" si="5"/>
        <v>0</v>
      </c>
      <c r="U46" s="18">
        <f t="shared" si="0"/>
        <v>0</v>
      </c>
      <c r="V46" s="3"/>
      <c r="W46" s="6">
        <f t="shared" si="6"/>
        <v>0</v>
      </c>
      <c r="X46" s="2"/>
      <c r="Y46" s="2"/>
      <c r="Z46" s="30">
        <f t="shared" si="30"/>
        <v>20</v>
      </c>
      <c r="AA46" s="33">
        <f t="shared" si="25"/>
        <v>6000</v>
      </c>
      <c r="AB46" s="34">
        <v>108222.23865826036</v>
      </c>
      <c r="AC46" s="38">
        <f t="shared" si="26"/>
        <v>7.6832798271346885</v>
      </c>
      <c r="AD46" s="2"/>
      <c r="AE46" s="30">
        <f t="shared" si="31"/>
        <v>20</v>
      </c>
      <c r="AF46" s="35">
        <f t="shared" si="28"/>
        <v>60000</v>
      </c>
      <c r="AG46" s="34">
        <v>117668.79506793103</v>
      </c>
      <c r="AH46" s="38">
        <f t="shared" si="29"/>
        <v>17.082791331212558</v>
      </c>
    </row>
    <row r="47" spans="1:34" ht="15.75" customHeight="1" x14ac:dyDescent="0.25">
      <c r="A47" s="25" t="s">
        <v>174</v>
      </c>
      <c r="B47" s="6">
        <f>SUM(B45:B46)</f>
        <v>15918.833613250714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1">
        <f t="shared" si="5"/>
        <v>0</v>
      </c>
      <c r="U47" s="18">
        <f t="shared" si="0"/>
        <v>0</v>
      </c>
      <c r="V47" s="3"/>
      <c r="W47" s="6">
        <f t="shared" si="6"/>
        <v>0</v>
      </c>
      <c r="X47" s="2"/>
      <c r="Y47" s="2"/>
      <c r="Z47" s="30">
        <f t="shared" si="30"/>
        <v>30</v>
      </c>
      <c r="AA47" s="33">
        <f t="shared" si="25"/>
        <v>6500</v>
      </c>
      <c r="AB47" s="34">
        <v>112083.10612285277</v>
      </c>
      <c r="AC47" s="38">
        <f t="shared" si="26"/>
        <v>11.524919740702034</v>
      </c>
      <c r="AD47" s="2"/>
      <c r="AE47" s="30">
        <f t="shared" si="31"/>
        <v>30</v>
      </c>
      <c r="AF47" s="35">
        <f t="shared" si="28"/>
        <v>65000</v>
      </c>
      <c r="AG47" s="34">
        <v>126252.94073735876</v>
      </c>
      <c r="AH47" s="38">
        <f t="shared" si="29"/>
        <v>25.624186996818832</v>
      </c>
    </row>
    <row r="48" spans="1:3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1">
        <f t="shared" si="5"/>
        <v>0</v>
      </c>
      <c r="U48" s="18">
        <f t="shared" si="0"/>
        <v>0</v>
      </c>
      <c r="V48" s="3"/>
      <c r="W48" s="6">
        <f t="shared" si="6"/>
        <v>0</v>
      </c>
      <c r="X48" s="2"/>
      <c r="Y48" s="2"/>
      <c r="Z48" s="30">
        <f t="shared" si="30"/>
        <v>40</v>
      </c>
      <c r="AA48" s="33">
        <f t="shared" si="25"/>
        <v>7000</v>
      </c>
      <c r="AB48" s="34">
        <v>115943.97358744516</v>
      </c>
      <c r="AC48" s="38">
        <f t="shared" si="26"/>
        <v>15.366559654269363</v>
      </c>
      <c r="AD48" s="2"/>
      <c r="AE48" s="30">
        <f t="shared" si="31"/>
        <v>40</v>
      </c>
      <c r="AF48" s="35">
        <f t="shared" si="28"/>
        <v>70000</v>
      </c>
      <c r="AG48" s="34">
        <v>134837.08640678652</v>
      </c>
      <c r="AH48" s="38">
        <f t="shared" si="29"/>
        <v>34.16558266242513</v>
      </c>
    </row>
    <row r="49" spans="1:34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115</v>
      </c>
      <c r="O49" s="18">
        <f t="shared" ref="O49:U49" si="32">SUM(O8:O48)</f>
        <v>4775.6500839752143</v>
      </c>
      <c r="P49" s="18">
        <f t="shared" si="32"/>
        <v>13074.165497296639</v>
      </c>
      <c r="Q49" s="18">
        <f t="shared" si="32"/>
        <v>47232.782048353329</v>
      </c>
      <c r="R49" s="18">
        <f t="shared" si="32"/>
        <v>38624.617186621661</v>
      </c>
      <c r="S49" s="18">
        <f t="shared" si="32"/>
        <v>214.18456850252301</v>
      </c>
      <c r="T49" s="18">
        <f t="shared" si="32"/>
        <v>-3420.8956556738203</v>
      </c>
      <c r="U49" s="18">
        <f t="shared" si="32"/>
        <v>100500.50372907556</v>
      </c>
      <c r="V49" s="3"/>
      <c r="W49" s="3"/>
      <c r="X49" s="2"/>
      <c r="Y49" s="2"/>
      <c r="Z49" s="30">
        <f t="shared" si="30"/>
        <v>50</v>
      </c>
      <c r="AA49" s="33">
        <f t="shared" si="25"/>
        <v>7500</v>
      </c>
      <c r="AB49" s="34">
        <v>119804.84105203759</v>
      </c>
      <c r="AC49" s="38">
        <f t="shared" si="26"/>
        <v>19.208199567836736</v>
      </c>
      <c r="AD49" s="2"/>
      <c r="AE49" s="30">
        <f t="shared" si="31"/>
        <v>50</v>
      </c>
      <c r="AF49" s="35">
        <f t="shared" si="28"/>
        <v>75000</v>
      </c>
      <c r="AG49" s="34">
        <v>143421.23207621428</v>
      </c>
      <c r="AH49" s="38">
        <f t="shared" si="29"/>
        <v>42.706978328031433</v>
      </c>
    </row>
    <row r="50" spans="1:34" ht="15.75" customHeight="1" x14ac:dyDescent="0.25">
      <c r="A50" s="2"/>
      <c r="B50" s="32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SUM(R49:S49)</f>
        <v>38838.801755124186</v>
      </c>
      <c r="S50" s="2"/>
      <c r="T50" s="2"/>
      <c r="U50" s="2"/>
      <c r="V50" s="2"/>
      <c r="W50" s="2"/>
      <c r="X50" s="24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9" t="s">
        <v>198</v>
      </c>
      <c r="AA51" s="30"/>
      <c r="AB51" s="30"/>
      <c r="AC51" s="30"/>
      <c r="AD51" s="2"/>
      <c r="AE51" s="2"/>
      <c r="AF51" s="2"/>
      <c r="AG51" s="2"/>
      <c r="AH51" s="2"/>
    </row>
    <row r="52" spans="1:34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0" t="s">
        <v>78</v>
      </c>
      <c r="AA52" s="30" t="s">
        <v>198</v>
      </c>
      <c r="AB52" s="30" t="s">
        <v>23</v>
      </c>
      <c r="AC52" s="30" t="s">
        <v>80</v>
      </c>
      <c r="AD52" s="2"/>
      <c r="AE52" s="2"/>
      <c r="AF52" s="2"/>
      <c r="AG52" s="2"/>
      <c r="AH52" s="2"/>
    </row>
    <row r="53" spans="1:34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2"/>
      <c r="N53" s="2"/>
      <c r="O53" s="1" t="s">
        <v>140</v>
      </c>
      <c r="P53" s="1"/>
      <c r="Q53" s="2"/>
      <c r="R53" s="2"/>
      <c r="S53" s="2"/>
      <c r="T53" s="2"/>
      <c r="U53" s="2"/>
      <c r="V53" s="2"/>
      <c r="W53" s="2"/>
      <c r="X53" s="32"/>
      <c r="Y53" s="2"/>
      <c r="Z53" s="30" t="s">
        <v>134</v>
      </c>
      <c r="AA53" s="33">
        <v>0.16</v>
      </c>
      <c r="AB53" s="34">
        <f>U49</f>
        <v>100500.50372907556</v>
      </c>
      <c r="AC53" s="30"/>
      <c r="AD53" s="2"/>
      <c r="AE53" s="2"/>
      <c r="AF53" s="2"/>
      <c r="AG53" s="2"/>
      <c r="AH53" s="2"/>
    </row>
    <row r="54" spans="1:3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4"/>
      <c r="O54" s="55" t="s">
        <v>118</v>
      </c>
      <c r="P54" s="56" t="str">
        <f>B1</f>
        <v>Philippines</v>
      </c>
      <c r="Q54" s="54"/>
      <c r="R54" s="54"/>
      <c r="S54" s="54"/>
      <c r="T54" s="54"/>
      <c r="U54" s="2"/>
      <c r="V54" s="2"/>
      <c r="W54" s="2"/>
      <c r="X54" s="32"/>
      <c r="Y54" s="2"/>
      <c r="Z54" s="30">
        <f t="shared" ref="Z54:Z58" si="33">Z55-10</f>
        <v>-50</v>
      </c>
      <c r="AA54" s="33">
        <f>$AA$53*(1+(-Z54/100))</f>
        <v>0.24</v>
      </c>
      <c r="AB54" s="34">
        <f t="dataTable" ref="AB54:AB64" dt2D="0" dtr="0" r1="J10"/>
        <v>124116.89475325223</v>
      </c>
      <c r="AC54" s="38">
        <f>100*((AB54-$AB$59)/$AB$59)</f>
        <v>23.498778760194682</v>
      </c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24">
        <f>SUM(O49:P49)</f>
        <v>17849.815581271854</v>
      </c>
      <c r="Q55" s="2" t="s">
        <v>3</v>
      </c>
      <c r="R55" s="50">
        <f t="shared" ref="R55:R58" si="34">P55/$F$41</f>
        <v>3.569963116254371E-2</v>
      </c>
      <c r="S55" s="2" t="s">
        <v>4</v>
      </c>
      <c r="T55" s="2"/>
      <c r="U55" s="2"/>
      <c r="V55" s="2"/>
      <c r="W55" s="2"/>
      <c r="X55" s="32"/>
      <c r="Y55" s="2"/>
      <c r="Z55" s="30">
        <f t="shared" si="33"/>
        <v>-40</v>
      </c>
      <c r="AA55" s="33">
        <f t="shared" ref="AA55:AA64" si="35">$AA$53*(1+(-Z55/100))</f>
        <v>0.22399999999999998</v>
      </c>
      <c r="AB55" s="34">
        <v>119393.61654841689</v>
      </c>
      <c r="AC55" s="38">
        <f t="shared" ref="AC55:AC64" si="36">100*((AB55-$AB$59)/$AB$59)</f>
        <v>18.799023008155739</v>
      </c>
      <c r="AD55" s="2"/>
      <c r="AE55" s="2"/>
      <c r="AF55" s="2"/>
      <c r="AG55" s="2"/>
      <c r="AH55" s="2"/>
    </row>
    <row r="56" spans="1:3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98</v>
      </c>
      <c r="P56" s="24">
        <f>SUM(Q49)</f>
        <v>47232.782048353329</v>
      </c>
      <c r="Q56" s="2" t="s">
        <v>3</v>
      </c>
      <c r="R56" s="50">
        <f t="shared" si="34"/>
        <v>9.4465564096706658E-2</v>
      </c>
      <c r="S56" s="2" t="s">
        <v>4</v>
      </c>
      <c r="T56" s="2"/>
      <c r="U56" s="2"/>
      <c r="V56" s="2"/>
      <c r="W56" s="2"/>
      <c r="X56" s="32"/>
      <c r="Y56" s="2"/>
      <c r="Z56" s="30">
        <f t="shared" si="33"/>
        <v>-30</v>
      </c>
      <c r="AA56" s="33">
        <f t="shared" si="35"/>
        <v>0.20800000000000002</v>
      </c>
      <c r="AB56" s="34">
        <v>114670.33834358156</v>
      </c>
      <c r="AC56" s="38">
        <f t="shared" si="36"/>
        <v>14.099267256116812</v>
      </c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120</v>
      </c>
      <c r="P57" s="24">
        <f>SUM(R49:S49)</f>
        <v>38838.801755124186</v>
      </c>
      <c r="Q57" s="2" t="s">
        <v>3</v>
      </c>
      <c r="R57" s="50">
        <f t="shared" si="34"/>
        <v>7.7677603510248369E-2</v>
      </c>
      <c r="S57" s="2" t="s">
        <v>4</v>
      </c>
      <c r="T57" s="2"/>
      <c r="U57" s="2"/>
      <c r="V57" s="2"/>
      <c r="W57" s="2"/>
      <c r="X57" s="32"/>
      <c r="Y57" s="2"/>
      <c r="Z57" s="30">
        <f t="shared" si="33"/>
        <v>-20</v>
      </c>
      <c r="AA57" s="33">
        <f t="shared" si="35"/>
        <v>0.192</v>
      </c>
      <c r="AB57" s="34">
        <v>109947.06013874622</v>
      </c>
      <c r="AC57" s="38">
        <f t="shared" si="36"/>
        <v>9.3995115040778696</v>
      </c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122</v>
      </c>
      <c r="P58" s="24">
        <f>T49</f>
        <v>-3420.8956556738203</v>
      </c>
      <c r="Q58" s="2" t="s">
        <v>3</v>
      </c>
      <c r="R58" s="50">
        <f t="shared" si="34"/>
        <v>-6.8417913113476411E-3</v>
      </c>
      <c r="S58" s="2" t="s">
        <v>4</v>
      </c>
      <c r="T58" s="2"/>
      <c r="U58" s="2"/>
      <c r="V58" s="2"/>
      <c r="W58" s="2"/>
      <c r="X58" s="32"/>
      <c r="Y58" s="2"/>
      <c r="Z58" s="30">
        <f t="shared" si="33"/>
        <v>-10</v>
      </c>
      <c r="AA58" s="33">
        <f t="shared" si="35"/>
        <v>0.17600000000000002</v>
      </c>
      <c r="AB58" s="34">
        <v>105223.7819339109</v>
      </c>
      <c r="AC58" s="38">
        <f t="shared" si="36"/>
        <v>4.6997557520389419</v>
      </c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2"/>
      <c r="Y59" s="2"/>
      <c r="Z59" s="43">
        <v>0</v>
      </c>
      <c r="AA59" s="90">
        <f t="shared" si="35"/>
        <v>0.16</v>
      </c>
      <c r="AB59" s="45">
        <v>100500.50372907556</v>
      </c>
      <c r="AC59" s="73">
        <f t="shared" si="36"/>
        <v>0</v>
      </c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100500.50372907554</v>
      </c>
      <c r="Q60" s="1" t="s">
        <v>3</v>
      </c>
      <c r="R60" s="51">
        <f>SUM(R55:R58)</f>
        <v>0.20100100745815111</v>
      </c>
      <c r="S60" s="1" t="s">
        <v>4</v>
      </c>
      <c r="T60" s="2"/>
      <c r="U60" s="2"/>
      <c r="V60" s="2"/>
      <c r="W60" s="2"/>
      <c r="X60" s="32"/>
      <c r="Y60" s="2"/>
      <c r="Z60" s="30">
        <f t="shared" ref="Z60:Z64" si="37">Z59+10</f>
        <v>10</v>
      </c>
      <c r="AA60" s="33">
        <f t="shared" si="35"/>
        <v>0.14400000000000002</v>
      </c>
      <c r="AB60" s="34">
        <v>95777.225524240232</v>
      </c>
      <c r="AC60" s="38">
        <f t="shared" si="36"/>
        <v>-4.6997557520389277</v>
      </c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2"/>
      <c r="Y61" s="2"/>
      <c r="Z61" s="30">
        <f t="shared" si="37"/>
        <v>20</v>
      </c>
      <c r="AA61" s="33">
        <f t="shared" si="35"/>
        <v>0.128</v>
      </c>
      <c r="AB61" s="34">
        <v>91053.947319404891</v>
      </c>
      <c r="AC61" s="38">
        <f t="shared" si="36"/>
        <v>-9.3995115040778696</v>
      </c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2"/>
      <c r="Y62" s="2"/>
      <c r="Z62" s="30">
        <f t="shared" si="37"/>
        <v>30</v>
      </c>
      <c r="AA62" s="33">
        <f t="shared" si="35"/>
        <v>0.11199999999999999</v>
      </c>
      <c r="AB62" s="34">
        <v>86330.669114569551</v>
      </c>
      <c r="AC62" s="38">
        <f t="shared" si="36"/>
        <v>-14.099267256116812</v>
      </c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2"/>
      <c r="Y63" s="2"/>
      <c r="Z63" s="30">
        <f t="shared" si="37"/>
        <v>40</v>
      </c>
      <c r="AA63" s="33">
        <f t="shared" si="35"/>
        <v>9.6000000000000002E-2</v>
      </c>
      <c r="AB63" s="34">
        <v>81607.390909734211</v>
      </c>
      <c r="AC63" s="38">
        <f t="shared" si="36"/>
        <v>-18.799023008155753</v>
      </c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2"/>
      <c r="Y64" s="2"/>
      <c r="Z64" s="30">
        <f t="shared" si="37"/>
        <v>50</v>
      </c>
      <c r="AA64" s="33">
        <f t="shared" si="35"/>
        <v>0.08</v>
      </c>
      <c r="AB64" s="34">
        <v>76884.112704898886</v>
      </c>
      <c r="AC64" s="38">
        <f t="shared" si="36"/>
        <v>-23.498778760194682</v>
      </c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Y1000"/>
  <sheetViews>
    <sheetView topLeftCell="C3" zoomScale="84" zoomScaleNormal="55" workbookViewId="0">
      <selection activeCell="J10" sqref="J10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9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5703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5703125" customWidth="1"/>
    <col min="40" max="40" width="9.7109375" customWidth="1"/>
    <col min="41" max="41" width="15.5703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2</v>
      </c>
      <c r="B2" s="3">
        <f>X49</f>
        <v>30567.639930754078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4">
        <f>B2/J34</f>
        <v>0.25473033275628398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 t="s">
        <v>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2" t="s">
        <v>23</v>
      </c>
      <c r="Y7" s="1"/>
      <c r="Z7" s="2" t="s">
        <v>24</v>
      </c>
      <c r="AA7" s="2"/>
      <c r="AB7" s="2" t="s">
        <v>25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13" t="s">
        <v>26</v>
      </c>
      <c r="B8" s="14">
        <v>55.7</v>
      </c>
      <c r="C8" s="2" t="s">
        <v>27</v>
      </c>
      <c r="D8" s="2"/>
      <c r="E8" s="2"/>
      <c r="F8" s="2"/>
      <c r="G8" s="2"/>
      <c r="H8" s="15"/>
      <c r="I8" s="16" t="s">
        <v>199</v>
      </c>
      <c r="J8" s="5">
        <v>654025.80645161297</v>
      </c>
      <c r="K8" s="2" t="s">
        <v>29</v>
      </c>
      <c r="L8" s="15"/>
      <c r="M8" s="2"/>
      <c r="N8" s="11">
        <v>0</v>
      </c>
      <c r="O8" s="17">
        <f>F31</f>
        <v>7968.8814388139217</v>
      </c>
      <c r="P8" s="11"/>
      <c r="Q8" s="11"/>
      <c r="R8" s="11"/>
      <c r="S8" s="11"/>
      <c r="T8" s="11"/>
      <c r="U8" s="11"/>
      <c r="V8" s="11"/>
      <c r="W8" s="11"/>
      <c r="X8" s="18">
        <f t="shared" ref="X8:X48" si="0">SUM(O8:W8)</f>
        <v>7968.8814388139217</v>
      </c>
      <c r="Y8" s="3"/>
      <c r="Z8" s="6"/>
      <c r="AA8" s="2"/>
      <c r="AB8" s="2" t="s">
        <v>30</v>
      </c>
      <c r="AC8" s="19">
        <f>F36</f>
        <v>0.26175942549371634</v>
      </c>
      <c r="AD8" s="2" t="s">
        <v>31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13"/>
      <c r="B9" s="2"/>
      <c r="C9" s="2"/>
      <c r="D9" s="2"/>
      <c r="E9" s="2"/>
      <c r="F9" s="20"/>
      <c r="G9" s="2"/>
      <c r="H9" s="15"/>
      <c r="I9" s="16" t="s">
        <v>32</v>
      </c>
      <c r="J9" s="6">
        <v>2600</v>
      </c>
      <c r="K9" s="2" t="s">
        <v>33</v>
      </c>
      <c r="L9" s="15"/>
      <c r="M9" s="2"/>
      <c r="N9" s="11">
        <v>1</v>
      </c>
      <c r="O9" s="11"/>
      <c r="P9" s="21">
        <f t="shared" ref="P9:P48" si="1">IF(N9&gt;0,IF(N9&lt;=$J$21,(($F$32+$F$33)/$J$21)/((1+($F$11/100))^N9),0),0)</f>
        <v>4799.0374887079397</v>
      </c>
      <c r="Q9" s="22">
        <f t="shared" ref="Q9:Q48" si="2">IF(N9&gt;0,($F$41*((1+($F$14/100))^(N9-1)))/((1+($F$11/100))^N9),0)</f>
        <v>424.79815337265961</v>
      </c>
      <c r="R9" s="22">
        <f t="shared" ref="R9:R48" si="3">IF(N9&gt;0,$F$40/((1+($F$11/100))^N9),0)</f>
        <v>0</v>
      </c>
      <c r="S9" s="22">
        <f t="shared" ref="S9:S48" si="4">IF(N9&gt;0,$J$37/((1+($F$11/100))^N9),0)</f>
        <v>286.7401897922544</v>
      </c>
      <c r="T9" s="22">
        <f t="shared" ref="T9:T48" si="5">IF(N9&gt;0,($J$46)/((1+($F$11/100))^N9),0)</f>
        <v>4.0010259040779683</v>
      </c>
      <c r="U9" s="22">
        <f t="shared" ref="U9:U48" si="6">IF(AND(MOD(N9,$J$31)=0,N9&gt;0),$B$46/((1+($F$11/100))^N9),0)</f>
        <v>0</v>
      </c>
      <c r="V9" s="22">
        <f t="shared" ref="V9:V48" si="7">IF(N9&gt;0,$J$32/((1+($F$11/100))^N9),0)</f>
        <v>0</v>
      </c>
      <c r="W9" s="21">
        <f t="shared" ref="W9:W18" si="8">IF(N9=$B$5,((((1-$J$16/100)^N9)*$B$47+((1-$J$17/100)^N9)*$B$48)/((1+($F$11/100))^N9))*-1,0)</f>
        <v>0</v>
      </c>
      <c r="X9" s="18">
        <f t="shared" si="0"/>
        <v>5514.5768577769322</v>
      </c>
      <c r="Y9" s="3"/>
      <c r="Z9" s="6">
        <f t="shared" ref="Z9:Z48" si="9">IF(N9&gt;0,((((1-$J$16/100)^N9)*$B$47+((1-$J$17/100)^N9)*$B$48)/((1+($F$11/100))^N9)),0)</f>
        <v>16954.864516129033</v>
      </c>
      <c r="AA9" s="2"/>
      <c r="AB9" s="2" t="s">
        <v>34</v>
      </c>
      <c r="AC9" s="5">
        <f>B48</f>
        <v>5292</v>
      </c>
      <c r="AD9" s="2" t="s">
        <v>3</v>
      </c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105</v>
      </c>
      <c r="K10" s="2" t="s">
        <v>31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4570.5118940075618</v>
      </c>
      <c r="Q10" s="22">
        <f t="shared" si="2"/>
        <v>408.61536657751071</v>
      </c>
      <c r="R10" s="22">
        <f t="shared" si="3"/>
        <v>0</v>
      </c>
      <c r="S10" s="22">
        <f t="shared" si="4"/>
        <v>273.08589504024229</v>
      </c>
      <c r="T10" s="22">
        <f t="shared" si="5"/>
        <v>3.8105008610266369</v>
      </c>
      <c r="U10" s="22">
        <f t="shared" si="6"/>
        <v>0</v>
      </c>
      <c r="V10" s="22">
        <f t="shared" si="7"/>
        <v>0</v>
      </c>
      <c r="W10" s="21">
        <f t="shared" si="8"/>
        <v>0</v>
      </c>
      <c r="X10" s="18">
        <f t="shared" si="0"/>
        <v>5256.0236564863417</v>
      </c>
      <c r="Y10" s="3"/>
      <c r="Z10" s="6">
        <f t="shared" si="9"/>
        <v>14836.785322273427</v>
      </c>
      <c r="AA10" s="2"/>
      <c r="AB10" s="2" t="s">
        <v>174</v>
      </c>
      <c r="AC10" s="24">
        <f>B52</f>
        <v>26562.938129379741</v>
      </c>
      <c r="AD10" s="2" t="s">
        <v>3</v>
      </c>
      <c r="AE10" s="2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25" t="s">
        <v>172</v>
      </c>
      <c r="B11" s="26">
        <v>0</v>
      </c>
      <c r="C11" s="2" t="s">
        <v>38</v>
      </c>
      <c r="D11" s="2"/>
      <c r="E11" s="16" t="s">
        <v>39</v>
      </c>
      <c r="F11" s="2">
        <v>5</v>
      </c>
      <c r="G11" s="2" t="s">
        <v>38</v>
      </c>
      <c r="H11" s="15"/>
      <c r="I11" s="16" t="s">
        <v>40</v>
      </c>
      <c r="J11" s="6">
        <v>42</v>
      </c>
      <c r="K11" s="2" t="s">
        <v>41</v>
      </c>
      <c r="L11" s="15"/>
      <c r="M11" s="2"/>
      <c r="N11" s="11">
        <f t="shared" si="10"/>
        <v>3</v>
      </c>
      <c r="O11" s="11"/>
      <c r="P11" s="21">
        <f t="shared" si="1"/>
        <v>4352.8684704833922</v>
      </c>
      <c r="Q11" s="22">
        <f t="shared" si="2"/>
        <v>393.04906689836741</v>
      </c>
      <c r="R11" s="22">
        <f t="shared" si="3"/>
        <v>0</v>
      </c>
      <c r="S11" s="22">
        <f t="shared" si="4"/>
        <v>260.08180480023071</v>
      </c>
      <c r="T11" s="22">
        <f t="shared" si="5"/>
        <v>3.6290484390729869</v>
      </c>
      <c r="U11" s="22">
        <f t="shared" si="6"/>
        <v>0</v>
      </c>
      <c r="V11" s="22">
        <f t="shared" si="7"/>
        <v>0</v>
      </c>
      <c r="W11" s="21">
        <f t="shared" si="8"/>
        <v>0</v>
      </c>
      <c r="X11" s="18">
        <f t="shared" si="0"/>
        <v>5009.6283906210638</v>
      </c>
      <c r="Y11" s="3"/>
      <c r="Z11" s="6">
        <f t="shared" si="9"/>
        <v>12987.904176625207</v>
      </c>
      <c r="AA11" s="2"/>
      <c r="AB11" s="2" t="s">
        <v>42</v>
      </c>
      <c r="AC11" s="6">
        <f>F12</f>
        <v>12000</v>
      </c>
      <c r="AD11" s="2" t="s">
        <v>43</v>
      </c>
      <c r="AE11" s="2"/>
      <c r="AF11" s="6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25" t="s">
        <v>44</v>
      </c>
      <c r="B12" s="2">
        <v>0</v>
      </c>
      <c r="C12" s="2" t="s">
        <v>38</v>
      </c>
      <c r="D12" s="2"/>
      <c r="E12" s="16" t="s">
        <v>45</v>
      </c>
      <c r="F12" s="6">
        <v>12000</v>
      </c>
      <c r="G12" s="2" t="s">
        <v>43</v>
      </c>
      <c r="H12" s="15"/>
      <c r="I12" s="16" t="s">
        <v>46</v>
      </c>
      <c r="J12" s="6">
        <v>536</v>
      </c>
      <c r="K12" s="2" t="s">
        <v>141</v>
      </c>
      <c r="L12" s="15"/>
      <c r="M12" s="2"/>
      <c r="N12" s="11">
        <f t="shared" si="10"/>
        <v>4</v>
      </c>
      <c r="O12" s="11"/>
      <c r="P12" s="21">
        <f t="shared" si="1"/>
        <v>4145.5890195079928</v>
      </c>
      <c r="Q12" s="22">
        <f t="shared" si="2"/>
        <v>378.07576911176295</v>
      </c>
      <c r="R12" s="22">
        <f t="shared" si="3"/>
        <v>0</v>
      </c>
      <c r="S12" s="22">
        <f t="shared" si="4"/>
        <v>247.69695695260071</v>
      </c>
      <c r="T12" s="22">
        <f t="shared" si="5"/>
        <v>3.4562366086409404</v>
      </c>
      <c r="U12" s="22">
        <f t="shared" si="6"/>
        <v>0</v>
      </c>
      <c r="V12" s="22">
        <f t="shared" si="7"/>
        <v>0</v>
      </c>
      <c r="W12" s="21">
        <f t="shared" si="8"/>
        <v>0</v>
      </c>
      <c r="X12" s="18">
        <f t="shared" si="0"/>
        <v>4774.8179821809981</v>
      </c>
      <c r="Y12" s="3"/>
      <c r="Z12" s="6">
        <f t="shared" si="9"/>
        <v>11373.362015352519</v>
      </c>
      <c r="AA12" s="2"/>
      <c r="AB12" s="16" t="s">
        <v>48</v>
      </c>
      <c r="AC12" s="24">
        <f>J41</f>
        <v>299.46140035906643</v>
      </c>
      <c r="AD12" s="2" t="s">
        <v>49</v>
      </c>
      <c r="AE12" s="2"/>
      <c r="AF12" s="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 s="25" t="s">
        <v>50</v>
      </c>
      <c r="B13" s="2">
        <v>12</v>
      </c>
      <c r="C13" s="2" t="s">
        <v>38</v>
      </c>
      <c r="D13" s="2"/>
      <c r="E13" s="16" t="s">
        <v>30</v>
      </c>
      <c r="F13" s="27">
        <v>14.58</v>
      </c>
      <c r="G13" s="2" t="s">
        <v>51</v>
      </c>
      <c r="H13" s="15"/>
      <c r="I13" s="16" t="s">
        <v>52</v>
      </c>
      <c r="J13" s="6">
        <v>300</v>
      </c>
      <c r="K13" s="2" t="s">
        <v>53</v>
      </c>
      <c r="L13" s="15"/>
      <c r="M13" s="2"/>
      <c r="N13" s="11">
        <f t="shared" si="10"/>
        <v>5</v>
      </c>
      <c r="O13" s="11"/>
      <c r="P13" s="21">
        <f t="shared" si="1"/>
        <v>3948.1800185790403</v>
      </c>
      <c r="Q13" s="22">
        <f t="shared" si="2"/>
        <v>363.67288266941006</v>
      </c>
      <c r="R13" s="22">
        <f t="shared" si="3"/>
        <v>0</v>
      </c>
      <c r="S13" s="22">
        <f t="shared" si="4"/>
        <v>235.90186376438163</v>
      </c>
      <c r="T13" s="22">
        <f t="shared" si="5"/>
        <v>3.2916539129913716</v>
      </c>
      <c r="U13" s="22">
        <f t="shared" si="6"/>
        <v>0</v>
      </c>
      <c r="V13" s="22">
        <f t="shared" si="7"/>
        <v>0</v>
      </c>
      <c r="W13" s="21">
        <f t="shared" si="8"/>
        <v>0</v>
      </c>
      <c r="X13" s="18">
        <f t="shared" si="0"/>
        <v>4551.0464189258228</v>
      </c>
      <c r="Y13" s="3"/>
      <c r="Z13" s="6">
        <f t="shared" si="9"/>
        <v>9962.9027555798966</v>
      </c>
      <c r="AA13" s="2"/>
      <c r="AB13" s="2" t="s">
        <v>171</v>
      </c>
      <c r="AC13" s="6">
        <f>J26</f>
        <v>150</v>
      </c>
      <c r="AD13" s="2" t="s">
        <v>162</v>
      </c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 s="25" t="s">
        <v>54</v>
      </c>
      <c r="B14" s="2">
        <v>25</v>
      </c>
      <c r="C14" s="2" t="s">
        <v>38</v>
      </c>
      <c r="D14" s="2"/>
      <c r="E14" s="16" t="s">
        <v>55</v>
      </c>
      <c r="F14" s="2">
        <v>1</v>
      </c>
      <c r="G14" s="2" t="s">
        <v>56</v>
      </c>
      <c r="H14" s="15"/>
      <c r="I14" s="16" t="s">
        <v>57</v>
      </c>
      <c r="J14" s="28">
        <v>30</v>
      </c>
      <c r="K14" s="2" t="s">
        <v>58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349.81867761533732</v>
      </c>
      <c r="R14" s="22">
        <f t="shared" si="3"/>
        <v>0</v>
      </c>
      <c r="S14" s="22">
        <f t="shared" si="4"/>
        <v>224.66844168036349</v>
      </c>
      <c r="T14" s="22">
        <f t="shared" si="5"/>
        <v>3.1349084885632115</v>
      </c>
      <c r="U14" s="22">
        <f t="shared" si="6"/>
        <v>0</v>
      </c>
      <c r="V14" s="22">
        <f t="shared" si="7"/>
        <v>0</v>
      </c>
      <c r="W14" s="21">
        <f t="shared" si="8"/>
        <v>0</v>
      </c>
      <c r="X14" s="18">
        <f t="shared" si="0"/>
        <v>577.62202778426399</v>
      </c>
      <c r="Y14" s="3"/>
      <c r="Z14" s="6">
        <f t="shared" si="9"/>
        <v>8730.2534433071669</v>
      </c>
      <c r="AA14" s="2"/>
      <c r="AB14" s="2" t="s">
        <v>198</v>
      </c>
      <c r="AC14" s="27">
        <f>J18</f>
        <v>0.14199999999999999</v>
      </c>
      <c r="AD14" s="2" t="s">
        <v>71</v>
      </c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 s="25" t="s">
        <v>59</v>
      </c>
      <c r="B15" s="2">
        <v>20</v>
      </c>
      <c r="C15" s="2" t="s">
        <v>38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5">
        <v>20</v>
      </c>
      <c r="K15" s="2" t="s">
        <v>38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336.49225180141974</v>
      </c>
      <c r="R15" s="22">
        <f t="shared" si="3"/>
        <v>0</v>
      </c>
      <c r="S15" s="22">
        <f t="shared" si="4"/>
        <v>213.96994445748899</v>
      </c>
      <c r="T15" s="22">
        <f t="shared" si="5"/>
        <v>2.9856271319649625</v>
      </c>
      <c r="U15" s="22">
        <f t="shared" si="6"/>
        <v>0</v>
      </c>
      <c r="V15" s="22">
        <f t="shared" si="7"/>
        <v>0</v>
      </c>
      <c r="W15" s="21">
        <f t="shared" si="8"/>
        <v>0</v>
      </c>
      <c r="X15" s="18">
        <f t="shared" si="0"/>
        <v>553.44782339087374</v>
      </c>
      <c r="Y15" s="3"/>
      <c r="Z15" s="6">
        <f t="shared" si="9"/>
        <v>7652.5894723229985</v>
      </c>
      <c r="AA15" s="2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 s="25" t="s">
        <v>63</v>
      </c>
      <c r="B16" s="2">
        <f>0%*12.5%</f>
        <v>0</v>
      </c>
      <c r="C16" s="2" t="s">
        <v>29</v>
      </c>
      <c r="D16" s="2"/>
      <c r="E16" s="16" t="s">
        <v>64</v>
      </c>
      <c r="F16" s="2">
        <v>0</v>
      </c>
      <c r="G16" s="2" t="s">
        <v>61</v>
      </c>
      <c r="H16" s="15"/>
      <c r="I16" s="16" t="s">
        <v>65</v>
      </c>
      <c r="J16" s="2">
        <v>7.08</v>
      </c>
      <c r="K16" s="2" t="s">
        <v>66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323.67349935184177</v>
      </c>
      <c r="R16" s="22">
        <f t="shared" si="3"/>
        <v>0</v>
      </c>
      <c r="S16" s="22">
        <f t="shared" si="4"/>
        <v>203.78089948332286</v>
      </c>
      <c r="T16" s="22">
        <f t="shared" si="5"/>
        <v>2.8434544113952027</v>
      </c>
      <c r="U16" s="22">
        <f t="shared" si="6"/>
        <v>0</v>
      </c>
      <c r="V16" s="22">
        <f t="shared" si="7"/>
        <v>0</v>
      </c>
      <c r="W16" s="21">
        <f t="shared" si="8"/>
        <v>0</v>
      </c>
      <c r="X16" s="18">
        <f t="shared" si="0"/>
        <v>530.29785324655984</v>
      </c>
      <c r="Y16" s="3"/>
      <c r="Z16" s="6">
        <f t="shared" si="9"/>
        <v>6710.0729903662532</v>
      </c>
      <c r="AA16" s="2"/>
      <c r="AB16" s="2"/>
      <c r="AC16" s="2"/>
      <c r="AD16" s="2"/>
      <c r="AE16" s="2"/>
      <c r="AF16" s="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 s="25" t="s">
        <v>181</v>
      </c>
      <c r="B17" s="2">
        <v>450</v>
      </c>
      <c r="C17" s="2" t="s">
        <v>29</v>
      </c>
      <c r="D17" s="2"/>
      <c r="E17" s="16" t="s">
        <v>67</v>
      </c>
      <c r="F17" s="6">
        <v>90</v>
      </c>
      <c r="G17" s="2" t="s">
        <v>61</v>
      </c>
      <c r="H17" s="15"/>
      <c r="I17" s="16" t="s">
        <v>68</v>
      </c>
      <c r="J17" s="2">
        <v>11</v>
      </c>
      <c r="K17" s="2" t="s">
        <v>66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311.34308032891454</v>
      </c>
      <c r="R17" s="22">
        <f t="shared" si="3"/>
        <v>0</v>
      </c>
      <c r="S17" s="22">
        <f t="shared" si="4"/>
        <v>194.07704712697415</v>
      </c>
      <c r="T17" s="22">
        <f t="shared" si="5"/>
        <v>2.7080518203763835</v>
      </c>
      <c r="U17" s="22">
        <f t="shared" si="6"/>
        <v>0</v>
      </c>
      <c r="V17" s="22">
        <f t="shared" si="7"/>
        <v>0</v>
      </c>
      <c r="W17" s="21">
        <f t="shared" si="8"/>
        <v>0</v>
      </c>
      <c r="X17" s="18">
        <f t="shared" si="0"/>
        <v>508.12817927626509</v>
      </c>
      <c r="Y17" s="3"/>
      <c r="Z17" s="6">
        <f t="shared" si="9"/>
        <v>5885.4542954562803</v>
      </c>
      <c r="AA17" s="2"/>
      <c r="AB17" s="2"/>
      <c r="AC17" s="2"/>
      <c r="AD17" s="2"/>
      <c r="AE17" s="2"/>
      <c r="AF17" s="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 s="25" t="s">
        <v>182</v>
      </c>
      <c r="B18" s="2">
        <v>10</v>
      </c>
      <c r="C18" s="2" t="s">
        <v>29</v>
      </c>
      <c r="D18" s="2"/>
      <c r="E18" s="16" t="s">
        <v>69</v>
      </c>
      <c r="F18" s="2">
        <v>0.3</v>
      </c>
      <c r="G18" s="2"/>
      <c r="H18" s="15"/>
      <c r="I18" s="16" t="s">
        <v>70</v>
      </c>
      <c r="J18" s="27">
        <v>0.14199999999999999</v>
      </c>
      <c r="K18" s="2" t="s">
        <v>71</v>
      </c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299.4823915544797</v>
      </c>
      <c r="R18" s="22">
        <f t="shared" si="3"/>
        <v>0</v>
      </c>
      <c r="S18" s="22">
        <f t="shared" si="4"/>
        <v>184.83528297807061</v>
      </c>
      <c r="T18" s="22">
        <f t="shared" si="5"/>
        <v>2.579096971787032</v>
      </c>
      <c r="U18" s="22">
        <f t="shared" si="6"/>
        <v>0</v>
      </c>
      <c r="V18" s="22">
        <f t="shared" si="7"/>
        <v>0</v>
      </c>
      <c r="W18" s="21">
        <f t="shared" si="8"/>
        <v>-5163.7274692533001</v>
      </c>
      <c r="X18" s="18">
        <f t="shared" si="0"/>
        <v>-4676.8306977489628</v>
      </c>
      <c r="Y18" s="3"/>
      <c r="Z18" s="6">
        <f t="shared" si="9"/>
        <v>5163.7274692533001</v>
      </c>
      <c r="AA18" s="2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 s="25" t="s">
        <v>72</v>
      </c>
      <c r="B19" s="2">
        <v>50</v>
      </c>
      <c r="C19" s="2" t="s">
        <v>29</v>
      </c>
      <c r="D19" s="2"/>
      <c r="E19" s="16" t="s">
        <v>73</v>
      </c>
      <c r="F19" s="6">
        <v>0</v>
      </c>
      <c r="G19" s="2" t="s">
        <v>61</v>
      </c>
      <c r="H19" s="15"/>
      <c r="I19" s="2"/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5"/>
        <v>0</v>
      </c>
      <c r="U19" s="22">
        <f t="shared" si="6"/>
        <v>0</v>
      </c>
      <c r="V19" s="22">
        <f t="shared" si="7"/>
        <v>0</v>
      </c>
      <c r="W19" s="21">
        <f t="shared" ref="W19:W48" si="11">IF(N19=$B$5,((((1-$J$16/100)^N19)*$B$52+((1-$J$17/100)^N19)*$B$48)/((1+($F$11/100))^N19))*-1,0)</f>
        <v>0</v>
      </c>
      <c r="X19" s="18">
        <f t="shared" si="0"/>
        <v>0</v>
      </c>
      <c r="Y19" s="3"/>
      <c r="Z19" s="6">
        <f t="shared" si="9"/>
        <v>0</v>
      </c>
      <c r="AA19" s="2"/>
      <c r="AB19" s="2"/>
      <c r="AC19" s="2"/>
      <c r="AD19" s="2"/>
      <c r="AE19" s="2"/>
      <c r="AF19" s="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 s="2"/>
      <c r="B20" s="2"/>
      <c r="C20" s="2"/>
      <c r="D20" s="2"/>
      <c r="E20" s="16" t="s">
        <v>74</v>
      </c>
      <c r="F20" s="6">
        <v>0</v>
      </c>
      <c r="G20" s="2" t="s">
        <v>75</v>
      </c>
      <c r="H20" s="15"/>
      <c r="I20" s="1" t="s">
        <v>77</v>
      </c>
      <c r="J20" s="2"/>
      <c r="K20" s="2"/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5"/>
        <v>0</v>
      </c>
      <c r="U20" s="22">
        <f t="shared" si="6"/>
        <v>0</v>
      </c>
      <c r="V20" s="22">
        <f t="shared" si="7"/>
        <v>0</v>
      </c>
      <c r="W20" s="21">
        <f t="shared" si="11"/>
        <v>0</v>
      </c>
      <c r="X20" s="18">
        <f t="shared" si="0"/>
        <v>0</v>
      </c>
      <c r="Y20" s="3"/>
      <c r="Z20" s="6">
        <f t="shared" si="9"/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16" t="s">
        <v>48</v>
      </c>
      <c r="F21" s="32">
        <v>1.39</v>
      </c>
      <c r="G21" s="2" t="s">
        <v>76</v>
      </c>
      <c r="H21" s="15"/>
      <c r="I21" s="16" t="s">
        <v>83</v>
      </c>
      <c r="J21" s="2">
        <v>5</v>
      </c>
      <c r="K21" s="2" t="s">
        <v>58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5"/>
        <v>0</v>
      </c>
      <c r="U21" s="22">
        <f t="shared" si="6"/>
        <v>0</v>
      </c>
      <c r="V21" s="22">
        <f t="shared" si="7"/>
        <v>0</v>
      </c>
      <c r="W21" s="21">
        <f t="shared" si="11"/>
        <v>0</v>
      </c>
      <c r="X21" s="18">
        <f t="shared" si="0"/>
        <v>0</v>
      </c>
      <c r="Y21" s="3"/>
      <c r="Z21" s="6">
        <f t="shared" si="9"/>
        <v>0</v>
      </c>
      <c r="AA21" s="2"/>
      <c r="AB21" s="29" t="s">
        <v>30</v>
      </c>
      <c r="AC21" s="30"/>
      <c r="AD21" s="30"/>
      <c r="AE21" s="30"/>
      <c r="AF21" s="2"/>
      <c r="AG21" s="29" t="s">
        <v>28</v>
      </c>
      <c r="AH21" s="30"/>
      <c r="AI21" s="30"/>
      <c r="AJ21" s="30"/>
      <c r="AK21" s="2"/>
      <c r="AL21" s="86" t="s">
        <v>187</v>
      </c>
      <c r="AM21" s="86" t="s">
        <v>188</v>
      </c>
      <c r="AN21" s="86" t="s">
        <v>189</v>
      </c>
      <c r="AO21" s="86" t="s">
        <v>34</v>
      </c>
      <c r="AP21" s="86" t="s">
        <v>190</v>
      </c>
      <c r="AQ21" s="86" t="s">
        <v>191</v>
      </c>
      <c r="AR21" s="91" t="str">
        <f>AB66</f>
        <v>Energy Efficiency</v>
      </c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16" t="s">
        <v>82</v>
      </c>
      <c r="F22" s="2">
        <v>7.1</v>
      </c>
      <c r="G22" s="2" t="s">
        <v>66</v>
      </c>
      <c r="H22" s="15"/>
      <c r="I22" s="16" t="s">
        <v>86</v>
      </c>
      <c r="J22" s="2">
        <v>30</v>
      </c>
      <c r="K22" s="2" t="s">
        <v>87</v>
      </c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5"/>
        <v>0</v>
      </c>
      <c r="U22" s="22">
        <f t="shared" si="6"/>
        <v>0</v>
      </c>
      <c r="V22" s="22">
        <f t="shared" si="7"/>
        <v>0</v>
      </c>
      <c r="W22" s="21">
        <f t="shared" si="11"/>
        <v>0</v>
      </c>
      <c r="X22" s="18">
        <f t="shared" si="0"/>
        <v>0</v>
      </c>
      <c r="Y22" s="3"/>
      <c r="Z22" s="6">
        <f t="shared" si="9"/>
        <v>0</v>
      </c>
      <c r="AA22" s="2"/>
      <c r="AB22" s="30" t="s">
        <v>78</v>
      </c>
      <c r="AC22" s="30" t="s">
        <v>79</v>
      </c>
      <c r="AD22" s="30" t="s">
        <v>23</v>
      </c>
      <c r="AE22" s="30" t="s">
        <v>80</v>
      </c>
      <c r="AF22" s="2"/>
      <c r="AG22" s="30" t="s">
        <v>78</v>
      </c>
      <c r="AH22" s="30" t="s">
        <v>81</v>
      </c>
      <c r="AI22" s="30" t="s">
        <v>23</v>
      </c>
      <c r="AJ22" s="30" t="s">
        <v>80</v>
      </c>
      <c r="AK22" s="2"/>
      <c r="AL22" s="87">
        <v>-50</v>
      </c>
      <c r="AM22" s="88">
        <f>AJ24</f>
        <v>-48.719934541189616</v>
      </c>
      <c r="AN22" s="88">
        <f>AE24</f>
        <v>-5.8706219181657762</v>
      </c>
      <c r="AO22" s="89">
        <f t="shared" ref="AO22:AO32" si="12">AE39</f>
        <v>-11.640482598356256</v>
      </c>
      <c r="AP22" s="89">
        <f t="shared" ref="AP22:AP32" si="13">AJ39</f>
        <v>-9.6529903972722444</v>
      </c>
      <c r="AQ22" s="89">
        <f>AE54</f>
        <v>-3.7823684791064802</v>
      </c>
      <c r="AR22" s="58">
        <f>AE69</f>
        <v>5.8706219181658001</v>
      </c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16" t="s">
        <v>85</v>
      </c>
      <c r="F23" s="5">
        <v>30</v>
      </c>
      <c r="G23" s="2" t="s">
        <v>38</v>
      </c>
      <c r="H23" s="15"/>
      <c r="I23" s="62" t="s">
        <v>157</v>
      </c>
      <c r="J23" s="63"/>
      <c r="K23" s="63"/>
      <c r="L23" s="64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5"/>
        <v>0</v>
      </c>
      <c r="U23" s="22">
        <f t="shared" si="6"/>
        <v>0</v>
      </c>
      <c r="V23" s="22">
        <f t="shared" si="7"/>
        <v>0</v>
      </c>
      <c r="W23" s="21">
        <f t="shared" si="11"/>
        <v>0</v>
      </c>
      <c r="X23" s="18">
        <f t="shared" si="0"/>
        <v>0</v>
      </c>
      <c r="Y23" s="3"/>
      <c r="Z23" s="6">
        <f t="shared" si="9"/>
        <v>0</v>
      </c>
      <c r="AA23" s="2"/>
      <c r="AB23" s="30" t="s">
        <v>84</v>
      </c>
      <c r="AC23" s="33">
        <v>0.26175942549371634</v>
      </c>
      <c r="AD23" s="34">
        <f>X49</f>
        <v>30567.639930754078</v>
      </c>
      <c r="AE23" s="30"/>
      <c r="AF23" s="2"/>
      <c r="AG23" s="30" t="s">
        <v>84</v>
      </c>
      <c r="AH23" s="35">
        <v>26562.938129379741</v>
      </c>
      <c r="AI23" s="34">
        <f>X49</f>
        <v>30567.639930754078</v>
      </c>
      <c r="AJ23" s="30"/>
      <c r="AK23" s="2"/>
      <c r="AL23" s="87">
        <v>-40</v>
      </c>
      <c r="AM23" s="88">
        <f>AJ25</f>
        <v>-38.975947632951673</v>
      </c>
      <c r="AN23" s="88">
        <f t="shared" ref="AN23:AN32" si="14">AE25</f>
        <v>-4.6964975345326447</v>
      </c>
      <c r="AO23" s="89">
        <f t="shared" si="12"/>
        <v>-9.3123860786849892</v>
      </c>
      <c r="AP23" s="89">
        <f t="shared" si="13"/>
        <v>-7.7223923178177998</v>
      </c>
      <c r="AQ23" s="89">
        <f t="shared" ref="AQ23:AQ32" si="15">AE55</f>
        <v>-3.0258947832851675</v>
      </c>
      <c r="AR23" s="58">
        <f t="shared" ref="AR23:AR32" si="16">AE70</f>
        <v>4.6964975345326447</v>
      </c>
      <c r="AS23" s="32"/>
      <c r="AT23" s="32"/>
      <c r="AU23" s="32"/>
      <c r="AV23" s="32"/>
      <c r="AW23" s="32"/>
      <c r="AX23" s="32"/>
      <c r="AY23" s="32"/>
    </row>
    <row r="24" spans="1:51" ht="15.75" customHeight="1" x14ac:dyDescent="0.25">
      <c r="A24" s="13"/>
      <c r="B24" s="2"/>
      <c r="C24" s="2"/>
      <c r="D24" s="2"/>
      <c r="H24" s="15"/>
      <c r="I24" s="63" t="s">
        <v>158</v>
      </c>
      <c r="J24" s="65" t="s">
        <v>156</v>
      </c>
      <c r="K24" s="63"/>
      <c r="L24" s="64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5"/>
        <v>0</v>
      </c>
      <c r="U24" s="22">
        <f t="shared" si="6"/>
        <v>0</v>
      </c>
      <c r="V24" s="22">
        <f t="shared" si="7"/>
        <v>0</v>
      </c>
      <c r="W24" s="21">
        <f t="shared" si="11"/>
        <v>0</v>
      </c>
      <c r="X24" s="18">
        <f t="shared" si="0"/>
        <v>0</v>
      </c>
      <c r="Y24" s="3"/>
      <c r="Z24" s="6">
        <f t="shared" si="9"/>
        <v>0</v>
      </c>
      <c r="AA24" s="2"/>
      <c r="AB24" s="30">
        <f t="shared" ref="AB24:AB28" si="17">AB25-10</f>
        <v>-50</v>
      </c>
      <c r="AC24" s="33">
        <f t="shared" ref="AC24:AC34" si="18">$AC$23*(1+(AB24/100))</f>
        <v>0.13087971274685817</v>
      </c>
      <c r="AD24" s="34">
        <f t="dataTable" ref="AD24:AD34" dt2D="0" dtr="0" r1="F36" ca="1"/>
        <v>28773.129361113235</v>
      </c>
      <c r="AE24" s="38">
        <f t="shared" ref="AE24:AE34" si="19">100*((AD24-$AD$29)/$AD$29)</f>
        <v>-5.8706219181657762</v>
      </c>
      <c r="AF24" s="2"/>
      <c r="AG24" s="30">
        <f t="shared" ref="AG24:AG28" si="20">AG25-10</f>
        <v>-50</v>
      </c>
      <c r="AH24" s="35">
        <f t="shared" ref="AH24:AH34" si="21">$AH$23*(1+(AG24/100))</f>
        <v>13281.469064689871</v>
      </c>
      <c r="AI24" s="34">
        <f t="dataTable" ref="AI24:AI34" dt2D="0" dtr="0" r1="B52" ca="1"/>
        <v>15675.105765704153</v>
      </c>
      <c r="AJ24" s="38">
        <f t="shared" ref="AJ24:AJ34" si="22">100*((AI24-$AI$29)/$AI$29)</f>
        <v>-48.719934541189616</v>
      </c>
      <c r="AK24" s="2"/>
      <c r="AL24" s="87">
        <v>-30</v>
      </c>
      <c r="AM24" s="88">
        <f t="shared" ref="AM24:AM32" si="23">AJ26</f>
        <v>-29.231960724713762</v>
      </c>
      <c r="AN24" s="88">
        <f t="shared" si="14"/>
        <v>-3.5223731508995133</v>
      </c>
      <c r="AO24" s="89">
        <f t="shared" si="12"/>
        <v>-6.9842895590137362</v>
      </c>
      <c r="AP24" s="89">
        <f t="shared" si="13"/>
        <v>-5.7917942383633561</v>
      </c>
      <c r="AQ24" s="89">
        <f t="shared" si="15"/>
        <v>-2.2694210874638787</v>
      </c>
      <c r="AR24" s="58">
        <f t="shared" si="16"/>
        <v>3.5223731508994898</v>
      </c>
      <c r="AS24" s="32"/>
      <c r="AT24" s="32"/>
      <c r="AU24" s="32"/>
      <c r="AV24" s="32"/>
      <c r="AW24" s="32"/>
      <c r="AX24" s="32"/>
      <c r="AY24" s="32"/>
    </row>
    <row r="25" spans="1:51" ht="15.75" customHeight="1" x14ac:dyDescent="0.25">
      <c r="A25" s="13"/>
      <c r="B25" s="2"/>
      <c r="C25" s="2"/>
      <c r="D25" s="2"/>
      <c r="E25" s="2"/>
      <c r="F25" s="2"/>
      <c r="G25" s="2"/>
      <c r="H25" s="15"/>
      <c r="I25" s="66" t="s">
        <v>159</v>
      </c>
      <c r="J25" s="66">
        <v>1.3</v>
      </c>
      <c r="K25" s="66" t="s">
        <v>160</v>
      </c>
      <c r="L25" s="64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5"/>
        <v>0</v>
      </c>
      <c r="U25" s="22">
        <f t="shared" si="6"/>
        <v>0</v>
      </c>
      <c r="V25" s="22">
        <f t="shared" si="7"/>
        <v>0</v>
      </c>
      <c r="W25" s="21">
        <f t="shared" si="11"/>
        <v>0</v>
      </c>
      <c r="X25" s="18">
        <f t="shared" si="0"/>
        <v>0</v>
      </c>
      <c r="Y25" s="3"/>
      <c r="Z25" s="6">
        <f t="shared" si="9"/>
        <v>0</v>
      </c>
      <c r="AA25" s="2"/>
      <c r="AB25" s="30">
        <f t="shared" si="17"/>
        <v>-40</v>
      </c>
      <c r="AC25" s="33">
        <f t="shared" si="18"/>
        <v>0.15705565529622981</v>
      </c>
      <c r="AD25" s="34">
        <v>29132.031475041396</v>
      </c>
      <c r="AE25" s="38">
        <f t="shared" si="19"/>
        <v>-4.6964975345326447</v>
      </c>
      <c r="AF25" s="2"/>
      <c r="AG25" s="30">
        <f t="shared" si="20"/>
        <v>-40</v>
      </c>
      <c r="AH25" s="35">
        <f t="shared" si="21"/>
        <v>15937.762877627843</v>
      </c>
      <c r="AI25" s="34">
        <v>18653.612598714142</v>
      </c>
      <c r="AJ25" s="38">
        <f t="shared" si="22"/>
        <v>-38.975947632951673</v>
      </c>
      <c r="AK25" s="2"/>
      <c r="AL25" s="87">
        <v>-20</v>
      </c>
      <c r="AM25" s="88">
        <f t="shared" si="23"/>
        <v>-19.487973816475826</v>
      </c>
      <c r="AN25" s="88">
        <f t="shared" si="14"/>
        <v>-2.3482487672663104</v>
      </c>
      <c r="AO25" s="89">
        <f t="shared" si="12"/>
        <v>-4.6561930393424831</v>
      </c>
      <c r="AP25" s="89">
        <f t="shared" si="13"/>
        <v>-3.8611961589088883</v>
      </c>
      <c r="AQ25" s="89">
        <f t="shared" si="15"/>
        <v>-1.5129473916425777</v>
      </c>
      <c r="AR25" s="58">
        <f t="shared" si="16"/>
        <v>2.3482487672663579</v>
      </c>
      <c r="AS25" s="32"/>
      <c r="AT25" s="32"/>
      <c r="AU25" s="32"/>
      <c r="AV25" s="32"/>
      <c r="AW25" s="32"/>
      <c r="AX25" s="32"/>
      <c r="AY25" s="32"/>
    </row>
    <row r="26" spans="1:5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 t="s">
        <v>161</v>
      </c>
      <c r="J26" s="67">
        <f>J13/2</f>
        <v>150</v>
      </c>
      <c r="K26" s="41" t="s">
        <v>162</v>
      </c>
      <c r="L26" s="42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5"/>
        <v>0</v>
      </c>
      <c r="U26" s="22">
        <f t="shared" si="6"/>
        <v>0</v>
      </c>
      <c r="V26" s="22">
        <f t="shared" si="7"/>
        <v>0</v>
      </c>
      <c r="W26" s="21">
        <f t="shared" si="11"/>
        <v>0</v>
      </c>
      <c r="X26" s="18">
        <f t="shared" si="0"/>
        <v>0</v>
      </c>
      <c r="Y26" s="3"/>
      <c r="Z26" s="6">
        <f t="shared" si="9"/>
        <v>0</v>
      </c>
      <c r="AA26" s="2"/>
      <c r="AB26" s="30">
        <f t="shared" si="17"/>
        <v>-30</v>
      </c>
      <c r="AC26" s="33">
        <f t="shared" si="18"/>
        <v>0.18323159784560142</v>
      </c>
      <c r="AD26" s="34">
        <v>29490.933588969558</v>
      </c>
      <c r="AE26" s="38">
        <f t="shared" si="19"/>
        <v>-3.5223731508995133</v>
      </c>
      <c r="AF26" s="2"/>
      <c r="AG26" s="30">
        <f t="shared" si="20"/>
        <v>-30</v>
      </c>
      <c r="AH26" s="35">
        <f t="shared" si="21"/>
        <v>18594.056690565816</v>
      </c>
      <c r="AI26" s="34">
        <v>21632.119431724124</v>
      </c>
      <c r="AJ26" s="38">
        <f t="shared" si="22"/>
        <v>-29.231960724713762</v>
      </c>
      <c r="AK26" s="2"/>
      <c r="AL26" s="87">
        <v>-10</v>
      </c>
      <c r="AM26" s="88">
        <f t="shared" si="23"/>
        <v>-9.7439869082378898</v>
      </c>
      <c r="AN26" s="88">
        <f t="shared" si="14"/>
        <v>-1.1741243836331314</v>
      </c>
      <c r="AO26" s="89">
        <f t="shared" si="12"/>
        <v>-2.3280965196712295</v>
      </c>
      <c r="AP26" s="89">
        <f t="shared" si="13"/>
        <v>-1.9305980794544442</v>
      </c>
      <c r="AQ26" s="89">
        <f t="shared" si="15"/>
        <v>-0.75647369582128887</v>
      </c>
      <c r="AR26" s="58">
        <f t="shared" si="16"/>
        <v>1.1741243836331552</v>
      </c>
      <c r="AS26" s="32"/>
      <c r="AT26" s="32"/>
      <c r="AU26" s="32"/>
      <c r="AV26" s="32"/>
      <c r="AW26" s="32"/>
      <c r="AX26" s="32"/>
      <c r="AY26" s="3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5"/>
        <v>0</v>
      </c>
      <c r="U27" s="22">
        <f t="shared" si="6"/>
        <v>0</v>
      </c>
      <c r="V27" s="22">
        <f t="shared" si="7"/>
        <v>0</v>
      </c>
      <c r="W27" s="21">
        <f t="shared" si="11"/>
        <v>0</v>
      </c>
      <c r="X27" s="18">
        <f t="shared" si="0"/>
        <v>0</v>
      </c>
      <c r="Y27" s="3"/>
      <c r="Z27" s="6">
        <f t="shared" si="9"/>
        <v>0</v>
      </c>
      <c r="AA27" s="2"/>
      <c r="AB27" s="30">
        <f t="shared" si="17"/>
        <v>-20</v>
      </c>
      <c r="AC27" s="33">
        <f t="shared" si="18"/>
        <v>0.20940754039497309</v>
      </c>
      <c r="AD27" s="34">
        <v>29849.835702897741</v>
      </c>
      <c r="AE27" s="38">
        <f t="shared" si="19"/>
        <v>-2.3482487672663104</v>
      </c>
      <c r="AF27" s="2"/>
      <c r="AG27" s="30">
        <f t="shared" si="20"/>
        <v>-20</v>
      </c>
      <c r="AH27" s="35">
        <f t="shared" si="21"/>
        <v>21250.350503503796</v>
      </c>
      <c r="AI27" s="34">
        <v>24610.626264734114</v>
      </c>
      <c r="AJ27" s="38">
        <f t="shared" si="22"/>
        <v>-19.487973816475826</v>
      </c>
      <c r="AK27" s="2"/>
      <c r="AL27" s="87">
        <v>0</v>
      </c>
      <c r="AM27" s="88">
        <f t="shared" si="23"/>
        <v>0</v>
      </c>
      <c r="AN27" s="88">
        <f t="shared" si="14"/>
        <v>0</v>
      </c>
      <c r="AO27" s="89">
        <f t="shared" si="12"/>
        <v>0</v>
      </c>
      <c r="AP27" s="89">
        <f t="shared" si="13"/>
        <v>0</v>
      </c>
      <c r="AQ27" s="89">
        <f t="shared" si="15"/>
        <v>0</v>
      </c>
      <c r="AR27" s="58">
        <f t="shared" si="16"/>
        <v>0</v>
      </c>
      <c r="AS27" s="32"/>
      <c r="AT27" s="32"/>
      <c r="AU27" s="32"/>
      <c r="AV27" s="32"/>
      <c r="AW27" s="32"/>
      <c r="AX27" s="32"/>
      <c r="AY27" s="32"/>
    </row>
    <row r="28" spans="1:51" ht="15.75" customHeight="1" x14ac:dyDescent="0.25">
      <c r="A28" s="1" t="s">
        <v>88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5"/>
        <v>0</v>
      </c>
      <c r="U28" s="22">
        <f t="shared" si="6"/>
        <v>0</v>
      </c>
      <c r="V28" s="22">
        <f t="shared" si="7"/>
        <v>0</v>
      </c>
      <c r="W28" s="21">
        <f t="shared" si="11"/>
        <v>0</v>
      </c>
      <c r="X28" s="18">
        <f t="shared" si="0"/>
        <v>0</v>
      </c>
      <c r="Y28" s="3"/>
      <c r="Z28" s="6">
        <f t="shared" si="9"/>
        <v>0</v>
      </c>
      <c r="AA28" s="2"/>
      <c r="AB28" s="30">
        <f t="shared" si="17"/>
        <v>-10</v>
      </c>
      <c r="AC28" s="33">
        <f t="shared" si="18"/>
        <v>0.2355834829443447</v>
      </c>
      <c r="AD28" s="34">
        <v>30208.737816825917</v>
      </c>
      <c r="AE28" s="38">
        <f t="shared" si="19"/>
        <v>-1.1741243836331314</v>
      </c>
      <c r="AF28" s="2"/>
      <c r="AG28" s="30">
        <f t="shared" si="20"/>
        <v>-10</v>
      </c>
      <c r="AH28" s="35">
        <f t="shared" si="21"/>
        <v>23906.644316441769</v>
      </c>
      <c r="AI28" s="34">
        <v>27589.133097744103</v>
      </c>
      <c r="AJ28" s="38">
        <f t="shared" si="22"/>
        <v>-9.7439869082378898</v>
      </c>
      <c r="AK28" s="2"/>
      <c r="AL28" s="87">
        <v>10</v>
      </c>
      <c r="AM28" s="88">
        <f t="shared" si="23"/>
        <v>9.743986908237936</v>
      </c>
      <c r="AN28" s="88">
        <f t="shared" si="14"/>
        <v>1.1741243836331552</v>
      </c>
      <c r="AO28" s="89">
        <f t="shared" si="12"/>
        <v>2.3280965196712531</v>
      </c>
      <c r="AP28" s="89">
        <f t="shared" si="13"/>
        <v>1.9305980794544442</v>
      </c>
      <c r="AQ28" s="89">
        <f t="shared" si="15"/>
        <v>0.75647369582128887</v>
      </c>
      <c r="AR28" s="58">
        <f t="shared" si="16"/>
        <v>-1.1741243836331314</v>
      </c>
      <c r="AS28" s="32"/>
      <c r="AT28" s="32"/>
      <c r="AU28" s="32"/>
      <c r="AV28" s="32"/>
      <c r="AW28" s="32"/>
      <c r="AX28" s="32"/>
      <c r="AY28" s="3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5"/>
        <v>0</v>
      </c>
      <c r="U29" s="22">
        <f t="shared" si="6"/>
        <v>0</v>
      </c>
      <c r="V29" s="22">
        <f t="shared" si="7"/>
        <v>0</v>
      </c>
      <c r="W29" s="21">
        <f t="shared" si="11"/>
        <v>0</v>
      </c>
      <c r="X29" s="18">
        <f t="shared" si="0"/>
        <v>0</v>
      </c>
      <c r="Y29" s="3"/>
      <c r="Z29" s="6">
        <f t="shared" si="9"/>
        <v>0</v>
      </c>
      <c r="AA29" s="2"/>
      <c r="AB29" s="43">
        <v>0</v>
      </c>
      <c r="AC29" s="44">
        <f t="shared" si="18"/>
        <v>0.26175942549371634</v>
      </c>
      <c r="AD29" s="45">
        <v>30567.639930754078</v>
      </c>
      <c r="AE29" s="46">
        <f t="shared" si="19"/>
        <v>0</v>
      </c>
      <c r="AF29" s="2"/>
      <c r="AG29" s="43">
        <v>0</v>
      </c>
      <c r="AH29" s="47">
        <f t="shared" si="21"/>
        <v>26562.938129379741</v>
      </c>
      <c r="AI29" s="45">
        <v>30567.639930754078</v>
      </c>
      <c r="AJ29" s="46">
        <f t="shared" si="22"/>
        <v>0</v>
      </c>
      <c r="AK29" s="2"/>
      <c r="AL29" s="87">
        <v>20</v>
      </c>
      <c r="AM29" s="88">
        <f t="shared" si="23"/>
        <v>19.487973816475851</v>
      </c>
      <c r="AN29" s="88">
        <f t="shared" si="14"/>
        <v>2.3482487672663579</v>
      </c>
      <c r="AO29" s="89">
        <f t="shared" si="12"/>
        <v>4.6561930393425062</v>
      </c>
      <c r="AP29" s="89">
        <f t="shared" si="13"/>
        <v>3.8611961589088648</v>
      </c>
      <c r="AQ29" s="89">
        <f t="shared" si="15"/>
        <v>1.512947391642554</v>
      </c>
      <c r="AR29" s="58">
        <f t="shared" si="16"/>
        <v>-2.3482487672663104</v>
      </c>
      <c r="AS29" s="32"/>
      <c r="AT29" s="32"/>
      <c r="AU29" s="32"/>
      <c r="AV29" s="32"/>
      <c r="AW29" s="32"/>
      <c r="AX29" s="32"/>
      <c r="AY29" s="32"/>
    </row>
    <row r="30" spans="1:51" ht="15.75" customHeight="1" x14ac:dyDescent="0.25">
      <c r="A30" s="7" t="s">
        <v>89</v>
      </c>
      <c r="B30" s="8"/>
      <c r="C30" s="8"/>
      <c r="D30" s="8"/>
      <c r="E30" s="10" t="s">
        <v>90</v>
      </c>
      <c r="F30" s="8"/>
      <c r="G30" s="8"/>
      <c r="H30" s="8"/>
      <c r="I30" s="10" t="s">
        <v>91</v>
      </c>
      <c r="J30" s="48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5"/>
        <v>0</v>
      </c>
      <c r="U30" s="22">
        <f t="shared" si="6"/>
        <v>0</v>
      </c>
      <c r="V30" s="22">
        <f t="shared" si="7"/>
        <v>0</v>
      </c>
      <c r="W30" s="21">
        <f t="shared" si="11"/>
        <v>0</v>
      </c>
      <c r="X30" s="18">
        <f t="shared" si="0"/>
        <v>0</v>
      </c>
      <c r="Y30" s="3"/>
      <c r="Z30" s="6">
        <f t="shared" si="9"/>
        <v>0</v>
      </c>
      <c r="AA30" s="2"/>
      <c r="AB30" s="30">
        <f t="shared" ref="AB30:AB34" si="24">AB29+10</f>
        <v>10</v>
      </c>
      <c r="AC30" s="33">
        <f t="shared" si="18"/>
        <v>0.287935368043088</v>
      </c>
      <c r="AD30" s="34">
        <v>30926.542044682246</v>
      </c>
      <c r="AE30" s="38">
        <f t="shared" si="19"/>
        <v>1.1741243836331552</v>
      </c>
      <c r="AF30" s="2"/>
      <c r="AG30" s="30">
        <f t="shared" ref="AG30:AG34" si="25">AG29+10</f>
        <v>10</v>
      </c>
      <c r="AH30" s="35">
        <f t="shared" si="21"/>
        <v>29219.231942317718</v>
      </c>
      <c r="AI30" s="34">
        <v>33546.146763764067</v>
      </c>
      <c r="AJ30" s="38">
        <f t="shared" si="22"/>
        <v>9.743986908237936</v>
      </c>
      <c r="AK30" s="2"/>
      <c r="AL30" s="87">
        <v>30</v>
      </c>
      <c r="AM30" s="88">
        <f t="shared" si="23"/>
        <v>29.231960724713762</v>
      </c>
      <c r="AN30" s="88">
        <f t="shared" si="14"/>
        <v>3.5223731508994898</v>
      </c>
      <c r="AO30" s="89">
        <f t="shared" si="12"/>
        <v>6.9842895590137717</v>
      </c>
      <c r="AP30" s="89">
        <f t="shared" si="13"/>
        <v>14.648733976752803</v>
      </c>
      <c r="AQ30" s="89">
        <f t="shared" si="15"/>
        <v>2.2694210874638547</v>
      </c>
      <c r="AR30" s="58">
        <f t="shared" si="16"/>
        <v>-3.5223731508995133</v>
      </c>
      <c r="AS30" s="32"/>
      <c r="AT30" s="32"/>
      <c r="AU30" s="32"/>
      <c r="AV30" s="32"/>
      <c r="AW30" s="32"/>
      <c r="AX30" s="32"/>
      <c r="AY30" s="32"/>
    </row>
    <row r="31" spans="1:51" ht="15.75" customHeight="1" x14ac:dyDescent="0.25">
      <c r="A31" s="25" t="s">
        <v>172</v>
      </c>
      <c r="B31" s="6">
        <f t="shared" ref="B31:B32" si="26">IF(B11=0,0,-(B11/100)*$B$50)</f>
        <v>0</v>
      </c>
      <c r="C31" s="2" t="s">
        <v>3</v>
      </c>
      <c r="D31" s="2"/>
      <c r="E31" s="16" t="s">
        <v>92</v>
      </c>
      <c r="F31" s="24">
        <f>(J22/100)*B52</f>
        <v>7968.8814388139217</v>
      </c>
      <c r="G31" s="2" t="s">
        <v>3</v>
      </c>
      <c r="H31" s="2"/>
      <c r="I31" s="16" t="s">
        <v>93</v>
      </c>
      <c r="J31" s="32">
        <f>ROUNDDOWN(J12/(F12/J13),0)</f>
        <v>13</v>
      </c>
      <c r="K31" s="2" t="s">
        <v>58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5"/>
        <v>0</v>
      </c>
      <c r="U31" s="22">
        <f t="shared" si="6"/>
        <v>0</v>
      </c>
      <c r="V31" s="22">
        <f t="shared" si="7"/>
        <v>0</v>
      </c>
      <c r="W31" s="21">
        <f t="shared" si="11"/>
        <v>0</v>
      </c>
      <c r="X31" s="18">
        <f t="shared" si="0"/>
        <v>0</v>
      </c>
      <c r="Y31" s="3"/>
      <c r="Z31" s="6">
        <f t="shared" si="9"/>
        <v>0</v>
      </c>
      <c r="AA31" s="2"/>
      <c r="AB31" s="30">
        <f t="shared" si="24"/>
        <v>20</v>
      </c>
      <c r="AC31" s="33">
        <f t="shared" si="18"/>
        <v>0.31411131059245961</v>
      </c>
      <c r="AD31" s="34">
        <v>31285.444158610429</v>
      </c>
      <c r="AE31" s="38">
        <f t="shared" si="19"/>
        <v>2.3482487672663579</v>
      </c>
      <c r="AF31" s="2"/>
      <c r="AG31" s="30">
        <f t="shared" si="25"/>
        <v>20</v>
      </c>
      <c r="AH31" s="35">
        <f t="shared" si="21"/>
        <v>31875.525755255687</v>
      </c>
      <c r="AI31" s="34">
        <v>36524.653596774049</v>
      </c>
      <c r="AJ31" s="38">
        <f t="shared" si="22"/>
        <v>19.487973816475851</v>
      </c>
      <c r="AK31" s="2"/>
      <c r="AL31" s="87">
        <v>40</v>
      </c>
      <c r="AM31" s="88">
        <f t="shared" si="23"/>
        <v>38.975947632951701</v>
      </c>
      <c r="AN31" s="88">
        <f t="shared" si="14"/>
        <v>4.6964975345326208</v>
      </c>
      <c r="AO31" s="89">
        <f t="shared" si="12"/>
        <v>9.3123860786849892</v>
      </c>
      <c r="AP31" s="89">
        <f t="shared" si="13"/>
        <v>17.022179043126677</v>
      </c>
      <c r="AQ31" s="89">
        <f t="shared" si="15"/>
        <v>3.0258947832851675</v>
      </c>
      <c r="AR31" s="58">
        <f t="shared" si="16"/>
        <v>-4.6964975345326447</v>
      </c>
      <c r="AS31" s="32"/>
      <c r="AT31" s="32"/>
      <c r="AU31" s="32"/>
      <c r="AV31" s="32"/>
      <c r="AW31" s="32"/>
      <c r="AX31" s="32"/>
      <c r="AY31" s="32"/>
    </row>
    <row r="32" spans="1:51" ht="15.75" customHeight="1" x14ac:dyDescent="0.25">
      <c r="A32" s="25" t="s">
        <v>44</v>
      </c>
      <c r="B32" s="6">
        <f t="shared" si="26"/>
        <v>0</v>
      </c>
      <c r="C32" s="2" t="s">
        <v>3</v>
      </c>
      <c r="D32" s="2"/>
      <c r="E32" s="16" t="s">
        <v>94</v>
      </c>
      <c r="F32" s="6">
        <f>B52-F31</f>
        <v>18594.05669056582</v>
      </c>
      <c r="G32" s="2" t="s">
        <v>3</v>
      </c>
      <c r="H32" s="2"/>
      <c r="I32" s="16" t="s">
        <v>60</v>
      </c>
      <c r="J32" s="27">
        <f>IF(J24="Yes",SUM(F51:F52),0)</f>
        <v>0</v>
      </c>
      <c r="K32" s="2" t="s">
        <v>49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5"/>
        <v>0</v>
      </c>
      <c r="U32" s="22">
        <f t="shared" si="6"/>
        <v>0</v>
      </c>
      <c r="V32" s="22">
        <f t="shared" si="7"/>
        <v>0</v>
      </c>
      <c r="W32" s="21">
        <f t="shared" si="11"/>
        <v>0</v>
      </c>
      <c r="X32" s="18">
        <f t="shared" si="0"/>
        <v>0</v>
      </c>
      <c r="Y32" s="3"/>
      <c r="Z32" s="6">
        <f t="shared" si="9"/>
        <v>0</v>
      </c>
      <c r="AA32" s="2"/>
      <c r="AB32" s="30">
        <f t="shared" si="24"/>
        <v>30</v>
      </c>
      <c r="AC32" s="33">
        <f t="shared" si="18"/>
        <v>0.34028725314183123</v>
      </c>
      <c r="AD32" s="34">
        <v>31644.346272538591</v>
      </c>
      <c r="AE32" s="38">
        <f t="shared" si="19"/>
        <v>3.5223731508994898</v>
      </c>
      <c r="AF32" s="2"/>
      <c r="AG32" s="30">
        <f t="shared" si="25"/>
        <v>30</v>
      </c>
      <c r="AH32" s="35">
        <f t="shared" si="21"/>
        <v>34531.819568193663</v>
      </c>
      <c r="AI32" s="34">
        <v>39503.160429784031</v>
      </c>
      <c r="AJ32" s="38">
        <f t="shared" si="22"/>
        <v>29.231960724713762</v>
      </c>
      <c r="AK32" s="2"/>
      <c r="AL32" s="87">
        <v>50</v>
      </c>
      <c r="AM32" s="88">
        <f t="shared" si="23"/>
        <v>48.719934541189637</v>
      </c>
      <c r="AN32" s="88">
        <f t="shared" si="14"/>
        <v>5.8706219181658232</v>
      </c>
      <c r="AO32" s="89">
        <f t="shared" si="12"/>
        <v>11.640482598356231</v>
      </c>
      <c r="AP32" s="89">
        <f t="shared" si="13"/>
        <v>19.4177664588466</v>
      </c>
      <c r="AQ32" s="89">
        <f t="shared" si="15"/>
        <v>3.7823684791064327</v>
      </c>
      <c r="AR32" s="58">
        <f t="shared" si="16"/>
        <v>-5.8706219181657762</v>
      </c>
      <c r="AS32" s="32"/>
      <c r="AT32" s="32"/>
      <c r="AU32" s="32"/>
      <c r="AV32" s="32"/>
      <c r="AW32" s="32"/>
      <c r="AX32" s="32"/>
      <c r="AY32" s="32"/>
    </row>
    <row r="33" spans="1:51" ht="15.75" customHeight="1" x14ac:dyDescent="0.25">
      <c r="A33" s="25" t="s">
        <v>50</v>
      </c>
      <c r="B33" s="6">
        <f>IF(B13=0,0,(B13/100)*B49)</f>
        <v>2325.878709677419</v>
      </c>
      <c r="C33" s="2" t="s">
        <v>3</v>
      </c>
      <c r="D33" s="2"/>
      <c r="E33" s="16" t="s">
        <v>95</v>
      </c>
      <c r="F33" s="24">
        <f>F32*(F22/100)*J21</f>
        <v>6600.8901251508651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5"/>
        <v>0</v>
      </c>
      <c r="U33" s="22">
        <f t="shared" si="6"/>
        <v>0</v>
      </c>
      <c r="V33" s="22">
        <f t="shared" si="7"/>
        <v>0</v>
      </c>
      <c r="W33" s="21">
        <f t="shared" si="11"/>
        <v>0</v>
      </c>
      <c r="X33" s="18">
        <f t="shared" si="0"/>
        <v>0</v>
      </c>
      <c r="Y33" s="3"/>
      <c r="Z33" s="6">
        <f t="shared" si="9"/>
        <v>0</v>
      </c>
      <c r="AA33" s="2"/>
      <c r="AB33" s="30">
        <f t="shared" si="24"/>
        <v>40</v>
      </c>
      <c r="AC33" s="33">
        <f t="shared" si="18"/>
        <v>0.36646319569120284</v>
      </c>
      <c r="AD33" s="34">
        <v>32003.248386466752</v>
      </c>
      <c r="AE33" s="38">
        <f t="shared" si="19"/>
        <v>4.6964975345326208</v>
      </c>
      <c r="AF33" s="2"/>
      <c r="AG33" s="30">
        <f t="shared" si="25"/>
        <v>40</v>
      </c>
      <c r="AH33" s="35">
        <f t="shared" si="21"/>
        <v>37188.113381131632</v>
      </c>
      <c r="AI33" s="34">
        <v>42481.667262794021</v>
      </c>
      <c r="AJ33" s="38">
        <f t="shared" si="22"/>
        <v>38.975947632951701</v>
      </c>
      <c r="AK33" s="2"/>
      <c r="AL33" s="31"/>
      <c r="AM33" s="36"/>
      <c r="AN33" s="37"/>
      <c r="AO33" s="39"/>
      <c r="AP33" s="2"/>
      <c r="AQ33" s="32"/>
      <c r="AR33" s="32"/>
      <c r="AS33" s="32"/>
      <c r="AT33" s="32"/>
      <c r="AU33" s="32"/>
      <c r="AV33" s="32"/>
      <c r="AW33" s="32"/>
      <c r="AX33" s="32"/>
      <c r="AY33" s="32"/>
    </row>
    <row r="34" spans="1:51" ht="15.75" customHeight="1" x14ac:dyDescent="0.25">
      <c r="A34" s="25" t="s">
        <v>54</v>
      </c>
      <c r="B34" s="6">
        <f>IF(B14=0,0,(B14/100)*$B$49)</f>
        <v>4845.5806451612898</v>
      </c>
      <c r="C34" s="2" t="s">
        <v>3</v>
      </c>
      <c r="D34" s="2"/>
      <c r="E34" s="2"/>
      <c r="F34" s="32"/>
      <c r="G34" s="2"/>
      <c r="H34" s="2"/>
      <c r="I34" s="16" t="s">
        <v>96</v>
      </c>
      <c r="J34" s="6">
        <f>F12*B5</f>
        <v>120000</v>
      </c>
      <c r="K34" s="2" t="s">
        <v>97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5"/>
        <v>0</v>
      </c>
      <c r="U34" s="22">
        <f t="shared" si="6"/>
        <v>0</v>
      </c>
      <c r="V34" s="22">
        <f t="shared" si="7"/>
        <v>0</v>
      </c>
      <c r="W34" s="21">
        <f t="shared" si="11"/>
        <v>0</v>
      </c>
      <c r="X34" s="18">
        <f t="shared" si="0"/>
        <v>0</v>
      </c>
      <c r="Y34" s="3"/>
      <c r="Z34" s="6">
        <f t="shared" si="9"/>
        <v>0</v>
      </c>
      <c r="AA34" s="2"/>
      <c r="AB34" s="30">
        <f t="shared" si="24"/>
        <v>50</v>
      </c>
      <c r="AC34" s="33">
        <f t="shared" si="18"/>
        <v>0.3926391382405745</v>
      </c>
      <c r="AD34" s="34">
        <v>32362.150500394935</v>
      </c>
      <c r="AE34" s="38">
        <f t="shared" si="19"/>
        <v>5.8706219181658232</v>
      </c>
      <c r="AF34" s="2"/>
      <c r="AG34" s="30">
        <f t="shared" si="25"/>
        <v>50</v>
      </c>
      <c r="AH34" s="35">
        <f t="shared" si="21"/>
        <v>39844.407194069616</v>
      </c>
      <c r="AI34" s="34">
        <v>45460.17409580401</v>
      </c>
      <c r="AJ34" s="38">
        <f t="shared" si="22"/>
        <v>48.719934541189637</v>
      </c>
      <c r="AK34" s="2"/>
      <c r="AL34" s="31"/>
      <c r="AM34" s="36"/>
      <c r="AN34" s="37"/>
      <c r="AO34" s="39"/>
      <c r="AP34" s="2"/>
      <c r="AQ34" s="32"/>
      <c r="AR34" s="32"/>
      <c r="AS34" s="32"/>
      <c r="AT34" s="32"/>
      <c r="AU34" s="32"/>
      <c r="AV34" s="32"/>
      <c r="AW34" s="32"/>
      <c r="AX34" s="32"/>
      <c r="AY34" s="32"/>
    </row>
    <row r="35" spans="1:51" ht="15.75" customHeight="1" x14ac:dyDescent="0.25">
      <c r="A35" s="25" t="s">
        <v>63</v>
      </c>
      <c r="B35" s="6">
        <f t="shared" ref="B35:B38" si="27">IF(B16=0,0,(B16/$B$8))</f>
        <v>0</v>
      </c>
      <c r="C35" s="2" t="s">
        <v>3</v>
      </c>
      <c r="D35" s="2"/>
      <c r="E35" s="1" t="s">
        <v>98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5"/>
        <v>0</v>
      </c>
      <c r="U35" s="22">
        <f t="shared" si="6"/>
        <v>0</v>
      </c>
      <c r="V35" s="22">
        <f t="shared" si="7"/>
        <v>0</v>
      </c>
      <c r="W35" s="21">
        <f t="shared" si="11"/>
        <v>0</v>
      </c>
      <c r="X35" s="18">
        <f t="shared" si="0"/>
        <v>0</v>
      </c>
      <c r="Y35" s="3"/>
      <c r="Z35" s="6">
        <f t="shared" si="9"/>
        <v>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5" t="s">
        <v>181</v>
      </c>
      <c r="B36" s="6">
        <f t="shared" si="27"/>
        <v>8.0789946140035909</v>
      </c>
      <c r="C36" s="2" t="s">
        <v>3</v>
      </c>
      <c r="D36" s="2"/>
      <c r="E36" s="16" t="s">
        <v>30</v>
      </c>
      <c r="F36" s="27">
        <f>F13/$B$8</f>
        <v>0.26175942549371634</v>
      </c>
      <c r="G36" s="2" t="s">
        <v>31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5"/>
        <v>0</v>
      </c>
      <c r="U36" s="22">
        <f t="shared" si="6"/>
        <v>0</v>
      </c>
      <c r="V36" s="22">
        <f t="shared" si="7"/>
        <v>0</v>
      </c>
      <c r="W36" s="21">
        <f t="shared" si="11"/>
        <v>0</v>
      </c>
      <c r="X36" s="18">
        <f t="shared" si="0"/>
        <v>0</v>
      </c>
      <c r="Y36" s="3"/>
      <c r="Z36" s="6">
        <f t="shared" si="9"/>
        <v>0</v>
      </c>
      <c r="AA36" s="2"/>
      <c r="AB36" s="29" t="s">
        <v>34</v>
      </c>
      <c r="AC36" s="30"/>
      <c r="AD36" s="30"/>
      <c r="AE36" s="30"/>
      <c r="AF36" s="2"/>
      <c r="AG36" s="29" t="s">
        <v>99</v>
      </c>
      <c r="AH36" s="30"/>
      <c r="AI36" s="30"/>
      <c r="AJ36" s="30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5" t="s">
        <v>182</v>
      </c>
      <c r="B37" s="27">
        <f t="shared" si="27"/>
        <v>0.17953321364452424</v>
      </c>
      <c r="C37" s="2" t="s">
        <v>3</v>
      </c>
      <c r="D37" s="2"/>
      <c r="E37" s="16" t="s">
        <v>100</v>
      </c>
      <c r="F37" s="6">
        <f>(F20/((1-J15%)*J11))/B8</f>
        <v>0</v>
      </c>
      <c r="G37" s="2" t="s">
        <v>31</v>
      </c>
      <c r="H37" s="2"/>
      <c r="I37" s="1" t="s">
        <v>101</v>
      </c>
      <c r="J37" s="49">
        <f>SUM(J38:J41)</f>
        <v>301.07719928186714</v>
      </c>
      <c r="K37" s="1" t="s">
        <v>49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5"/>
        <v>0</v>
      </c>
      <c r="U37" s="22">
        <f t="shared" si="6"/>
        <v>0</v>
      </c>
      <c r="V37" s="22">
        <f t="shared" si="7"/>
        <v>0</v>
      </c>
      <c r="W37" s="21">
        <f t="shared" si="11"/>
        <v>0</v>
      </c>
      <c r="X37" s="18">
        <f t="shared" si="0"/>
        <v>0</v>
      </c>
      <c r="Y37" s="3"/>
      <c r="Z37" s="6">
        <f t="shared" si="9"/>
        <v>0</v>
      </c>
      <c r="AA37" s="2"/>
      <c r="AB37" s="30" t="s">
        <v>78</v>
      </c>
      <c r="AC37" s="30" t="s">
        <v>102</v>
      </c>
      <c r="AD37" s="30" t="s">
        <v>23</v>
      </c>
      <c r="AE37" s="30" t="s">
        <v>80</v>
      </c>
      <c r="AF37" s="2"/>
      <c r="AG37" s="30" t="s">
        <v>78</v>
      </c>
      <c r="AH37" s="30" t="s">
        <v>103</v>
      </c>
      <c r="AI37" s="30" t="s">
        <v>23</v>
      </c>
      <c r="AJ37" s="30" t="s">
        <v>80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5" t="s">
        <v>72</v>
      </c>
      <c r="B38" s="27">
        <f t="shared" si="27"/>
        <v>0.89766606822262118</v>
      </c>
      <c r="C38" s="2" t="s">
        <v>3</v>
      </c>
      <c r="D38" s="2"/>
      <c r="E38" s="16" t="s">
        <v>104</v>
      </c>
      <c r="F38" s="50">
        <f>F36*J18</f>
        <v>3.7169838420107716E-2</v>
      </c>
      <c r="G38" s="2" t="s">
        <v>4</v>
      </c>
      <c r="H38" s="2"/>
      <c r="I38" s="16" t="s">
        <v>105</v>
      </c>
      <c r="J38" s="27">
        <f>F17/$B$8</f>
        <v>1.6157989228007181</v>
      </c>
      <c r="K38" s="2" t="s">
        <v>49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5"/>
        <v>0</v>
      </c>
      <c r="U38" s="22">
        <f t="shared" si="6"/>
        <v>0</v>
      </c>
      <c r="V38" s="22">
        <f t="shared" si="7"/>
        <v>0</v>
      </c>
      <c r="W38" s="21">
        <f t="shared" si="11"/>
        <v>0</v>
      </c>
      <c r="X38" s="18">
        <f t="shared" si="0"/>
        <v>0</v>
      </c>
      <c r="Y38" s="3"/>
      <c r="Z38" s="6">
        <f t="shared" si="9"/>
        <v>0</v>
      </c>
      <c r="AA38" s="2"/>
      <c r="AB38" s="30" t="s">
        <v>84</v>
      </c>
      <c r="AC38" s="35">
        <v>5292</v>
      </c>
      <c r="AD38" s="34">
        <f>X49</f>
        <v>30567.639930754078</v>
      </c>
      <c r="AE38" s="30"/>
      <c r="AF38" s="2"/>
      <c r="AG38" s="30" t="s">
        <v>84</v>
      </c>
      <c r="AH38" s="35">
        <v>12000</v>
      </c>
      <c r="AI38" s="34">
        <f>X49</f>
        <v>30567.639930754078</v>
      </c>
      <c r="AJ38" s="30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73</v>
      </c>
      <c r="J39" s="27">
        <f>F19/$B$8</f>
        <v>0</v>
      </c>
      <c r="K39" s="2" t="s">
        <v>49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5"/>
        <v>0</v>
      </c>
      <c r="U39" s="22">
        <f t="shared" si="6"/>
        <v>0</v>
      </c>
      <c r="V39" s="22">
        <f t="shared" si="7"/>
        <v>0</v>
      </c>
      <c r="W39" s="21">
        <f t="shared" si="11"/>
        <v>0</v>
      </c>
      <c r="X39" s="18">
        <f t="shared" si="0"/>
        <v>0</v>
      </c>
      <c r="Y39" s="3"/>
      <c r="Z39" s="6">
        <f t="shared" si="9"/>
        <v>0</v>
      </c>
      <c r="AA39" s="2"/>
      <c r="AB39" s="30">
        <f t="shared" ref="AB39:AB43" si="28">AB40-10</f>
        <v>-50</v>
      </c>
      <c r="AC39" s="35">
        <f t="shared" ref="AC39:AC49" si="29">$AC$38*(1+(AB39/100))</f>
        <v>2646</v>
      </c>
      <c r="AD39" s="34">
        <f t="dataTable" ref="AD39:AD49" dt2D="0" dtr="0" r1="B48" ca="1"/>
        <v>27009.419123886451</v>
      </c>
      <c r="AE39" s="38">
        <f>100*((AD39-$AD$44)/$AD$44)</f>
        <v>-11.640482598356256</v>
      </c>
      <c r="AF39" s="2"/>
      <c r="AG39" s="30">
        <f t="shared" ref="AG39:AG43" si="30">AG40-10</f>
        <v>-50</v>
      </c>
      <c r="AH39" s="35">
        <f t="shared" ref="AH39:AH49" si="31">$AH$38*(1+(AG39/100))</f>
        <v>6000</v>
      </c>
      <c r="AI39" s="34">
        <f t="dataTable" ref="AI39:AI49" dt2D="0" dtr="0" r1="F12" ca="1"/>
        <v>27616.948583565631</v>
      </c>
      <c r="AJ39" s="38">
        <f t="shared" ref="AJ39:AJ49" si="32">100*((AI39-$AI$44)/$AI$44)</f>
        <v>-9.6529903972722444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16" t="s">
        <v>106</v>
      </c>
      <c r="F40" s="27">
        <f>F37*F12*J18</f>
        <v>0</v>
      </c>
      <c r="G40" s="2" t="s">
        <v>49</v>
      </c>
      <c r="H40" s="2"/>
      <c r="I40" s="16" t="s">
        <v>64</v>
      </c>
      <c r="J40" s="27">
        <f>F16/$B$8</f>
        <v>0</v>
      </c>
      <c r="K40" s="2" t="s">
        <v>49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5"/>
        <v>0</v>
      </c>
      <c r="U40" s="22">
        <f t="shared" si="6"/>
        <v>0</v>
      </c>
      <c r="V40" s="22">
        <f t="shared" si="7"/>
        <v>0</v>
      </c>
      <c r="W40" s="21">
        <f t="shared" si="11"/>
        <v>0</v>
      </c>
      <c r="X40" s="18">
        <f t="shared" si="0"/>
        <v>0</v>
      </c>
      <c r="Y40" s="3"/>
      <c r="Z40" s="6">
        <f t="shared" si="9"/>
        <v>0</v>
      </c>
      <c r="AA40" s="2"/>
      <c r="AB40" s="30">
        <f t="shared" si="28"/>
        <v>-40</v>
      </c>
      <c r="AC40" s="35">
        <f t="shared" si="29"/>
        <v>3175.2</v>
      </c>
      <c r="AD40" s="34">
        <v>27721.063285259981</v>
      </c>
      <c r="AE40" s="38">
        <f t="shared" ref="AE40:AE49" si="33">100*((AD40-$AD$29)/$AD$29)</f>
        <v>-9.3123860786849892</v>
      </c>
      <c r="AF40" s="2"/>
      <c r="AG40" s="30">
        <f t="shared" si="30"/>
        <v>-40</v>
      </c>
      <c r="AH40" s="35">
        <f t="shared" si="31"/>
        <v>7200</v>
      </c>
      <c r="AI40" s="34">
        <v>28207.086853003319</v>
      </c>
      <c r="AJ40" s="38">
        <f t="shared" si="32"/>
        <v>-7.7223923178177998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16" t="s">
        <v>107</v>
      </c>
      <c r="F41" s="32">
        <f>F38*F12</f>
        <v>446.03806104129262</v>
      </c>
      <c r="G41" s="26" t="s">
        <v>49</v>
      </c>
      <c r="H41" s="2"/>
      <c r="I41" s="16" t="s">
        <v>48</v>
      </c>
      <c r="J41" s="51">
        <f>F21*F12/$B$8</f>
        <v>299.46140035906643</v>
      </c>
      <c r="K41" s="2" t="s">
        <v>49</v>
      </c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5"/>
        <v>0</v>
      </c>
      <c r="U41" s="22">
        <f t="shared" si="6"/>
        <v>0</v>
      </c>
      <c r="V41" s="22">
        <f t="shared" si="7"/>
        <v>0</v>
      </c>
      <c r="W41" s="21">
        <f t="shared" si="11"/>
        <v>0</v>
      </c>
      <c r="X41" s="18">
        <f t="shared" si="0"/>
        <v>0</v>
      </c>
      <c r="Y41" s="3"/>
      <c r="Z41" s="6">
        <f t="shared" si="9"/>
        <v>0</v>
      </c>
      <c r="AA41" s="2"/>
      <c r="AB41" s="30">
        <f t="shared" si="28"/>
        <v>-30</v>
      </c>
      <c r="AC41" s="35">
        <f t="shared" si="29"/>
        <v>3704.3999999999996</v>
      </c>
      <c r="AD41" s="34">
        <v>28432.707446633507</v>
      </c>
      <c r="AE41" s="38">
        <f t="shared" si="33"/>
        <v>-6.9842895590137362</v>
      </c>
      <c r="AF41" s="2"/>
      <c r="AG41" s="30">
        <f t="shared" si="30"/>
        <v>-30</v>
      </c>
      <c r="AH41" s="35">
        <f t="shared" si="31"/>
        <v>8400</v>
      </c>
      <c r="AI41" s="34">
        <v>28797.225122441007</v>
      </c>
      <c r="AJ41" s="38">
        <f t="shared" si="32"/>
        <v>-5.7917942383633561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5"/>
        <v>0</v>
      </c>
      <c r="U42" s="22">
        <f t="shared" si="6"/>
        <v>0</v>
      </c>
      <c r="V42" s="22">
        <f t="shared" si="7"/>
        <v>0</v>
      </c>
      <c r="W42" s="21">
        <f t="shared" si="11"/>
        <v>0</v>
      </c>
      <c r="X42" s="18">
        <f t="shared" si="0"/>
        <v>0</v>
      </c>
      <c r="Y42" s="3"/>
      <c r="Z42" s="6">
        <f t="shared" si="9"/>
        <v>0</v>
      </c>
      <c r="AA42" s="2"/>
      <c r="AB42" s="30">
        <f t="shared" si="28"/>
        <v>-20</v>
      </c>
      <c r="AC42" s="35">
        <f t="shared" si="29"/>
        <v>4233.6000000000004</v>
      </c>
      <c r="AD42" s="34">
        <v>29144.351608007033</v>
      </c>
      <c r="AE42" s="38">
        <f t="shared" si="33"/>
        <v>-4.6561930393424831</v>
      </c>
      <c r="AF42" s="2"/>
      <c r="AG42" s="30">
        <f t="shared" si="30"/>
        <v>-20</v>
      </c>
      <c r="AH42" s="35">
        <f t="shared" si="31"/>
        <v>9600</v>
      </c>
      <c r="AI42" s="34">
        <v>29387.363391878702</v>
      </c>
      <c r="AJ42" s="38">
        <f t="shared" si="32"/>
        <v>-3.8611961589088883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5"/>
        <v>0</v>
      </c>
      <c r="U43" s="22">
        <f t="shared" si="6"/>
        <v>0</v>
      </c>
      <c r="V43" s="22">
        <f t="shared" si="7"/>
        <v>0</v>
      </c>
      <c r="W43" s="21">
        <f t="shared" si="11"/>
        <v>0</v>
      </c>
      <c r="X43" s="18">
        <f t="shared" si="0"/>
        <v>0</v>
      </c>
      <c r="Y43" s="3"/>
      <c r="Z43" s="6">
        <f t="shared" si="9"/>
        <v>0</v>
      </c>
      <c r="AA43" s="2"/>
      <c r="AB43" s="30">
        <f t="shared" si="28"/>
        <v>-10</v>
      </c>
      <c r="AC43" s="35">
        <f t="shared" si="29"/>
        <v>4762.8</v>
      </c>
      <c r="AD43" s="34">
        <v>29855.995769380559</v>
      </c>
      <c r="AE43" s="38">
        <f t="shared" si="33"/>
        <v>-2.3280965196712295</v>
      </c>
      <c r="AF43" s="2"/>
      <c r="AG43" s="30">
        <f t="shared" si="30"/>
        <v>-10</v>
      </c>
      <c r="AH43" s="35">
        <f t="shared" si="31"/>
        <v>10800</v>
      </c>
      <c r="AI43" s="34">
        <v>29977.50166131639</v>
      </c>
      <c r="AJ43" s="38">
        <f t="shared" si="32"/>
        <v>-1.9305980794544442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3" t="s">
        <v>108</v>
      </c>
      <c r="B44" s="3"/>
      <c r="C44" s="1"/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5"/>
        <v>0</v>
      </c>
      <c r="U44" s="22">
        <f t="shared" si="6"/>
        <v>0</v>
      </c>
      <c r="V44" s="22">
        <f t="shared" si="7"/>
        <v>0</v>
      </c>
      <c r="W44" s="21">
        <f t="shared" si="11"/>
        <v>0</v>
      </c>
      <c r="X44" s="18">
        <f t="shared" si="0"/>
        <v>0</v>
      </c>
      <c r="Y44" s="3"/>
      <c r="Z44" s="6">
        <f t="shared" si="9"/>
        <v>0</v>
      </c>
      <c r="AA44" s="2"/>
      <c r="AB44" s="43">
        <v>0</v>
      </c>
      <c r="AC44" s="47">
        <f t="shared" si="29"/>
        <v>5292</v>
      </c>
      <c r="AD44" s="45">
        <v>30567.639930754078</v>
      </c>
      <c r="AE44" s="46">
        <f t="shared" si="33"/>
        <v>0</v>
      </c>
      <c r="AF44" s="2"/>
      <c r="AG44" s="43">
        <v>0</v>
      </c>
      <c r="AH44" s="47">
        <f t="shared" si="31"/>
        <v>12000</v>
      </c>
      <c r="AI44" s="45">
        <v>30567.639930754078</v>
      </c>
      <c r="AJ44" s="46">
        <f t="shared" si="32"/>
        <v>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16" t="s">
        <v>199</v>
      </c>
      <c r="B45" s="6">
        <f>J8/B8</f>
        <v>11741.935483870968</v>
      </c>
      <c r="C45" s="2" t="s">
        <v>3</v>
      </c>
      <c r="D45" s="2"/>
      <c r="E45" s="1" t="s">
        <v>163</v>
      </c>
      <c r="F45" s="2"/>
      <c r="G45" s="2"/>
      <c r="H45" s="2"/>
      <c r="I45" s="1" t="s">
        <v>109</v>
      </c>
      <c r="J45" s="2"/>
      <c r="K45" s="2"/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5"/>
        <v>0</v>
      </c>
      <c r="U45" s="22">
        <f t="shared" si="6"/>
        <v>0</v>
      </c>
      <c r="V45" s="22">
        <f t="shared" si="7"/>
        <v>0</v>
      </c>
      <c r="W45" s="21">
        <f t="shared" si="11"/>
        <v>0</v>
      </c>
      <c r="X45" s="18">
        <f t="shared" si="0"/>
        <v>0</v>
      </c>
      <c r="Y45" s="3"/>
      <c r="Z45" s="6">
        <f t="shared" si="9"/>
        <v>0</v>
      </c>
      <c r="AA45" s="2"/>
      <c r="AB45" s="30">
        <f t="shared" ref="AB45:AB49" si="34">AB44+10</f>
        <v>10</v>
      </c>
      <c r="AC45" s="35">
        <f t="shared" si="29"/>
        <v>5821.2000000000007</v>
      </c>
      <c r="AD45" s="34">
        <v>31279.284092127604</v>
      </c>
      <c r="AE45" s="38">
        <f t="shared" si="33"/>
        <v>2.3280965196712531</v>
      </c>
      <c r="AF45" s="2"/>
      <c r="AG45" s="30">
        <f t="shared" ref="AG45:AG49" si="35">AG44+10</f>
        <v>10</v>
      </c>
      <c r="AH45" s="35">
        <f t="shared" si="31"/>
        <v>13200.000000000002</v>
      </c>
      <c r="AI45" s="34">
        <v>31157.778200191766</v>
      </c>
      <c r="AJ45" s="38">
        <f t="shared" si="32"/>
        <v>1.9305980794544442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16" t="s">
        <v>110</v>
      </c>
      <c r="B46" s="6">
        <f>IF(J24="No",J10*J11,0)</f>
        <v>4410</v>
      </c>
      <c r="C46" s="2" t="s">
        <v>3</v>
      </c>
      <c r="D46" s="2"/>
      <c r="E46" s="16" t="s">
        <v>164</v>
      </c>
      <c r="F46" s="68">
        <f>((1+(B15/100))*J10*J11)*(1+(B13%+B14%))</f>
        <v>7250.0400000000009</v>
      </c>
      <c r="G46" s="2" t="s">
        <v>3</v>
      </c>
      <c r="H46" s="2"/>
      <c r="I46" s="16" t="s">
        <v>111</v>
      </c>
      <c r="J46" s="20">
        <f>F18*J9*F23%/$B$8</f>
        <v>4.2010771992818672</v>
      </c>
      <c r="K46" s="2" t="s">
        <v>49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5"/>
        <v>0</v>
      </c>
      <c r="U46" s="22">
        <f t="shared" si="6"/>
        <v>0</v>
      </c>
      <c r="V46" s="22">
        <f t="shared" si="7"/>
        <v>0</v>
      </c>
      <c r="W46" s="21">
        <f t="shared" si="11"/>
        <v>0</v>
      </c>
      <c r="X46" s="18">
        <f t="shared" si="0"/>
        <v>0</v>
      </c>
      <c r="Y46" s="3"/>
      <c r="Z46" s="6">
        <f t="shared" si="9"/>
        <v>0</v>
      </c>
      <c r="AA46" s="2"/>
      <c r="AB46" s="30">
        <f t="shared" si="34"/>
        <v>20</v>
      </c>
      <c r="AC46" s="35">
        <f t="shared" si="29"/>
        <v>6350.4</v>
      </c>
      <c r="AD46" s="34">
        <v>31990.92825350113</v>
      </c>
      <c r="AE46" s="38">
        <f t="shared" si="33"/>
        <v>4.6561930393425062</v>
      </c>
      <c r="AF46" s="2"/>
      <c r="AG46" s="30">
        <f t="shared" si="35"/>
        <v>20</v>
      </c>
      <c r="AH46" s="35">
        <f t="shared" si="31"/>
        <v>14400</v>
      </c>
      <c r="AI46" s="34">
        <v>31747.916469629447</v>
      </c>
      <c r="AJ46" s="38">
        <f t="shared" si="32"/>
        <v>3.8611961589088648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5" t="s">
        <v>112</v>
      </c>
      <c r="B47" s="24">
        <f>(1+(B15/100))*B45</f>
        <v>14090.322580645161</v>
      </c>
      <c r="C47" s="2" t="s">
        <v>3</v>
      </c>
      <c r="D47" s="2"/>
      <c r="E47" s="2" t="s">
        <v>165</v>
      </c>
      <c r="F47" s="68">
        <f>((J22%)*F46)+(((1-J22%)*F46)*(1+(F22%*J21)))</f>
        <v>9051.6749400000008</v>
      </c>
      <c r="G47" s="2" t="s">
        <v>3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5"/>
        <v>0</v>
      </c>
      <c r="U47" s="22">
        <f t="shared" si="6"/>
        <v>0</v>
      </c>
      <c r="V47" s="22">
        <f t="shared" si="7"/>
        <v>0</v>
      </c>
      <c r="W47" s="21">
        <f t="shared" si="11"/>
        <v>0</v>
      </c>
      <c r="X47" s="18">
        <f t="shared" si="0"/>
        <v>0</v>
      </c>
      <c r="Y47" s="3"/>
      <c r="Z47" s="6">
        <f t="shared" si="9"/>
        <v>0</v>
      </c>
      <c r="AA47" s="2"/>
      <c r="AB47" s="30">
        <f t="shared" si="34"/>
        <v>30</v>
      </c>
      <c r="AC47" s="35">
        <f t="shared" si="29"/>
        <v>6879.6</v>
      </c>
      <c r="AD47" s="34">
        <v>32702.572414874659</v>
      </c>
      <c r="AE47" s="38">
        <f t="shared" si="33"/>
        <v>6.9842895590137717</v>
      </c>
      <c r="AF47" s="2"/>
      <c r="AG47" s="30">
        <f t="shared" si="35"/>
        <v>30</v>
      </c>
      <c r="AH47" s="35">
        <f t="shared" si="31"/>
        <v>15600</v>
      </c>
      <c r="AI47" s="34">
        <v>35045.412187181908</v>
      </c>
      <c r="AJ47" s="38">
        <f t="shared" si="32"/>
        <v>14.648733976752803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52" t="s">
        <v>113</v>
      </c>
      <c r="B48" s="53">
        <f>(1+(B15/100))*B46</f>
        <v>5292</v>
      </c>
      <c r="C48" s="26" t="s">
        <v>3</v>
      </c>
      <c r="D48" s="2"/>
      <c r="E48" s="2" t="s">
        <v>93</v>
      </c>
      <c r="F48" s="68">
        <f>J13*J12</f>
        <v>160800</v>
      </c>
      <c r="G48" s="2" t="s">
        <v>97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5"/>
        <v>0</v>
      </c>
      <c r="U48" s="22">
        <f t="shared" si="6"/>
        <v>0</v>
      </c>
      <c r="V48" s="22">
        <f t="shared" si="7"/>
        <v>0</v>
      </c>
      <c r="W48" s="21">
        <f t="shared" si="11"/>
        <v>0</v>
      </c>
      <c r="X48" s="18">
        <f t="shared" si="0"/>
        <v>0</v>
      </c>
      <c r="Y48" s="3"/>
      <c r="Z48" s="6">
        <f t="shared" si="9"/>
        <v>0</v>
      </c>
      <c r="AA48" s="2"/>
      <c r="AB48" s="30">
        <f t="shared" si="34"/>
        <v>40</v>
      </c>
      <c r="AC48" s="35">
        <f t="shared" si="29"/>
        <v>7408.7999999999993</v>
      </c>
      <c r="AD48" s="34">
        <v>33414.216576248175</v>
      </c>
      <c r="AE48" s="38">
        <f t="shared" si="33"/>
        <v>9.3123860786849892</v>
      </c>
      <c r="AF48" s="2"/>
      <c r="AG48" s="30">
        <f t="shared" si="35"/>
        <v>40</v>
      </c>
      <c r="AH48" s="35">
        <f t="shared" si="31"/>
        <v>16800</v>
      </c>
      <c r="AI48" s="34">
        <v>35770.91832902532</v>
      </c>
      <c r="AJ48" s="38">
        <f t="shared" si="32"/>
        <v>17.022179043126677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 t="s">
        <v>114</v>
      </c>
      <c r="B49" s="24">
        <f>B47+B48</f>
        <v>19382.322580645159</v>
      </c>
      <c r="C49" s="2" t="s">
        <v>3</v>
      </c>
      <c r="D49" s="2"/>
      <c r="E49" s="2" t="s">
        <v>166</v>
      </c>
      <c r="F49" s="69">
        <f>(F47/F48)*J25</f>
        <v>7.317896406716419E-2</v>
      </c>
      <c r="G49" s="2" t="s">
        <v>4</v>
      </c>
      <c r="H49" s="2"/>
      <c r="I49" s="2"/>
      <c r="J49" s="2"/>
      <c r="K49" s="2"/>
      <c r="L49" s="15"/>
      <c r="M49" s="2"/>
      <c r="N49" s="12" t="s">
        <v>115</v>
      </c>
      <c r="O49" s="18">
        <f t="shared" ref="O49:X49" si="36">SUM(O8:O48)</f>
        <v>7968.8814388139217</v>
      </c>
      <c r="P49" s="18">
        <f t="shared" si="36"/>
        <v>21816.186891285928</v>
      </c>
      <c r="Q49" s="18">
        <f t="shared" si="36"/>
        <v>3589.0211392817032</v>
      </c>
      <c r="R49" s="18">
        <f t="shared" si="36"/>
        <v>0</v>
      </c>
      <c r="S49" s="18">
        <f t="shared" si="36"/>
        <v>2324.8383260759297</v>
      </c>
      <c r="T49" s="18">
        <f t="shared" si="36"/>
        <v>32.4396045498967</v>
      </c>
      <c r="U49" s="18">
        <f t="shared" si="36"/>
        <v>0</v>
      </c>
      <c r="V49" s="18">
        <f t="shared" si="36"/>
        <v>0</v>
      </c>
      <c r="W49" s="18">
        <f t="shared" si="36"/>
        <v>-5163.7274692533001</v>
      </c>
      <c r="X49" s="18">
        <f t="shared" si="36"/>
        <v>30567.639930754078</v>
      </c>
      <c r="Y49" s="3"/>
      <c r="Z49" s="3"/>
      <c r="AA49" s="2"/>
      <c r="AB49" s="30">
        <f t="shared" si="34"/>
        <v>50</v>
      </c>
      <c r="AC49" s="35">
        <f t="shared" si="29"/>
        <v>7938</v>
      </c>
      <c r="AD49" s="34">
        <v>34125.860737621697</v>
      </c>
      <c r="AE49" s="38">
        <f t="shared" si="33"/>
        <v>11.640482598356231</v>
      </c>
      <c r="AF49" s="2"/>
      <c r="AG49" s="30">
        <f t="shared" si="35"/>
        <v>50</v>
      </c>
      <c r="AH49" s="35">
        <f t="shared" si="31"/>
        <v>18000</v>
      </c>
      <c r="AI49" s="34">
        <v>36503.192864489043</v>
      </c>
      <c r="AJ49" s="38">
        <f t="shared" si="32"/>
        <v>19.4177664588466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5" t="s">
        <v>116</v>
      </c>
      <c r="B50" s="6">
        <f>SUM(B33:B38)+SUM(B49)</f>
        <v>26562.938129379741</v>
      </c>
      <c r="C50" s="2" t="s">
        <v>3</v>
      </c>
      <c r="D50" s="2"/>
      <c r="E50" s="2" t="s">
        <v>167</v>
      </c>
      <c r="F50" s="6">
        <f>J26*365</f>
        <v>54750</v>
      </c>
      <c r="G50" s="2" t="s">
        <v>43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SUM(S49:T49)</f>
        <v>2357.2779306258262</v>
      </c>
      <c r="T50" s="2"/>
      <c r="U50" s="2"/>
      <c r="V50" s="2"/>
      <c r="W50" s="2"/>
      <c r="X50" s="24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5" t="s">
        <v>173</v>
      </c>
      <c r="B51" s="6">
        <f>SUM(B31:B32)</f>
        <v>0</v>
      </c>
      <c r="C51" s="2" t="s">
        <v>3</v>
      </c>
      <c r="D51" s="2"/>
      <c r="E51" s="2" t="s">
        <v>168</v>
      </c>
      <c r="F51" s="5">
        <f>F49*F50</f>
        <v>4006.5482826772395</v>
      </c>
      <c r="G51" s="70" t="s">
        <v>49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9" t="s">
        <v>48</v>
      </c>
      <c r="AC51" s="30"/>
      <c r="AD51" s="30"/>
      <c r="AE51" s="30"/>
      <c r="AF51" s="2"/>
      <c r="AG51" s="29" t="s">
        <v>161</v>
      </c>
      <c r="AH51" s="30"/>
      <c r="AI51" s="30"/>
      <c r="AJ51" s="30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5" t="s">
        <v>174</v>
      </c>
      <c r="B52" s="6">
        <f>B50-B51</f>
        <v>26562.938129379741</v>
      </c>
      <c r="C52" s="2" t="s">
        <v>3</v>
      </c>
      <c r="D52" s="2"/>
      <c r="E52" s="2" t="s">
        <v>169</v>
      </c>
      <c r="F52" s="71">
        <f>IF(F12&gt;F50,(F12-F50)*F49,0)</f>
        <v>0</v>
      </c>
      <c r="G52" s="70" t="s">
        <v>49</v>
      </c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0" t="s">
        <v>78</v>
      </c>
      <c r="AC52" s="30" t="s">
        <v>117</v>
      </c>
      <c r="AD52" s="30" t="s">
        <v>23</v>
      </c>
      <c r="AE52" s="30" t="s">
        <v>80</v>
      </c>
      <c r="AF52" s="2"/>
      <c r="AG52" s="30" t="s">
        <v>78</v>
      </c>
      <c r="AH52" s="30" t="s">
        <v>170</v>
      </c>
      <c r="AI52" s="30" t="s">
        <v>23</v>
      </c>
      <c r="AJ52" s="30" t="s">
        <v>80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2"/>
      <c r="N53" s="2"/>
      <c r="O53" s="1" t="s">
        <v>140</v>
      </c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0" t="s">
        <v>84</v>
      </c>
      <c r="AC53" s="35">
        <v>299.46140035906643</v>
      </c>
      <c r="AD53" s="34">
        <f>X49</f>
        <v>30567.639930754078</v>
      </c>
      <c r="AE53" s="30"/>
      <c r="AF53" s="2"/>
      <c r="AG53" s="30" t="s">
        <v>84</v>
      </c>
      <c r="AH53" s="35">
        <v>150</v>
      </c>
      <c r="AI53" s="34">
        <f>X49</f>
        <v>30567.639930754078</v>
      </c>
      <c r="AJ53" s="30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4"/>
      <c r="O54" s="55" t="s">
        <v>118</v>
      </c>
      <c r="P54" s="56" t="str">
        <f>B1</f>
        <v>Philippines</v>
      </c>
      <c r="Q54" s="54"/>
      <c r="R54" s="54"/>
      <c r="S54" s="54"/>
      <c r="T54" s="54"/>
      <c r="U54" s="54"/>
      <c r="V54" s="57"/>
      <c r="W54" s="2"/>
      <c r="X54" s="32"/>
      <c r="Y54" s="32"/>
      <c r="Z54" s="57"/>
      <c r="AA54" s="32"/>
      <c r="AB54" s="30">
        <f t="shared" ref="AB54:AB58" si="37">AB55-10</f>
        <v>-50</v>
      </c>
      <c r="AC54" s="35">
        <f t="shared" ref="AC54:AC64" si="38">$AC$53*(1+(AB54/100))</f>
        <v>149.73070017953322</v>
      </c>
      <c r="AD54" s="34">
        <f t="dataTable" ref="AD54:AD64" dt2D="0" dtr="0" r1="J41" ca="1"/>
        <v>29411.45915320647</v>
      </c>
      <c r="AE54" s="38">
        <f t="shared" ref="AE54:AE64" si="39">100*((AD54-$AI$29)/$AI$29)</f>
        <v>-3.7823684791064802</v>
      </c>
      <c r="AF54" s="2"/>
      <c r="AG54" s="30">
        <f t="shared" ref="AG54:AG56" si="40">AG55-20</f>
        <v>-100</v>
      </c>
      <c r="AH54" s="35">
        <f>$AH$53*(1+(AG54/100))</f>
        <v>0</v>
      </c>
      <c r="AI54" s="34">
        <f t="dataTable" ref="AI54:AI64" dt2D="0" dtr="0" r1="J26" ca="1"/>
        <v>30567.639930754078</v>
      </c>
      <c r="AJ54" s="38">
        <f>100*((AI54-$AI$59)/$AI$59)</f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24">
        <f>SUM(O49:P49)</f>
        <v>29785.06833009985</v>
      </c>
      <c r="Q55" s="2" t="s">
        <v>3</v>
      </c>
      <c r="R55" s="50">
        <f t="shared" ref="R55:R59" si="41">P55/$J$34</f>
        <v>0.24820890275083207</v>
      </c>
      <c r="S55" s="2" t="s">
        <v>4</v>
      </c>
      <c r="T55" s="2"/>
      <c r="U55" s="2"/>
      <c r="V55" s="57"/>
      <c r="W55" s="2"/>
      <c r="X55" s="32"/>
      <c r="Y55" s="32"/>
      <c r="Z55" s="57"/>
      <c r="AA55" s="32"/>
      <c r="AB55" s="30">
        <f t="shared" si="37"/>
        <v>-40</v>
      </c>
      <c r="AC55" s="35">
        <f t="shared" si="38"/>
        <v>179.67684021543985</v>
      </c>
      <c r="AD55" s="34">
        <v>29642.695308715996</v>
      </c>
      <c r="AE55" s="38">
        <f t="shared" si="39"/>
        <v>-3.0258947832851675</v>
      </c>
      <c r="AF55" s="2"/>
      <c r="AG55" s="30">
        <f t="shared" si="40"/>
        <v>-80</v>
      </c>
      <c r="AH55" s="35">
        <f t="shared" ref="AH55:AH64" si="42">$AH$53*(1+(AG55/100))</f>
        <v>29.999999999999993</v>
      </c>
      <c r="AI55" s="34">
        <v>30567.639930754078</v>
      </c>
      <c r="AJ55" s="38">
        <f t="shared" ref="AJ55:AJ64" si="43">100*((AI55-$AI$59)/$AI$59)</f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98</v>
      </c>
      <c r="P56" s="24">
        <f>SUM(Q49:R49)</f>
        <v>3589.0211392817032</v>
      </c>
      <c r="Q56" s="2" t="s">
        <v>3</v>
      </c>
      <c r="R56" s="50">
        <f t="shared" si="41"/>
        <v>2.9908509494014194E-2</v>
      </c>
      <c r="S56" s="2" t="s">
        <v>4</v>
      </c>
      <c r="T56" s="2"/>
      <c r="U56" s="2"/>
      <c r="V56" s="57"/>
      <c r="W56" s="2"/>
      <c r="X56" s="32"/>
      <c r="Y56" s="32"/>
      <c r="Z56" s="57"/>
      <c r="AA56" s="32"/>
      <c r="AB56" s="30">
        <f t="shared" si="37"/>
        <v>-30</v>
      </c>
      <c r="AC56" s="35">
        <f t="shared" si="38"/>
        <v>209.62298025134649</v>
      </c>
      <c r="AD56" s="34">
        <v>29873.931464225516</v>
      </c>
      <c r="AE56" s="38">
        <f t="shared" si="39"/>
        <v>-2.2694210874638787</v>
      </c>
      <c r="AF56" s="2"/>
      <c r="AG56" s="30">
        <f t="shared" si="40"/>
        <v>-60</v>
      </c>
      <c r="AH56" s="35">
        <f t="shared" si="42"/>
        <v>60</v>
      </c>
      <c r="AI56" s="34">
        <v>30567.639930754078</v>
      </c>
      <c r="AJ56" s="38">
        <f t="shared" si="43"/>
        <v>0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120</v>
      </c>
      <c r="P57" s="24">
        <f>SUM(S49:T49)</f>
        <v>2357.2779306258262</v>
      </c>
      <c r="Q57" s="2" t="s">
        <v>3</v>
      </c>
      <c r="R57" s="50">
        <f t="shared" si="41"/>
        <v>1.9643982755215218E-2</v>
      </c>
      <c r="S57" s="2" t="s">
        <v>4</v>
      </c>
      <c r="T57" s="2"/>
      <c r="U57" s="2"/>
      <c r="V57" s="57"/>
      <c r="W57" s="2"/>
      <c r="X57" s="32"/>
      <c r="Y57" s="32"/>
      <c r="Z57" s="57"/>
      <c r="AA57" s="32"/>
      <c r="AB57" s="30">
        <f t="shared" si="37"/>
        <v>-20</v>
      </c>
      <c r="AC57" s="35">
        <f t="shared" si="38"/>
        <v>239.56912028725316</v>
      </c>
      <c r="AD57" s="34">
        <v>30105.167619735039</v>
      </c>
      <c r="AE57" s="38">
        <f t="shared" si="39"/>
        <v>-1.5129473916425777</v>
      </c>
      <c r="AF57" s="2"/>
      <c r="AG57" s="30">
        <f>AG58-20</f>
        <v>-40</v>
      </c>
      <c r="AH57" s="35">
        <f t="shared" si="42"/>
        <v>90</v>
      </c>
      <c r="AI57" s="34">
        <v>30567.639930754078</v>
      </c>
      <c r="AJ57" s="38">
        <f t="shared" si="43"/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121</v>
      </c>
      <c r="P58" s="24">
        <f>SUM(U49:V49)</f>
        <v>0</v>
      </c>
      <c r="Q58" s="2" t="s">
        <v>3</v>
      </c>
      <c r="R58" s="50">
        <f t="shared" si="41"/>
        <v>0</v>
      </c>
      <c r="S58" s="2" t="s">
        <v>4</v>
      </c>
      <c r="T58" s="2"/>
      <c r="U58" s="2"/>
      <c r="V58" s="57"/>
      <c r="W58" s="2"/>
      <c r="X58" s="32"/>
      <c r="Y58" s="32"/>
      <c r="Z58" s="57"/>
      <c r="AA58" s="32"/>
      <c r="AB58" s="30">
        <f t="shared" si="37"/>
        <v>-10</v>
      </c>
      <c r="AC58" s="35">
        <f t="shared" si="38"/>
        <v>269.51526032315979</v>
      </c>
      <c r="AD58" s="34">
        <v>30336.403775244558</v>
      </c>
      <c r="AE58" s="38">
        <f t="shared" si="39"/>
        <v>-0.75647369582128887</v>
      </c>
      <c r="AF58" s="2"/>
      <c r="AG58" s="30">
        <f>AG59-20</f>
        <v>-20</v>
      </c>
      <c r="AH58" s="35">
        <f t="shared" si="42"/>
        <v>120</v>
      </c>
      <c r="AI58" s="34">
        <v>30567.639930754078</v>
      </c>
      <c r="AJ58" s="38">
        <f t="shared" si="43"/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122</v>
      </c>
      <c r="P59" s="24">
        <f>W49</f>
        <v>-5163.7274692533001</v>
      </c>
      <c r="Q59" s="2" t="s">
        <v>3</v>
      </c>
      <c r="R59" s="50">
        <f t="shared" si="41"/>
        <v>-4.30310622437775E-2</v>
      </c>
      <c r="S59" s="2" t="s">
        <v>4</v>
      </c>
      <c r="T59" s="2"/>
      <c r="U59" s="2"/>
      <c r="V59" s="57"/>
      <c r="W59" s="2"/>
      <c r="X59" s="32"/>
      <c r="Y59" s="32"/>
      <c r="Z59" s="57"/>
      <c r="AA59" s="32"/>
      <c r="AB59" s="43">
        <v>0</v>
      </c>
      <c r="AC59" s="47">
        <f t="shared" si="38"/>
        <v>299.46140035906643</v>
      </c>
      <c r="AD59" s="45">
        <v>30567.639930754078</v>
      </c>
      <c r="AE59" s="46">
        <f t="shared" si="39"/>
        <v>0</v>
      </c>
      <c r="AF59" s="2"/>
      <c r="AG59" s="43">
        <v>0</v>
      </c>
      <c r="AH59" s="72">
        <f t="shared" si="42"/>
        <v>150</v>
      </c>
      <c r="AI59" s="45">
        <v>30567.639930754078</v>
      </c>
      <c r="AJ59" s="73">
        <f t="shared" si="43"/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30567.639930754074</v>
      </c>
      <c r="Q60" s="1" t="s">
        <v>3</v>
      </c>
      <c r="R60" s="51">
        <f>SUM(R55:R59)</f>
        <v>0.25473033275628398</v>
      </c>
      <c r="S60" s="1" t="s">
        <v>4</v>
      </c>
      <c r="T60" s="1"/>
      <c r="U60" s="2"/>
      <c r="V60" s="57"/>
      <c r="W60" s="2"/>
      <c r="X60" s="32"/>
      <c r="Y60" s="32"/>
      <c r="Z60" s="57"/>
      <c r="AA60" s="32"/>
      <c r="AB60" s="30">
        <f t="shared" ref="AB60:AB64" si="44">AB59+10</f>
        <v>10</v>
      </c>
      <c r="AC60" s="35">
        <f t="shared" si="38"/>
        <v>329.40754039497313</v>
      </c>
      <c r="AD60" s="34">
        <v>30798.876086263597</v>
      </c>
      <c r="AE60" s="38">
        <f t="shared" si="39"/>
        <v>0.75647369582128887</v>
      </c>
      <c r="AF60" s="2"/>
      <c r="AG60" s="30">
        <f>AG59+20</f>
        <v>20</v>
      </c>
      <c r="AH60" s="35">
        <f t="shared" si="42"/>
        <v>180</v>
      </c>
      <c r="AI60" s="34">
        <v>30567.639930754078</v>
      </c>
      <c r="AJ60" s="38">
        <f t="shared" si="43"/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7"/>
      <c r="W61" s="2"/>
      <c r="X61" s="32"/>
      <c r="Y61" s="32"/>
      <c r="Z61" s="57"/>
      <c r="AA61" s="32"/>
      <c r="AB61" s="30">
        <f t="shared" si="44"/>
        <v>20</v>
      </c>
      <c r="AC61" s="35">
        <f t="shared" si="38"/>
        <v>359.35368043087971</v>
      </c>
      <c r="AD61" s="34">
        <v>31030.112241773109</v>
      </c>
      <c r="AE61" s="38">
        <f t="shared" si="39"/>
        <v>1.512947391642554</v>
      </c>
      <c r="AF61" s="2"/>
      <c r="AG61" s="30">
        <f t="shared" ref="AG61:AG64" si="45">AG60+20</f>
        <v>40</v>
      </c>
      <c r="AH61" s="35">
        <f t="shared" si="42"/>
        <v>210</v>
      </c>
      <c r="AI61" s="34">
        <v>30567.639930754078</v>
      </c>
      <c r="AJ61" s="38">
        <f t="shared" si="43"/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7"/>
      <c r="W62" s="2"/>
      <c r="X62" s="32"/>
      <c r="Y62" s="32"/>
      <c r="Z62" s="57"/>
      <c r="AA62" s="32"/>
      <c r="AB62" s="30">
        <f t="shared" si="44"/>
        <v>30</v>
      </c>
      <c r="AC62" s="35">
        <f t="shared" si="38"/>
        <v>389.2998204667864</v>
      </c>
      <c r="AD62" s="34">
        <v>31261.348397282633</v>
      </c>
      <c r="AE62" s="38">
        <f t="shared" si="39"/>
        <v>2.2694210874638547</v>
      </c>
      <c r="AF62" s="2"/>
      <c r="AG62" s="30">
        <f t="shared" si="45"/>
        <v>60</v>
      </c>
      <c r="AH62" s="35">
        <f t="shared" si="42"/>
        <v>240</v>
      </c>
      <c r="AI62" s="34">
        <v>30567.639930754078</v>
      </c>
      <c r="AJ62" s="38">
        <f t="shared" si="43"/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7"/>
      <c r="W63" s="2"/>
      <c r="X63" s="32"/>
      <c r="Y63" s="32"/>
      <c r="Z63" s="57"/>
      <c r="AA63" s="32"/>
      <c r="AB63" s="30">
        <f t="shared" si="44"/>
        <v>40</v>
      </c>
      <c r="AC63" s="35">
        <f t="shared" si="38"/>
        <v>419.24596050269298</v>
      </c>
      <c r="AD63" s="34">
        <v>31492.584552792159</v>
      </c>
      <c r="AE63" s="38">
        <f t="shared" si="39"/>
        <v>3.0258947832851675</v>
      </c>
      <c r="AF63" s="2"/>
      <c r="AG63" s="30">
        <f t="shared" si="45"/>
        <v>80</v>
      </c>
      <c r="AH63" s="35">
        <f t="shared" si="42"/>
        <v>270</v>
      </c>
      <c r="AI63" s="34">
        <v>30567.639930754078</v>
      </c>
      <c r="AJ63" s="38">
        <f t="shared" si="43"/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7"/>
      <c r="W64" s="2"/>
      <c r="X64" s="32"/>
      <c r="Y64" s="32"/>
      <c r="Z64" s="57"/>
      <c r="AA64" s="32"/>
      <c r="AB64" s="30">
        <f t="shared" si="44"/>
        <v>50</v>
      </c>
      <c r="AC64" s="35">
        <f t="shared" si="38"/>
        <v>449.19210053859968</v>
      </c>
      <c r="AD64" s="34">
        <v>31723.820708301671</v>
      </c>
      <c r="AE64" s="38">
        <f t="shared" si="39"/>
        <v>3.7823684791064327</v>
      </c>
      <c r="AF64" s="2"/>
      <c r="AG64" s="30">
        <f t="shared" si="45"/>
        <v>100</v>
      </c>
      <c r="AH64" s="35">
        <f t="shared" si="42"/>
        <v>300</v>
      </c>
      <c r="AI64" s="34">
        <v>30567.639930754078</v>
      </c>
      <c r="AJ64" s="38">
        <f t="shared" si="43"/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7"/>
      <c r="W65" s="2"/>
      <c r="X65" s="32"/>
      <c r="Y65" s="32"/>
      <c r="Z65" s="57"/>
      <c r="AA65" s="32"/>
      <c r="AB65" s="2"/>
      <c r="AC65" s="2"/>
      <c r="AD65" s="2"/>
      <c r="AE65" s="2"/>
      <c r="AF65" s="2"/>
      <c r="AG65" s="2"/>
      <c r="AH65" s="20"/>
      <c r="AI65" s="6"/>
      <c r="AJ65" s="5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7"/>
      <c r="W66" s="2"/>
      <c r="X66" s="32"/>
      <c r="Y66" s="32"/>
      <c r="Z66" s="57"/>
      <c r="AA66" s="32"/>
      <c r="AB66" s="29" t="s">
        <v>198</v>
      </c>
      <c r="AC66" s="30"/>
      <c r="AD66" s="30"/>
      <c r="AE66" s="30"/>
      <c r="AF66" s="2"/>
      <c r="AG66" s="2"/>
      <c r="AH66" s="20"/>
      <c r="AI66" s="6"/>
      <c r="AJ66" s="5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7"/>
      <c r="W67" s="2"/>
      <c r="X67" s="32"/>
      <c r="Y67" s="32"/>
      <c r="Z67" s="57"/>
      <c r="AA67" s="32"/>
      <c r="AB67" s="30" t="s">
        <v>78</v>
      </c>
      <c r="AC67" s="30" t="s">
        <v>198</v>
      </c>
      <c r="AD67" s="30" t="s">
        <v>23</v>
      </c>
      <c r="AE67" s="30" t="s">
        <v>80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7"/>
      <c r="W68" s="2"/>
      <c r="X68" s="32"/>
      <c r="Y68" s="32"/>
      <c r="Z68" s="57"/>
      <c r="AA68" s="32"/>
      <c r="AB68" s="30" t="s">
        <v>84</v>
      </c>
      <c r="AC68" s="33">
        <v>0.14199999999999999</v>
      </c>
      <c r="AD68" s="34">
        <f>X49</f>
        <v>30567.639930754078</v>
      </c>
      <c r="AE68" s="30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59"/>
      <c r="Y69" s="59"/>
      <c r="Z69" s="2"/>
      <c r="AA69" s="59"/>
      <c r="AB69" s="30">
        <v>-50</v>
      </c>
      <c r="AC69" s="33">
        <f>$AC$68*(1+(-AB69/100))</f>
        <v>0.21299999999999997</v>
      </c>
      <c r="AD69" s="34">
        <f t="dataTable" ref="AD69:AD79" dt2D="0" dtr="0" r1="J18"/>
        <v>32362.150500394928</v>
      </c>
      <c r="AE69" s="38">
        <f>100*((AD69-$AD$74)/$AD$74)</f>
        <v>5.8706219181658001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0">
        <f t="shared" ref="AB70:AB73" si="46">AB71-10</f>
        <v>-40</v>
      </c>
      <c r="AC70" s="33">
        <f t="shared" ref="AC70:AC79" si="47">$AC$68*(1+(-AB70/100))</f>
        <v>0.19879999999999998</v>
      </c>
      <c r="AD70" s="34">
        <v>32003.248386466759</v>
      </c>
      <c r="AE70" s="38">
        <f t="shared" ref="AE70:AE79" si="48">100*((AD70-$AD$74)/$AD$74)</f>
        <v>4.6964975345326447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0">
        <f t="shared" si="46"/>
        <v>-30</v>
      </c>
      <c r="AC71" s="33">
        <f t="shared" si="47"/>
        <v>0.18459999999999999</v>
      </c>
      <c r="AD71" s="34">
        <v>31644.346272538591</v>
      </c>
      <c r="AE71" s="38">
        <f t="shared" si="48"/>
        <v>3.5223731508994898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0">
        <f t="shared" si="46"/>
        <v>-20</v>
      </c>
      <c r="AC72" s="33">
        <f t="shared" si="47"/>
        <v>0.17039999999999997</v>
      </c>
      <c r="AD72" s="34">
        <v>31285.444158610429</v>
      </c>
      <c r="AE72" s="38">
        <f t="shared" si="48"/>
        <v>2.3482487672663579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0">
        <f t="shared" si="46"/>
        <v>-10</v>
      </c>
      <c r="AC73" s="33">
        <f t="shared" si="47"/>
        <v>0.15620000000000001</v>
      </c>
      <c r="AD73" s="34">
        <v>30926.542044682246</v>
      </c>
      <c r="AE73" s="38">
        <f t="shared" si="48"/>
        <v>1.1741243836331552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43">
        <v>0</v>
      </c>
      <c r="AC74" s="90">
        <f t="shared" si="47"/>
        <v>0.14199999999999999</v>
      </c>
      <c r="AD74" s="45">
        <v>30567.639930754078</v>
      </c>
      <c r="AE74" s="73">
        <f t="shared" si="48"/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0">
        <f t="shared" ref="AB75:AB79" si="49">AB74+10</f>
        <v>10</v>
      </c>
      <c r="AC75" s="33">
        <f t="shared" si="47"/>
        <v>0.1278</v>
      </c>
      <c r="AD75" s="34">
        <v>30208.737816825917</v>
      </c>
      <c r="AE75" s="38">
        <f t="shared" si="48"/>
        <v>-1.1741243836331314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0">
        <f t="shared" si="49"/>
        <v>20</v>
      </c>
      <c r="AC76" s="33">
        <f t="shared" si="47"/>
        <v>0.11359999999999999</v>
      </c>
      <c r="AD76" s="34">
        <v>29849.835702897741</v>
      </c>
      <c r="AE76" s="38">
        <f t="shared" si="48"/>
        <v>-2.3482487672663104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0">
        <f t="shared" si="49"/>
        <v>30</v>
      </c>
      <c r="AC77" s="33">
        <f t="shared" si="47"/>
        <v>9.9399999999999988E-2</v>
      </c>
      <c r="AD77" s="34">
        <v>29490.933588969558</v>
      </c>
      <c r="AE77" s="38">
        <f t="shared" si="48"/>
        <v>-3.5223731508995133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0">
        <f t="shared" si="49"/>
        <v>40</v>
      </c>
      <c r="AC78" s="33">
        <f t="shared" si="47"/>
        <v>8.5199999999999984E-2</v>
      </c>
      <c r="AD78" s="34">
        <v>29132.031475041396</v>
      </c>
      <c r="AE78" s="38">
        <f t="shared" si="48"/>
        <v>-4.6964975345326447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0">
        <f t="shared" si="49"/>
        <v>50</v>
      </c>
      <c r="AC79" s="33">
        <f t="shared" si="47"/>
        <v>7.0999999999999994E-2</v>
      </c>
      <c r="AD79" s="34">
        <v>28773.129361113235</v>
      </c>
      <c r="AE79" s="38">
        <f t="shared" si="48"/>
        <v>-5.8706219181657762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" right="0.7" top="0.75" bottom="0.75" header="0" footer="0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F257D4-D583-49C9-90D9-9936D6EEAB42}">
          <x14:formula1>
            <xm:f>Description!$A$18:$A$19</xm:f>
          </x14:formula1>
          <xm:sqref>J24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O1000"/>
  <sheetViews>
    <sheetView topLeftCell="H1" zoomScale="91" zoomScaleNormal="150" workbookViewId="0">
      <selection activeCell="J10" sqref="J10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2</v>
      </c>
      <c r="B2" s="3">
        <f>U49</f>
        <v>15864.207120864456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4">
        <f>B2/F41</f>
        <v>0.13220172600720378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7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123</v>
      </c>
      <c r="R7" s="11" t="s">
        <v>124</v>
      </c>
      <c r="S7" s="11" t="s">
        <v>19</v>
      </c>
      <c r="T7" s="11" t="s">
        <v>22</v>
      </c>
      <c r="U7" s="12" t="s">
        <v>23</v>
      </c>
      <c r="V7" s="1"/>
      <c r="W7" s="2" t="s">
        <v>24</v>
      </c>
      <c r="X7" s="2"/>
      <c r="Y7" s="2"/>
      <c r="Z7" s="2" t="s">
        <v>25</v>
      </c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3" t="s">
        <v>26</v>
      </c>
      <c r="B8" s="14">
        <v>55.7</v>
      </c>
      <c r="C8" s="2" t="s">
        <v>27</v>
      </c>
      <c r="D8" s="2"/>
      <c r="E8" s="2"/>
      <c r="F8" s="2"/>
      <c r="G8" s="2"/>
      <c r="H8" s="15"/>
      <c r="I8" s="16" t="s">
        <v>199</v>
      </c>
      <c r="J8" s="6">
        <v>258735.48387096776</v>
      </c>
      <c r="K8" s="2" t="s">
        <v>29</v>
      </c>
      <c r="L8" s="15"/>
      <c r="M8" s="2"/>
      <c r="N8" s="11">
        <v>0</v>
      </c>
      <c r="O8" s="17">
        <f>F31</f>
        <v>2293.740406555858</v>
      </c>
      <c r="P8" s="11"/>
      <c r="Q8" s="11"/>
      <c r="R8" s="11"/>
      <c r="S8" s="11"/>
      <c r="T8" s="11"/>
      <c r="U8" s="18">
        <f t="shared" ref="U8:U48" si="0">SUM(O8:T8)</f>
        <v>2293.740406555858</v>
      </c>
      <c r="V8" s="3"/>
      <c r="W8" s="6"/>
      <c r="X8" s="2"/>
      <c r="Y8" s="2"/>
      <c r="Z8" s="2" t="s">
        <v>180</v>
      </c>
      <c r="AA8" s="19">
        <f>F36</f>
        <v>0.84430755698849536</v>
      </c>
      <c r="AB8" s="2" t="s">
        <v>126</v>
      </c>
      <c r="AC8" s="2">
        <v>0.43870967741935485</v>
      </c>
      <c r="AD8" s="2"/>
      <c r="AE8" s="2"/>
      <c r="AF8" s="2"/>
      <c r="AG8" s="2"/>
      <c r="AH8" s="2"/>
    </row>
    <row r="9" spans="1:34" x14ac:dyDescent="0.25">
      <c r="A9" s="13"/>
      <c r="B9" s="2"/>
      <c r="C9" s="2"/>
      <c r="D9" s="2"/>
      <c r="E9" s="2"/>
      <c r="F9" s="20"/>
      <c r="G9" s="2"/>
      <c r="H9" s="15"/>
      <c r="I9" s="16" t="s">
        <v>32</v>
      </c>
      <c r="J9" s="2">
        <v>1970</v>
      </c>
      <c r="K9" s="2" t="s">
        <v>33</v>
      </c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1381.3414448369722</v>
      </c>
      <c r="Q9" s="22">
        <f t="shared" ref="Q9:Q48" si="2">IF(N9&gt;0,($F$38*((1+($F$14/100))^(N9-1)))/((1+($F$11/100))^N9),0)</f>
        <v>699.56911864761025</v>
      </c>
      <c r="R9" s="22">
        <f t="shared" ref="R9:R48" si="3">IF(N9&gt;0,$J$31/((1+($F$11/100))^N9),0)</f>
        <v>362.68171325981029</v>
      </c>
      <c r="S9" s="22">
        <f t="shared" ref="S9:S48" si="4">IF(N9&gt;0,($J$43)/((1+($F$11/100))^N9),0)</f>
        <v>10.105155167991791</v>
      </c>
      <c r="T9" s="21">
        <f t="shared" ref="T9:T48" si="5">IF(N9=$B$5,((((1-$J$12/100)^N9)*$B$44)/((1+($F$11/100))^N9))*-1,0)</f>
        <v>0</v>
      </c>
      <c r="U9" s="18">
        <f t="shared" si="0"/>
        <v>2453.6974319123842</v>
      </c>
      <c r="V9" s="3"/>
      <c r="W9" s="6">
        <f t="shared" ref="W9:W48" si="6">IF(N9&gt;0,((((1-$J$12/100)^N9)*$B$44/((1+($F$11/100))^N9))),0)</f>
        <v>4932.8958525345624</v>
      </c>
      <c r="X9" s="2"/>
      <c r="Y9" s="2"/>
      <c r="Z9" s="2" t="s">
        <v>174</v>
      </c>
      <c r="AA9" s="24">
        <f>B47</f>
        <v>7645.8013551861932</v>
      </c>
      <c r="AB9" s="2" t="s">
        <v>3</v>
      </c>
      <c r="AC9" s="2">
        <v>101935.48387096774</v>
      </c>
      <c r="AD9" s="6"/>
      <c r="AE9" s="2"/>
      <c r="AF9" s="2"/>
      <c r="AG9" s="2"/>
      <c r="AH9" s="2"/>
    </row>
    <row r="10" spans="1:34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127</v>
      </c>
      <c r="J10" s="27">
        <v>7.2499999999999995E-2</v>
      </c>
      <c r="K10" s="2" t="s">
        <v>128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1315.5632807971162</v>
      </c>
      <c r="Q10" s="22">
        <f t="shared" si="2"/>
        <v>672.91886650865376</v>
      </c>
      <c r="R10" s="22">
        <f t="shared" si="3"/>
        <v>345.41115548553358</v>
      </c>
      <c r="S10" s="22">
        <f t="shared" si="4"/>
        <v>9.623957302849325</v>
      </c>
      <c r="T10" s="21">
        <f t="shared" si="5"/>
        <v>0</v>
      </c>
      <c r="U10" s="18">
        <f t="shared" si="0"/>
        <v>2343.5172600941528</v>
      </c>
      <c r="V10" s="3"/>
      <c r="W10" s="6">
        <f t="shared" si="6"/>
        <v>4365.3779296905859</v>
      </c>
      <c r="X10" s="2"/>
      <c r="Y10" s="2"/>
      <c r="Z10" s="2" t="s">
        <v>42</v>
      </c>
      <c r="AA10" s="6">
        <f>F12</f>
        <v>12000</v>
      </c>
      <c r="AB10" s="2" t="s">
        <v>43</v>
      </c>
      <c r="AC10" s="2">
        <v>70353</v>
      </c>
      <c r="AD10" s="6"/>
      <c r="AE10" s="2"/>
      <c r="AF10" s="2"/>
      <c r="AG10" s="2"/>
      <c r="AH10" s="2"/>
    </row>
    <row r="11" spans="1:34" x14ac:dyDescent="0.25">
      <c r="A11" s="25" t="s">
        <v>172</v>
      </c>
      <c r="B11" s="2">
        <v>0</v>
      </c>
      <c r="C11" s="2" t="s">
        <v>38</v>
      </c>
      <c r="D11" s="2"/>
      <c r="E11" s="16" t="s">
        <v>39</v>
      </c>
      <c r="F11" s="2">
        <v>5</v>
      </c>
      <c r="G11" s="2" t="s">
        <v>38</v>
      </c>
      <c r="H11" s="15"/>
      <c r="I11" s="16" t="s">
        <v>57</v>
      </c>
      <c r="J11" s="2">
        <v>30</v>
      </c>
      <c r="K11" s="2" t="s">
        <v>58</v>
      </c>
      <c r="L11" s="15"/>
      <c r="M11" s="2"/>
      <c r="N11" s="11">
        <f t="shared" si="7"/>
        <v>3</v>
      </c>
      <c r="O11" s="11"/>
      <c r="P11" s="21">
        <f t="shared" si="1"/>
        <v>1252.9174102829677</v>
      </c>
      <c r="Q11" s="22">
        <f t="shared" si="2"/>
        <v>647.28386207022879</v>
      </c>
      <c r="R11" s="22">
        <f t="shared" si="3"/>
        <v>328.96300522431767</v>
      </c>
      <c r="S11" s="22">
        <f t="shared" si="4"/>
        <v>9.1656736217612611</v>
      </c>
      <c r="T11" s="21">
        <f t="shared" si="5"/>
        <v>0</v>
      </c>
      <c r="U11" s="18">
        <f t="shared" si="0"/>
        <v>2238.3299511992759</v>
      </c>
      <c r="V11" s="3"/>
      <c r="W11" s="6">
        <f t="shared" si="6"/>
        <v>3863.1515926366596</v>
      </c>
      <c r="X11" s="2"/>
      <c r="Y11" s="2"/>
      <c r="Z11" s="16" t="s">
        <v>48</v>
      </c>
      <c r="AA11" s="6">
        <f>J36</f>
        <v>379.2000000000001</v>
      </c>
      <c r="AB11" s="2" t="s">
        <v>49</v>
      </c>
      <c r="AC11" s="2">
        <v>19063.393548387096</v>
      </c>
      <c r="AD11" s="6"/>
      <c r="AE11" s="2"/>
      <c r="AF11" s="2"/>
      <c r="AG11" s="2"/>
      <c r="AH11" s="2"/>
    </row>
    <row r="12" spans="1:34" x14ac:dyDescent="0.25">
      <c r="A12" s="25" t="s">
        <v>44</v>
      </c>
      <c r="B12" s="2">
        <v>0</v>
      </c>
      <c r="C12" s="2" t="s">
        <v>38</v>
      </c>
      <c r="D12" s="2"/>
      <c r="E12" s="16" t="s">
        <v>45</v>
      </c>
      <c r="F12" s="6">
        <v>12000</v>
      </c>
      <c r="G12" s="2" t="s">
        <v>43</v>
      </c>
      <c r="H12" s="15"/>
      <c r="I12" s="16" t="s">
        <v>65</v>
      </c>
      <c r="J12" s="2">
        <v>7.08</v>
      </c>
      <c r="K12" s="2" t="s">
        <v>66</v>
      </c>
      <c r="L12" s="15"/>
      <c r="M12" s="2"/>
      <c r="N12" s="11">
        <f t="shared" si="7"/>
        <v>4</v>
      </c>
      <c r="O12" s="11"/>
      <c r="P12" s="21">
        <f t="shared" si="1"/>
        <v>1193.2546764599695</v>
      </c>
      <c r="Q12" s="22">
        <f t="shared" si="2"/>
        <v>622.62542922945818</v>
      </c>
      <c r="R12" s="22">
        <f t="shared" si="3"/>
        <v>313.29810021363591</v>
      </c>
      <c r="S12" s="22">
        <f t="shared" si="4"/>
        <v>8.7292129731059642</v>
      </c>
      <c r="T12" s="21">
        <f t="shared" si="5"/>
        <v>0</v>
      </c>
      <c r="U12" s="18">
        <f t="shared" si="0"/>
        <v>2137.9074188761692</v>
      </c>
      <c r="V12" s="3"/>
      <c r="W12" s="6">
        <f t="shared" si="6"/>
        <v>3418.7051998837946</v>
      </c>
      <c r="X12" s="2"/>
      <c r="Y12" s="2"/>
      <c r="Z12" s="92" t="s">
        <v>198</v>
      </c>
      <c r="AA12" s="93">
        <f>J10</f>
        <v>7.2499999999999995E-2</v>
      </c>
      <c r="AB12" s="92" t="s">
        <v>128</v>
      </c>
      <c r="AC12" s="2"/>
      <c r="AD12" s="6"/>
      <c r="AE12" s="2"/>
      <c r="AF12" s="2"/>
      <c r="AG12" s="2"/>
      <c r="AH12" s="2"/>
    </row>
    <row r="13" spans="1:34" x14ac:dyDescent="0.25">
      <c r="A13" s="25" t="s">
        <v>50</v>
      </c>
      <c r="B13" s="2">
        <v>12</v>
      </c>
      <c r="C13" s="2" t="s">
        <v>38</v>
      </c>
      <c r="D13" s="2"/>
      <c r="E13" s="16" t="s">
        <v>125</v>
      </c>
      <c r="F13" s="27">
        <f>178.02/3.78541</f>
        <v>47.027930924259195</v>
      </c>
      <c r="G13" s="2" t="s">
        <v>129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1136.4330251999709</v>
      </c>
      <c r="Q13" s="22">
        <f t="shared" si="2"/>
        <v>598.90636525881223</v>
      </c>
      <c r="R13" s="22">
        <f t="shared" si="3"/>
        <v>298.3791430606056</v>
      </c>
      <c r="S13" s="22">
        <f t="shared" si="4"/>
        <v>8.313536164862823</v>
      </c>
      <c r="T13" s="21">
        <f t="shared" si="5"/>
        <v>0</v>
      </c>
      <c r="U13" s="18">
        <f t="shared" si="0"/>
        <v>2042.0320696842516</v>
      </c>
      <c r="V13" s="3"/>
      <c r="W13" s="6">
        <f t="shared" si="6"/>
        <v>3025.391306411449</v>
      </c>
      <c r="X13" s="2"/>
      <c r="Y13" s="2"/>
      <c r="Z13" s="2"/>
      <c r="AA13" s="2"/>
      <c r="AB13" s="2"/>
      <c r="AC13" s="2"/>
      <c r="AD13" s="6"/>
      <c r="AE13" s="2"/>
      <c r="AF13" s="2"/>
      <c r="AG13" s="2"/>
      <c r="AH13" s="2"/>
    </row>
    <row r="14" spans="1:34" x14ac:dyDescent="0.25">
      <c r="A14" s="25" t="s">
        <v>54</v>
      </c>
      <c r="B14" s="2">
        <v>25</v>
      </c>
      <c r="C14" s="2" t="s">
        <v>38</v>
      </c>
      <c r="D14" s="2"/>
      <c r="E14" s="16" t="s">
        <v>130</v>
      </c>
      <c r="F14" s="2">
        <v>1</v>
      </c>
      <c r="G14" s="2" t="s">
        <v>56</v>
      </c>
      <c r="H14" s="15"/>
      <c r="I14" s="1" t="s">
        <v>77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576.09088467752406</v>
      </c>
      <c r="R14" s="22">
        <f t="shared" si="3"/>
        <v>284.17061243867204</v>
      </c>
      <c r="S14" s="22">
        <f t="shared" si="4"/>
        <v>7.917653490345546</v>
      </c>
      <c r="T14" s="21">
        <f t="shared" si="5"/>
        <v>0</v>
      </c>
      <c r="U14" s="18">
        <f t="shared" si="0"/>
        <v>868.17915060654161</v>
      </c>
      <c r="V14" s="3"/>
      <c r="W14" s="6">
        <f t="shared" si="6"/>
        <v>2677.327239921447</v>
      </c>
      <c r="X14" s="2"/>
      <c r="Y14" s="2"/>
      <c r="Z14" s="2"/>
      <c r="AA14" s="2"/>
      <c r="AB14" s="2"/>
      <c r="AC14" s="2"/>
      <c r="AD14" s="6"/>
      <c r="AE14" s="2"/>
      <c r="AF14" s="2"/>
      <c r="AG14" s="2"/>
      <c r="AH14" s="2"/>
    </row>
    <row r="15" spans="1:34" x14ac:dyDescent="0.25">
      <c r="A15" s="25" t="s">
        <v>59</v>
      </c>
      <c r="B15" s="2">
        <v>20</v>
      </c>
      <c r="C15" s="2" t="s">
        <v>38</v>
      </c>
      <c r="D15" s="2"/>
      <c r="E15" s="16" t="s">
        <v>64</v>
      </c>
      <c r="F15" s="2">
        <v>0</v>
      </c>
      <c r="G15" s="2" t="s">
        <v>61</v>
      </c>
      <c r="H15" s="15"/>
      <c r="I15" s="16" t="s">
        <v>83</v>
      </c>
      <c r="J15" s="2">
        <v>5</v>
      </c>
      <c r="K15" s="2" t="s">
        <v>58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554.14456526123752</v>
      </c>
      <c r="R15" s="22">
        <f t="shared" si="3"/>
        <v>270.63867851302098</v>
      </c>
      <c r="S15" s="22">
        <f t="shared" si="4"/>
        <v>7.540622371757661</v>
      </c>
      <c r="T15" s="21">
        <f t="shared" si="5"/>
        <v>0</v>
      </c>
      <c r="U15" s="18">
        <f t="shared" si="0"/>
        <v>832.32386614601614</v>
      </c>
      <c r="V15" s="3"/>
      <c r="W15" s="6">
        <f t="shared" si="6"/>
        <v>2369.3071155571502</v>
      </c>
      <c r="X15" s="2"/>
      <c r="Y15" s="2"/>
      <c r="Z15" s="2"/>
      <c r="AA15" s="2"/>
      <c r="AB15" s="2"/>
      <c r="AC15" s="2"/>
      <c r="AD15" s="6"/>
      <c r="AE15" s="2"/>
      <c r="AF15" s="2"/>
      <c r="AG15" s="2"/>
      <c r="AH15" s="2"/>
    </row>
    <row r="16" spans="1:34" x14ac:dyDescent="0.25">
      <c r="A16" s="25" t="s">
        <v>63</v>
      </c>
      <c r="B16" s="2">
        <v>0</v>
      </c>
      <c r="C16" s="2" t="s">
        <v>29</v>
      </c>
      <c r="D16" s="2"/>
      <c r="E16" s="16" t="s">
        <v>67</v>
      </c>
      <c r="F16" s="6">
        <v>90</v>
      </c>
      <c r="G16" s="2" t="s">
        <v>61</v>
      </c>
      <c r="H16" s="15"/>
      <c r="I16" s="16" t="s">
        <v>86</v>
      </c>
      <c r="J16" s="2">
        <v>30</v>
      </c>
      <c r="K16" s="2" t="s">
        <v>87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533.03429610842829</v>
      </c>
      <c r="R16" s="22">
        <f t="shared" si="3"/>
        <v>257.75112239335334</v>
      </c>
      <c r="S16" s="22">
        <f t="shared" si="4"/>
        <v>7.1815451159596781</v>
      </c>
      <c r="T16" s="21">
        <f t="shared" si="5"/>
        <v>0</v>
      </c>
      <c r="U16" s="18">
        <f t="shared" si="0"/>
        <v>797.96696361774127</v>
      </c>
      <c r="V16" s="3"/>
      <c r="W16" s="6">
        <f t="shared" si="6"/>
        <v>2096.7239731197187</v>
      </c>
      <c r="X16" s="2"/>
      <c r="Y16" s="2"/>
      <c r="Z16" s="2"/>
      <c r="AA16" s="2"/>
      <c r="AB16" s="2"/>
      <c r="AC16" s="2"/>
      <c r="AD16" s="6"/>
      <c r="AE16" s="2"/>
      <c r="AF16" s="2"/>
      <c r="AG16" s="2"/>
      <c r="AH16" s="2"/>
    </row>
    <row r="17" spans="1:41" x14ac:dyDescent="0.25">
      <c r="A17" s="25" t="s">
        <v>181</v>
      </c>
      <c r="B17" s="2">
        <v>450</v>
      </c>
      <c r="C17" s="2" t="s">
        <v>29</v>
      </c>
      <c r="D17" s="2"/>
      <c r="E17" s="16" t="s">
        <v>131</v>
      </c>
      <c r="F17" s="60">
        <v>0.3</v>
      </c>
      <c r="G17" s="2"/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512.7282276852502</v>
      </c>
      <c r="R17" s="22">
        <f t="shared" si="3"/>
        <v>245.47725942224125</v>
      </c>
      <c r="S17" s="22">
        <f t="shared" si="4"/>
        <v>6.839566777104455</v>
      </c>
      <c r="T17" s="21">
        <f t="shared" si="5"/>
        <v>0</v>
      </c>
      <c r="U17" s="18">
        <f t="shared" si="0"/>
        <v>765.04505388459586</v>
      </c>
      <c r="V17" s="3"/>
      <c r="W17" s="6">
        <f t="shared" si="6"/>
        <v>1855.5008722122307</v>
      </c>
      <c r="X17" s="2"/>
      <c r="Y17" s="2"/>
      <c r="Z17" s="2"/>
      <c r="AA17" s="2"/>
      <c r="AB17" s="2"/>
      <c r="AC17" s="2"/>
      <c r="AD17" s="6"/>
      <c r="AE17" s="2"/>
      <c r="AF17" s="2"/>
      <c r="AG17" s="2"/>
      <c r="AH17" s="2"/>
    </row>
    <row r="18" spans="1:41" x14ac:dyDescent="0.25">
      <c r="A18" s="16" t="s">
        <v>183</v>
      </c>
      <c r="B18" s="2">
        <v>10</v>
      </c>
      <c r="C18" s="2" t="s">
        <v>29</v>
      </c>
      <c r="D18" s="2"/>
      <c r="E18" s="16" t="s">
        <v>73</v>
      </c>
      <c r="F18" s="6">
        <v>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493.19572377343115</v>
      </c>
      <c r="R18" s="22">
        <f t="shared" si="3"/>
        <v>233.78786611642022</v>
      </c>
      <c r="S18" s="22">
        <f t="shared" si="4"/>
        <v>6.5138731210518621</v>
      </c>
      <c r="T18" s="21">
        <f t="shared" si="5"/>
        <v>-1642.0299147234334</v>
      </c>
      <c r="U18" s="18">
        <f t="shared" si="0"/>
        <v>-908.53245171253013</v>
      </c>
      <c r="V18" s="3"/>
      <c r="W18" s="6">
        <f t="shared" si="6"/>
        <v>1642.0299147234334</v>
      </c>
      <c r="X18" s="2"/>
      <c r="Y18" s="2"/>
      <c r="Z18" s="2"/>
      <c r="AA18" s="2"/>
      <c r="AB18" s="2"/>
      <c r="AC18" s="2"/>
      <c r="AD18" s="6"/>
      <c r="AE18" s="2"/>
      <c r="AF18" s="2"/>
      <c r="AG18" s="2"/>
      <c r="AH18" s="2"/>
    </row>
    <row r="19" spans="1:41" x14ac:dyDescent="0.25">
      <c r="A19" s="2" t="s">
        <v>132</v>
      </c>
      <c r="B19" s="2">
        <v>50</v>
      </c>
      <c r="C19" s="2" t="s">
        <v>29</v>
      </c>
      <c r="D19" s="2"/>
      <c r="E19" s="16" t="s">
        <v>48</v>
      </c>
      <c r="F19" s="27">
        <v>1.7601200000000004</v>
      </c>
      <c r="G19" s="2" t="s">
        <v>76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1">
        <f t="shared" si="5"/>
        <v>0</v>
      </c>
      <c r="U19" s="18">
        <f t="shared" si="0"/>
        <v>0</v>
      </c>
      <c r="V19" s="3"/>
      <c r="W19" s="6">
        <f t="shared" si="6"/>
        <v>0</v>
      </c>
      <c r="X19" s="2"/>
      <c r="Y19" s="2"/>
      <c r="Z19" s="2"/>
      <c r="AA19" s="2"/>
      <c r="AB19" s="2"/>
      <c r="AC19" s="2"/>
      <c r="AD19" s="6"/>
      <c r="AE19" s="2"/>
      <c r="AF19" s="2"/>
      <c r="AG19" s="2"/>
      <c r="AH19" s="2"/>
    </row>
    <row r="20" spans="1:41" x14ac:dyDescent="0.25">
      <c r="A20" s="2"/>
      <c r="B20" s="2"/>
      <c r="C20" s="2"/>
      <c r="D20" s="2"/>
      <c r="E20" s="16" t="s">
        <v>82</v>
      </c>
      <c r="F20" s="2">
        <v>7.1</v>
      </c>
      <c r="G20" s="2" t="s">
        <v>66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1">
        <f t="shared" si="5"/>
        <v>0</v>
      </c>
      <c r="U20" s="18">
        <f t="shared" si="0"/>
        <v>0</v>
      </c>
      <c r="V20" s="3"/>
      <c r="W20" s="6">
        <f t="shared" si="6"/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41" ht="15.75" customHeight="1" x14ac:dyDescent="0.25">
      <c r="A21" s="2"/>
      <c r="B21" s="2"/>
      <c r="C21" s="2"/>
      <c r="D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1">
        <f t="shared" si="5"/>
        <v>0</v>
      </c>
      <c r="U21" s="18">
        <f t="shared" si="0"/>
        <v>0</v>
      </c>
      <c r="V21" s="3"/>
      <c r="W21" s="6">
        <f t="shared" si="6"/>
        <v>0</v>
      </c>
      <c r="X21" s="2"/>
      <c r="Y21" s="2"/>
      <c r="Z21" s="29" t="s">
        <v>125</v>
      </c>
      <c r="AA21" s="30"/>
      <c r="AB21" s="30"/>
      <c r="AC21" s="30"/>
      <c r="AD21" s="2"/>
      <c r="AE21" s="29" t="s">
        <v>28</v>
      </c>
      <c r="AF21" s="30"/>
      <c r="AG21" s="30"/>
      <c r="AH21" s="30"/>
      <c r="AJ21" s="86" t="s">
        <v>187</v>
      </c>
      <c r="AK21" s="86" t="s">
        <v>188</v>
      </c>
      <c r="AL21" s="86" t="s">
        <v>196</v>
      </c>
      <c r="AM21" s="86" t="s">
        <v>191</v>
      </c>
      <c r="AN21" s="86" t="s">
        <v>190</v>
      </c>
      <c r="AO21" s="91" t="str">
        <f>Z51</f>
        <v>Energy Efficiency</v>
      </c>
    </row>
    <row r="22" spans="1:41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1">
        <f t="shared" si="5"/>
        <v>0</v>
      </c>
      <c r="U22" s="18">
        <f t="shared" si="0"/>
        <v>0</v>
      </c>
      <c r="V22" s="3"/>
      <c r="W22" s="6">
        <f t="shared" si="6"/>
        <v>0</v>
      </c>
      <c r="X22" s="2"/>
      <c r="Y22" s="2"/>
      <c r="Z22" s="30" t="s">
        <v>78</v>
      </c>
      <c r="AA22" s="30" t="s">
        <v>133</v>
      </c>
      <c r="AB22" s="30" t="s">
        <v>23</v>
      </c>
      <c r="AC22" s="30" t="s">
        <v>80</v>
      </c>
      <c r="AD22" s="2"/>
      <c r="AE22" s="30" t="s">
        <v>78</v>
      </c>
      <c r="AF22" s="30" t="s">
        <v>81</v>
      </c>
      <c r="AG22" s="30" t="s">
        <v>23</v>
      </c>
      <c r="AH22" s="30" t="s">
        <v>80</v>
      </c>
      <c r="AJ22" s="87">
        <v>-50</v>
      </c>
      <c r="AK22" s="88">
        <f>AH24</f>
        <v>-27.020733462491787</v>
      </c>
      <c r="AL22" s="88">
        <f>AC24</f>
        <v>-18.628404477420116</v>
      </c>
      <c r="AM22" s="89">
        <f t="shared" ref="AM22:AM32" si="8">AC39</f>
        <v>-9.2285793511101275</v>
      </c>
      <c r="AN22" s="89">
        <f t="shared" ref="AN22:AN32" si="9">AH39</f>
        <v>-27.856983828530268</v>
      </c>
      <c r="AO22" s="58">
        <f>AC54</f>
        <v>18.628404477420137</v>
      </c>
    </row>
    <row r="23" spans="1:41" ht="15.75" customHeight="1" x14ac:dyDescent="0.25">
      <c r="A23" s="2"/>
      <c r="B23" s="2"/>
      <c r="C23" s="2"/>
      <c r="D23" s="2"/>
      <c r="E23" s="2"/>
      <c r="F23" s="2"/>
      <c r="G23" s="2"/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1">
        <f t="shared" si="5"/>
        <v>0</v>
      </c>
      <c r="U23" s="18">
        <f t="shared" si="0"/>
        <v>0</v>
      </c>
      <c r="V23" s="3"/>
      <c r="W23" s="6">
        <f t="shared" si="6"/>
        <v>0</v>
      </c>
      <c r="X23" s="2"/>
      <c r="Y23" s="2"/>
      <c r="Z23" s="30" t="s">
        <v>134</v>
      </c>
      <c r="AA23" s="33">
        <v>0.84430755698849536</v>
      </c>
      <c r="AB23" s="34">
        <f>U49</f>
        <v>15864.207120864456</v>
      </c>
      <c r="AC23" s="30"/>
      <c r="AD23" s="2"/>
      <c r="AE23" s="30" t="s">
        <v>134</v>
      </c>
      <c r="AF23" s="35">
        <v>7645.8013551861932</v>
      </c>
      <c r="AG23" s="34">
        <f>U49</f>
        <v>15864.207120864456</v>
      </c>
      <c r="AH23" s="30"/>
      <c r="AJ23" s="87">
        <v>-40</v>
      </c>
      <c r="AK23" s="88">
        <f>AH25</f>
        <v>-21.616586769993422</v>
      </c>
      <c r="AL23" s="88">
        <f t="shared" ref="AL23:AL32" si="10">AC25</f>
        <v>-14.902723581936112</v>
      </c>
      <c r="AM23" s="89">
        <f t="shared" si="8"/>
        <v>-7.3828634808880924</v>
      </c>
      <c r="AN23" s="89">
        <f t="shared" si="9"/>
        <v>-22.285587062824217</v>
      </c>
      <c r="AO23" s="58">
        <f t="shared" ref="AO23:AO32" si="11">AC55</f>
        <v>14.902723581936133</v>
      </c>
    </row>
    <row r="24" spans="1:41" ht="15.75" customHeight="1" x14ac:dyDescent="0.25">
      <c r="A24" s="13"/>
      <c r="B24" s="2"/>
      <c r="C24" s="2"/>
      <c r="D24" s="2"/>
      <c r="E24" s="2"/>
      <c r="F24" s="2"/>
      <c r="G24" s="2"/>
      <c r="H24" s="15"/>
      <c r="I24" s="2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1">
        <f t="shared" si="5"/>
        <v>0</v>
      </c>
      <c r="U24" s="18">
        <f t="shared" si="0"/>
        <v>0</v>
      </c>
      <c r="V24" s="3"/>
      <c r="W24" s="6">
        <f t="shared" si="6"/>
        <v>0</v>
      </c>
      <c r="X24" s="2"/>
      <c r="Y24" s="2"/>
      <c r="Z24" s="30">
        <f t="shared" ref="Z24:Z28" si="12">Z25-10</f>
        <v>-50</v>
      </c>
      <c r="AA24" s="33">
        <f t="shared" ref="AA24:AA34" si="13">$AA$23*(1+(Z24/100))</f>
        <v>0.42215377849424768</v>
      </c>
      <c r="AB24" s="34">
        <f t="dataTable" ref="AB24:AB34" dt2D="0" dtr="0" r1="F36" ca="1"/>
        <v>12908.958451254141</v>
      </c>
      <c r="AC24" s="38">
        <f t="shared" ref="AC24:AC34" si="14">100*((AB24-$AB$29)/$AB$29)</f>
        <v>-18.628404477420116</v>
      </c>
      <c r="AD24" s="2"/>
      <c r="AE24" s="30">
        <f t="shared" ref="AE24:AE28" si="15">AE25-10</f>
        <v>-50</v>
      </c>
      <c r="AF24" s="35">
        <f t="shared" ref="AF24:AF34" si="16">$AF$23*(1+(AE24/100))</f>
        <v>3822.9006775930966</v>
      </c>
      <c r="AG24" s="34">
        <f t="dataTable" ref="AG24:AG34" dt2D="0" dtr="0" r1="B47" ca="1"/>
        <v>11577.581998798029</v>
      </c>
      <c r="AH24" s="38">
        <f t="shared" ref="AH24:AH34" si="17">100*((AG24-$AG$29)/$AG$29)</f>
        <v>-27.020733462491787</v>
      </c>
      <c r="AJ24" s="87">
        <v>-30</v>
      </c>
      <c r="AK24" s="88">
        <f t="shared" ref="AK24:AK32" si="18">AH26</f>
        <v>-16.212440077495067</v>
      </c>
      <c r="AL24" s="88">
        <f t="shared" si="10"/>
        <v>-11.17704268645206</v>
      </c>
      <c r="AM24" s="89">
        <f t="shared" si="8"/>
        <v>-5.5371476106660698</v>
      </c>
      <c r="AN24" s="89">
        <f t="shared" si="9"/>
        <v>-16.714190297118165</v>
      </c>
      <c r="AO24" s="58">
        <f t="shared" si="11"/>
        <v>11.177042686452106</v>
      </c>
    </row>
    <row r="25" spans="1:41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1">
        <f t="shared" si="5"/>
        <v>0</v>
      </c>
      <c r="U25" s="18">
        <f t="shared" si="0"/>
        <v>0</v>
      </c>
      <c r="V25" s="3"/>
      <c r="W25" s="6">
        <f t="shared" si="6"/>
        <v>0</v>
      </c>
      <c r="X25" s="2"/>
      <c r="Y25" s="2"/>
      <c r="Z25" s="30">
        <f t="shared" si="12"/>
        <v>-40</v>
      </c>
      <c r="AA25" s="33">
        <f t="shared" si="13"/>
        <v>0.50658453419309724</v>
      </c>
      <c r="AB25" s="34">
        <v>13500.008185176201</v>
      </c>
      <c r="AC25" s="38">
        <f t="shared" si="14"/>
        <v>-14.902723581936112</v>
      </c>
      <c r="AD25" s="2"/>
      <c r="AE25" s="30">
        <f t="shared" si="15"/>
        <v>-40</v>
      </c>
      <c r="AF25" s="35">
        <f t="shared" si="16"/>
        <v>4587.4808131117161</v>
      </c>
      <c r="AG25" s="34">
        <v>12434.907023211315</v>
      </c>
      <c r="AH25" s="38">
        <f t="shared" si="17"/>
        <v>-21.616586769993422</v>
      </c>
      <c r="AJ25" s="87">
        <v>-20</v>
      </c>
      <c r="AK25" s="88">
        <f t="shared" si="18"/>
        <v>-10.808293384996711</v>
      </c>
      <c r="AL25" s="88">
        <f t="shared" si="10"/>
        <v>-7.4513617909680319</v>
      </c>
      <c r="AM25" s="89">
        <f t="shared" si="8"/>
        <v>-3.6914317404440462</v>
      </c>
      <c r="AN25" s="89">
        <f t="shared" si="9"/>
        <v>-11.142793531412103</v>
      </c>
      <c r="AO25" s="58">
        <f t="shared" si="11"/>
        <v>7.4513617909680558</v>
      </c>
    </row>
    <row r="26" spans="1:41" ht="15.75" customHeight="1" x14ac:dyDescent="0.25">
      <c r="A26" s="40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2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1">
        <f t="shared" si="5"/>
        <v>0</v>
      </c>
      <c r="U26" s="18">
        <f t="shared" si="0"/>
        <v>0</v>
      </c>
      <c r="V26" s="3"/>
      <c r="W26" s="6">
        <f t="shared" si="6"/>
        <v>0</v>
      </c>
      <c r="X26" s="2"/>
      <c r="Y26" s="2"/>
      <c r="Z26" s="30">
        <f t="shared" si="12"/>
        <v>-30</v>
      </c>
      <c r="AA26" s="33">
        <f t="shared" si="13"/>
        <v>0.59101528989194674</v>
      </c>
      <c r="AB26" s="34">
        <v>14091.057919098268</v>
      </c>
      <c r="AC26" s="38">
        <f t="shared" si="14"/>
        <v>-11.17704268645206</v>
      </c>
      <c r="AD26" s="2"/>
      <c r="AE26" s="30">
        <f t="shared" si="15"/>
        <v>-30</v>
      </c>
      <c r="AF26" s="35">
        <f t="shared" si="16"/>
        <v>5352.0609486303347</v>
      </c>
      <c r="AG26" s="34">
        <v>13292.2320476246</v>
      </c>
      <c r="AH26" s="38">
        <f t="shared" si="17"/>
        <v>-16.212440077495067</v>
      </c>
      <c r="AJ26" s="87">
        <v>-10</v>
      </c>
      <c r="AK26" s="88">
        <f t="shared" si="18"/>
        <v>-5.4041466924983439</v>
      </c>
      <c r="AL26" s="88">
        <f t="shared" si="10"/>
        <v>-3.7256808954839933</v>
      </c>
      <c r="AM26" s="89">
        <f t="shared" si="8"/>
        <v>-1.8457158702220231</v>
      </c>
      <c r="AN26" s="89">
        <f t="shared" si="9"/>
        <v>-5.5713967657060399</v>
      </c>
      <c r="AO26" s="58">
        <f t="shared" si="11"/>
        <v>3.7256808954840279</v>
      </c>
    </row>
    <row r="27" spans="1:4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1">
        <f t="shared" si="5"/>
        <v>0</v>
      </c>
      <c r="U27" s="18">
        <f t="shared" si="0"/>
        <v>0</v>
      </c>
      <c r="V27" s="3"/>
      <c r="W27" s="6">
        <f t="shared" si="6"/>
        <v>0</v>
      </c>
      <c r="X27" s="2"/>
      <c r="Y27" s="2"/>
      <c r="Z27" s="30">
        <f t="shared" si="12"/>
        <v>-20</v>
      </c>
      <c r="AA27" s="33">
        <f t="shared" si="13"/>
        <v>0.67544604559079635</v>
      </c>
      <c r="AB27" s="34">
        <v>14682.107653020332</v>
      </c>
      <c r="AC27" s="38">
        <f t="shared" si="14"/>
        <v>-7.4513617909680319</v>
      </c>
      <c r="AD27" s="2"/>
      <c r="AE27" s="30">
        <f t="shared" si="15"/>
        <v>-20</v>
      </c>
      <c r="AF27" s="35">
        <f t="shared" si="16"/>
        <v>6116.6410841489551</v>
      </c>
      <c r="AG27" s="34">
        <v>14149.557072037886</v>
      </c>
      <c r="AH27" s="38">
        <f t="shared" si="17"/>
        <v>-10.808293384996711</v>
      </c>
      <c r="AJ27" s="87">
        <v>0</v>
      </c>
      <c r="AK27" s="88">
        <f t="shared" si="18"/>
        <v>0</v>
      </c>
      <c r="AL27" s="88">
        <f t="shared" si="10"/>
        <v>0</v>
      </c>
      <c r="AM27" s="89">
        <f t="shared" si="8"/>
        <v>0</v>
      </c>
      <c r="AN27" s="89">
        <f t="shared" si="9"/>
        <v>0</v>
      </c>
      <c r="AO27" s="58">
        <f t="shared" si="11"/>
        <v>0</v>
      </c>
    </row>
    <row r="28" spans="1:41" ht="15.75" customHeight="1" x14ac:dyDescent="0.25">
      <c r="A28" s="1" t="s">
        <v>88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1">
        <f t="shared" si="5"/>
        <v>0</v>
      </c>
      <c r="U28" s="18">
        <f t="shared" si="0"/>
        <v>0</v>
      </c>
      <c r="V28" s="3"/>
      <c r="W28" s="6">
        <f t="shared" si="6"/>
        <v>0</v>
      </c>
      <c r="X28" s="2"/>
      <c r="Y28" s="2"/>
      <c r="Z28" s="30">
        <f t="shared" si="12"/>
        <v>-10</v>
      </c>
      <c r="AA28" s="33">
        <f t="shared" si="13"/>
        <v>0.75987680128964585</v>
      </c>
      <c r="AB28" s="34">
        <v>15273.157386942397</v>
      </c>
      <c r="AC28" s="38">
        <f t="shared" si="14"/>
        <v>-3.7256808954839933</v>
      </c>
      <c r="AD28" s="2"/>
      <c r="AE28" s="30">
        <f t="shared" si="15"/>
        <v>-10</v>
      </c>
      <c r="AF28" s="35">
        <f t="shared" si="16"/>
        <v>6881.2212196675737</v>
      </c>
      <c r="AG28" s="34">
        <v>15006.882096451172</v>
      </c>
      <c r="AH28" s="38">
        <f t="shared" si="17"/>
        <v>-5.4041466924983439</v>
      </c>
      <c r="AJ28" s="87">
        <v>10</v>
      </c>
      <c r="AK28" s="88">
        <f t="shared" si="18"/>
        <v>5.404146692498367</v>
      </c>
      <c r="AL28" s="88">
        <f t="shared" si="10"/>
        <v>3.7256808954840279</v>
      </c>
      <c r="AM28" s="89">
        <f t="shared" si="8"/>
        <v>1.8457158702220464</v>
      </c>
      <c r="AN28" s="89">
        <f t="shared" si="9"/>
        <v>5.5713967657060852</v>
      </c>
      <c r="AO28" s="58">
        <f t="shared" si="11"/>
        <v>-3.7256808954839933</v>
      </c>
    </row>
    <row r="29" spans="1:4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1">
        <f t="shared" si="5"/>
        <v>0</v>
      </c>
      <c r="U29" s="18">
        <f t="shared" si="0"/>
        <v>0</v>
      </c>
      <c r="V29" s="3"/>
      <c r="W29" s="6">
        <f t="shared" si="6"/>
        <v>0</v>
      </c>
      <c r="X29" s="2"/>
      <c r="Y29" s="2"/>
      <c r="Z29" s="43">
        <v>0</v>
      </c>
      <c r="AA29" s="44">
        <f t="shared" si="13"/>
        <v>0.84430755698849536</v>
      </c>
      <c r="AB29" s="45">
        <v>15864.207120864456</v>
      </c>
      <c r="AC29" s="46">
        <f t="shared" si="14"/>
        <v>0</v>
      </c>
      <c r="AD29" s="2"/>
      <c r="AE29" s="43">
        <v>0</v>
      </c>
      <c r="AF29" s="47">
        <f t="shared" si="16"/>
        <v>7645.8013551861932</v>
      </c>
      <c r="AG29" s="45">
        <v>15864.207120864456</v>
      </c>
      <c r="AH29" s="46">
        <f t="shared" si="17"/>
        <v>0</v>
      </c>
      <c r="AJ29" s="87">
        <v>20</v>
      </c>
      <c r="AK29" s="88">
        <f t="shared" si="18"/>
        <v>10.808293384996711</v>
      </c>
      <c r="AL29" s="88">
        <f t="shared" si="10"/>
        <v>7.4513617909680558</v>
      </c>
      <c r="AM29" s="89">
        <f t="shared" si="8"/>
        <v>3.6914317404440697</v>
      </c>
      <c r="AN29" s="89">
        <f t="shared" si="9"/>
        <v>11.142793531412124</v>
      </c>
      <c r="AO29" s="58">
        <f t="shared" si="11"/>
        <v>-7.4513617909680319</v>
      </c>
    </row>
    <row r="30" spans="1:41" ht="15.75" customHeight="1" x14ac:dyDescent="0.25">
      <c r="A30" s="7" t="s">
        <v>89</v>
      </c>
      <c r="B30" s="8"/>
      <c r="C30" s="8"/>
      <c r="D30" s="8"/>
      <c r="E30" s="10" t="s">
        <v>90</v>
      </c>
      <c r="F30" s="8"/>
      <c r="G30" s="8"/>
      <c r="H30" s="8"/>
      <c r="I30" s="10"/>
      <c r="J30" s="48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1">
        <f t="shared" si="5"/>
        <v>0</v>
      </c>
      <c r="U30" s="18">
        <f t="shared" si="0"/>
        <v>0</v>
      </c>
      <c r="V30" s="3"/>
      <c r="W30" s="6">
        <f t="shared" si="6"/>
        <v>0</v>
      </c>
      <c r="X30" s="2"/>
      <c r="Y30" s="2"/>
      <c r="Z30" s="30">
        <f t="shared" ref="Z30:Z34" si="19">Z29+10</f>
        <v>10</v>
      </c>
      <c r="AA30" s="33">
        <f t="shared" si="13"/>
        <v>0.92873831268734497</v>
      </c>
      <c r="AB30" s="34">
        <v>16455.256854786519</v>
      </c>
      <c r="AC30" s="38">
        <f t="shared" si="14"/>
        <v>3.7256808954840279</v>
      </c>
      <c r="AD30" s="2"/>
      <c r="AE30" s="30">
        <f t="shared" ref="AE30:AE34" si="20">AE29+10</f>
        <v>10</v>
      </c>
      <c r="AF30" s="35">
        <f t="shared" si="16"/>
        <v>8410.3814907048127</v>
      </c>
      <c r="AG30" s="34">
        <v>16721.532145277743</v>
      </c>
      <c r="AH30" s="38">
        <f t="shared" si="17"/>
        <v>5.404146692498367</v>
      </c>
      <c r="AJ30" s="87">
        <v>30</v>
      </c>
      <c r="AK30" s="88">
        <f t="shared" si="18"/>
        <v>16.212440077495078</v>
      </c>
      <c r="AL30" s="88">
        <f t="shared" si="10"/>
        <v>11.177042686452106</v>
      </c>
      <c r="AM30" s="89">
        <f t="shared" si="8"/>
        <v>5.5371476106660813</v>
      </c>
      <c r="AN30" s="89">
        <f t="shared" si="9"/>
        <v>16.714190297118165</v>
      </c>
      <c r="AO30" s="58">
        <f t="shared" si="11"/>
        <v>-11.17704268645206</v>
      </c>
    </row>
    <row r="31" spans="1:41" ht="15.75" customHeight="1" x14ac:dyDescent="0.25">
      <c r="A31" s="25" t="s">
        <v>172</v>
      </c>
      <c r="B31" s="6">
        <f t="shared" ref="B31:B32" si="21">IF(B11=0,0,-(B11/100)*$B$45)</f>
        <v>0</v>
      </c>
      <c r="C31" s="2" t="s">
        <v>3</v>
      </c>
      <c r="D31" s="2"/>
      <c r="E31" s="16" t="s">
        <v>92</v>
      </c>
      <c r="F31" s="24">
        <f>(J16/100)*B47</f>
        <v>2293.740406555858</v>
      </c>
      <c r="G31" s="2" t="s">
        <v>3</v>
      </c>
      <c r="H31" s="2"/>
      <c r="I31" s="1" t="s">
        <v>135</v>
      </c>
      <c r="J31" s="49">
        <f>SUM(J32:J36)</f>
        <v>380.81579892280081</v>
      </c>
      <c r="K31" s="1" t="s">
        <v>49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1">
        <f t="shared" si="5"/>
        <v>0</v>
      </c>
      <c r="U31" s="18">
        <f t="shared" si="0"/>
        <v>0</v>
      </c>
      <c r="V31" s="3"/>
      <c r="W31" s="6">
        <f t="shared" si="6"/>
        <v>0</v>
      </c>
      <c r="X31" s="2"/>
      <c r="Y31" s="2"/>
      <c r="Z31" s="30">
        <f t="shared" si="19"/>
        <v>20</v>
      </c>
      <c r="AA31" s="33">
        <f t="shared" si="13"/>
        <v>1.0131690683861945</v>
      </c>
      <c r="AB31" s="34">
        <v>17046.306588708583</v>
      </c>
      <c r="AC31" s="38">
        <f t="shared" si="14"/>
        <v>7.4513617909680558</v>
      </c>
      <c r="AD31" s="2"/>
      <c r="AE31" s="30">
        <f t="shared" si="20"/>
        <v>20</v>
      </c>
      <c r="AF31" s="35">
        <f t="shared" si="16"/>
        <v>9174.9616262234322</v>
      </c>
      <c r="AG31" s="34">
        <v>17578.857169691026</v>
      </c>
      <c r="AH31" s="38">
        <f t="shared" si="17"/>
        <v>10.808293384996711</v>
      </c>
      <c r="AJ31" s="87">
        <v>40</v>
      </c>
      <c r="AK31" s="88">
        <f t="shared" si="18"/>
        <v>21.616586769993422</v>
      </c>
      <c r="AL31" s="88">
        <f t="shared" si="10"/>
        <v>14.902723581936133</v>
      </c>
      <c r="AM31" s="89">
        <f t="shared" si="8"/>
        <v>7.3828634808881164</v>
      </c>
      <c r="AN31" s="89">
        <f t="shared" si="9"/>
        <v>22.285587062824206</v>
      </c>
      <c r="AO31" s="58">
        <f t="shared" si="11"/>
        <v>-14.902723581936112</v>
      </c>
    </row>
    <row r="32" spans="1:41" ht="15.75" customHeight="1" x14ac:dyDescent="0.25">
      <c r="A32" s="25" t="s">
        <v>44</v>
      </c>
      <c r="B32" s="6">
        <f t="shared" si="21"/>
        <v>0</v>
      </c>
      <c r="C32" s="2" t="s">
        <v>3</v>
      </c>
      <c r="D32" s="2"/>
      <c r="E32" s="16" t="s">
        <v>94</v>
      </c>
      <c r="F32" s="6">
        <f>B47-F31</f>
        <v>5352.0609486303347</v>
      </c>
      <c r="G32" s="2" t="s">
        <v>3</v>
      </c>
      <c r="H32" s="2"/>
      <c r="I32" s="16" t="s">
        <v>105</v>
      </c>
      <c r="J32" s="27">
        <f>F16/$B$8</f>
        <v>1.6157989228007181</v>
      </c>
      <c r="K32" s="2" t="s">
        <v>49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1">
        <f t="shared" si="5"/>
        <v>0</v>
      </c>
      <c r="U32" s="18">
        <f t="shared" si="0"/>
        <v>0</v>
      </c>
      <c r="V32" s="3"/>
      <c r="W32" s="6">
        <f t="shared" si="6"/>
        <v>0</v>
      </c>
      <c r="X32" s="2"/>
      <c r="Y32" s="2"/>
      <c r="Z32" s="30">
        <f t="shared" si="19"/>
        <v>30</v>
      </c>
      <c r="AA32" s="33">
        <f t="shared" si="13"/>
        <v>1.097599824085044</v>
      </c>
      <c r="AB32" s="34">
        <v>17637.356322630651</v>
      </c>
      <c r="AC32" s="38">
        <f t="shared" si="14"/>
        <v>11.177042686452106</v>
      </c>
      <c r="AD32" s="2"/>
      <c r="AE32" s="30">
        <f t="shared" si="20"/>
        <v>30</v>
      </c>
      <c r="AF32" s="35">
        <f t="shared" si="16"/>
        <v>9939.5417617420517</v>
      </c>
      <c r="AG32" s="34">
        <v>18436.182194104313</v>
      </c>
      <c r="AH32" s="38">
        <f t="shared" si="17"/>
        <v>16.212440077495078</v>
      </c>
      <c r="AJ32" s="87">
        <v>50</v>
      </c>
      <c r="AK32" s="88">
        <f t="shared" si="18"/>
        <v>27.020733462491787</v>
      </c>
      <c r="AL32" s="88">
        <f t="shared" si="10"/>
        <v>18.628404477420137</v>
      </c>
      <c r="AM32" s="89">
        <f t="shared" si="8"/>
        <v>9.2285793511101506</v>
      </c>
      <c r="AN32" s="89">
        <f t="shared" si="9"/>
        <v>27.856983828530268</v>
      </c>
      <c r="AO32" s="58">
        <f t="shared" si="11"/>
        <v>-18.628404477420116</v>
      </c>
    </row>
    <row r="33" spans="1:34" ht="15.75" customHeight="1" x14ac:dyDescent="0.25">
      <c r="A33" s="25" t="s">
        <v>50</v>
      </c>
      <c r="B33" s="6">
        <f t="shared" ref="B33:B34" si="22">IF(B13=0,0,(B13/100)*$B$44)</f>
        <v>668.90322580645159</v>
      </c>
      <c r="C33" s="2" t="s">
        <v>3</v>
      </c>
      <c r="D33" s="2"/>
      <c r="E33" s="16" t="s">
        <v>95</v>
      </c>
      <c r="F33" s="24">
        <f>F32*(F20/100)*J15</f>
        <v>1899.9816367637686</v>
      </c>
      <c r="G33" s="2" t="s">
        <v>3</v>
      </c>
      <c r="H33" s="2"/>
      <c r="I33" s="16" t="s">
        <v>73</v>
      </c>
      <c r="J33" s="27">
        <f>F18/$B$8</f>
        <v>0</v>
      </c>
      <c r="K33" s="2" t="s">
        <v>49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1">
        <f t="shared" si="5"/>
        <v>0</v>
      </c>
      <c r="U33" s="18">
        <f t="shared" si="0"/>
        <v>0</v>
      </c>
      <c r="V33" s="3"/>
      <c r="W33" s="6">
        <f t="shared" si="6"/>
        <v>0</v>
      </c>
      <c r="X33" s="2"/>
      <c r="Y33" s="2"/>
      <c r="Z33" s="30">
        <f t="shared" si="19"/>
        <v>40</v>
      </c>
      <c r="AA33" s="33">
        <f t="shared" si="13"/>
        <v>1.1820305797838935</v>
      </c>
      <c r="AB33" s="34">
        <v>18228.406056552714</v>
      </c>
      <c r="AC33" s="38">
        <f t="shared" si="14"/>
        <v>14.902723581936133</v>
      </c>
      <c r="AD33" s="2"/>
      <c r="AE33" s="30">
        <f t="shared" si="20"/>
        <v>40</v>
      </c>
      <c r="AF33" s="35">
        <f t="shared" si="16"/>
        <v>10704.121897260669</v>
      </c>
      <c r="AG33" s="34">
        <v>19293.507218517596</v>
      </c>
      <c r="AH33" s="38">
        <f t="shared" si="17"/>
        <v>21.616586769993422</v>
      </c>
    </row>
    <row r="34" spans="1:34" ht="15.75" customHeight="1" x14ac:dyDescent="0.25">
      <c r="A34" s="25" t="s">
        <v>54</v>
      </c>
      <c r="B34" s="6">
        <f t="shared" si="22"/>
        <v>1393.5483870967741</v>
      </c>
      <c r="C34" s="2" t="s">
        <v>3</v>
      </c>
      <c r="D34" s="2"/>
      <c r="E34" s="2"/>
      <c r="F34" s="32"/>
      <c r="G34" s="2"/>
      <c r="H34" s="2"/>
      <c r="I34" s="16" t="s">
        <v>64</v>
      </c>
      <c r="J34" s="27">
        <f>F15/$B$8</f>
        <v>0</v>
      </c>
      <c r="K34" s="2" t="s">
        <v>49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1">
        <f t="shared" si="5"/>
        <v>0</v>
      </c>
      <c r="U34" s="18">
        <f t="shared" si="0"/>
        <v>0</v>
      </c>
      <c r="V34" s="3"/>
      <c r="W34" s="6">
        <f t="shared" si="6"/>
        <v>0</v>
      </c>
      <c r="X34" s="2"/>
      <c r="Y34" s="2"/>
      <c r="Z34" s="30">
        <f t="shared" si="19"/>
        <v>50</v>
      </c>
      <c r="AA34" s="33">
        <f t="shared" si="13"/>
        <v>1.266461335482743</v>
      </c>
      <c r="AB34" s="34">
        <v>18819.455790474774</v>
      </c>
      <c r="AC34" s="38">
        <f t="shared" si="14"/>
        <v>18.628404477420137</v>
      </c>
      <c r="AD34" s="2"/>
      <c r="AE34" s="30">
        <f t="shared" si="20"/>
        <v>50</v>
      </c>
      <c r="AF34" s="35">
        <f t="shared" si="16"/>
        <v>11468.702032779289</v>
      </c>
      <c r="AG34" s="34">
        <v>20150.832242930883</v>
      </c>
      <c r="AH34" s="38">
        <f t="shared" si="17"/>
        <v>27.020733462491787</v>
      </c>
    </row>
    <row r="35" spans="1:34" ht="15.75" customHeight="1" x14ac:dyDescent="0.25">
      <c r="A35" s="25" t="s">
        <v>63</v>
      </c>
      <c r="B35" s="6">
        <f>IF(B16=0,0,(B16/100)*$B$44)</f>
        <v>0</v>
      </c>
      <c r="C35" s="2" t="s">
        <v>3</v>
      </c>
      <c r="D35" s="2"/>
      <c r="E35" s="1" t="s">
        <v>98</v>
      </c>
      <c r="F35" s="2"/>
      <c r="G35" s="2"/>
      <c r="H35" s="2"/>
      <c r="I35" s="2" t="s">
        <v>184</v>
      </c>
      <c r="J35" s="32">
        <f>F22/B8</f>
        <v>0</v>
      </c>
      <c r="K35" s="2" t="s">
        <v>49</v>
      </c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1">
        <f t="shared" si="5"/>
        <v>0</v>
      </c>
      <c r="U35" s="18">
        <f t="shared" si="0"/>
        <v>0</v>
      </c>
      <c r="V35" s="3"/>
      <c r="W35" s="6">
        <f t="shared" si="6"/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25" t="s">
        <v>181</v>
      </c>
      <c r="B36" s="27">
        <f t="shared" ref="B36:B38" si="23">IF(B17=0,0,(B17/$B$8))</f>
        <v>8.0789946140035909</v>
      </c>
      <c r="C36" s="2" t="s">
        <v>3</v>
      </c>
      <c r="D36" s="2"/>
      <c r="E36" s="16" t="s">
        <v>178</v>
      </c>
      <c r="F36" s="27">
        <f>F13/$B$8</f>
        <v>0.84430755698849536</v>
      </c>
      <c r="G36" s="2" t="s">
        <v>126</v>
      </c>
      <c r="H36" s="2"/>
      <c r="I36" s="16" t="s">
        <v>48</v>
      </c>
      <c r="J36" s="20">
        <f>F19*F12/$B$8</f>
        <v>379.2000000000001</v>
      </c>
      <c r="K36" s="2" t="s">
        <v>49</v>
      </c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1">
        <f t="shared" si="5"/>
        <v>0</v>
      </c>
      <c r="U36" s="18">
        <f t="shared" si="0"/>
        <v>0</v>
      </c>
      <c r="V36" s="3"/>
      <c r="W36" s="6">
        <f t="shared" si="6"/>
        <v>0</v>
      </c>
      <c r="X36" s="2"/>
      <c r="Y36" s="2"/>
      <c r="Z36" s="29" t="s">
        <v>48</v>
      </c>
      <c r="AA36" s="30"/>
      <c r="AB36" s="30"/>
      <c r="AC36" s="30"/>
      <c r="AD36" s="2"/>
      <c r="AE36" s="29" t="s">
        <v>99</v>
      </c>
      <c r="AF36" s="30"/>
      <c r="AG36" s="30"/>
      <c r="AH36" s="30"/>
    </row>
    <row r="37" spans="1:34" ht="15.75" customHeight="1" x14ac:dyDescent="0.25">
      <c r="A37" s="16" t="s">
        <v>183</v>
      </c>
      <c r="B37" s="27">
        <f t="shared" si="23"/>
        <v>0.17953321364452424</v>
      </c>
      <c r="C37" s="2" t="s">
        <v>3</v>
      </c>
      <c r="D37" s="2"/>
      <c r="E37" s="16" t="s">
        <v>179</v>
      </c>
      <c r="F37" s="50">
        <f>F36*J10</f>
        <v>6.1212297881665906E-2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1">
        <f t="shared" si="5"/>
        <v>0</v>
      </c>
      <c r="U37" s="18">
        <f t="shared" si="0"/>
        <v>0</v>
      </c>
      <c r="V37" s="3"/>
      <c r="W37" s="6">
        <f t="shared" si="6"/>
        <v>0</v>
      </c>
      <c r="X37" s="2"/>
      <c r="Y37" s="2"/>
      <c r="Z37" s="30" t="s">
        <v>78</v>
      </c>
      <c r="AA37" s="30" t="s">
        <v>136</v>
      </c>
      <c r="AB37" s="30" t="s">
        <v>23</v>
      </c>
      <c r="AC37" s="30" t="s">
        <v>80</v>
      </c>
      <c r="AD37" s="2"/>
      <c r="AE37" s="30" t="s">
        <v>78</v>
      </c>
      <c r="AF37" s="30" t="s">
        <v>103</v>
      </c>
      <c r="AG37" s="30" t="s">
        <v>23</v>
      </c>
      <c r="AH37" s="30" t="s">
        <v>80</v>
      </c>
    </row>
    <row r="38" spans="1:34" ht="15.75" customHeight="1" x14ac:dyDescent="0.25">
      <c r="A38" s="2" t="s">
        <v>132</v>
      </c>
      <c r="B38" s="27">
        <f t="shared" si="23"/>
        <v>0.89766606822262118</v>
      </c>
      <c r="C38" s="2" t="s">
        <v>3</v>
      </c>
      <c r="D38" s="2"/>
      <c r="E38" s="16" t="s">
        <v>137</v>
      </c>
      <c r="F38" s="32">
        <f>F37*F12</f>
        <v>734.54757457999085</v>
      </c>
      <c r="G38" s="26" t="s">
        <v>49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1">
        <f t="shared" si="5"/>
        <v>0</v>
      </c>
      <c r="U38" s="18">
        <f t="shared" si="0"/>
        <v>0</v>
      </c>
      <c r="V38" s="3"/>
      <c r="W38" s="6">
        <f t="shared" si="6"/>
        <v>0</v>
      </c>
      <c r="X38" s="2"/>
      <c r="Y38" s="2"/>
      <c r="Z38" s="30" t="s">
        <v>134</v>
      </c>
      <c r="AA38" s="33">
        <v>379.2000000000001</v>
      </c>
      <c r="AB38" s="34">
        <f>U49</f>
        <v>15864.207120864456</v>
      </c>
      <c r="AC38" s="30"/>
      <c r="AD38" s="2"/>
      <c r="AE38" s="30" t="s">
        <v>134</v>
      </c>
      <c r="AF38" s="35">
        <v>12000</v>
      </c>
      <c r="AG38" s="34">
        <f>U49</f>
        <v>15864.207120864456</v>
      </c>
      <c r="AH38" s="30"/>
    </row>
    <row r="39" spans="1:3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1">
        <f t="shared" si="5"/>
        <v>0</v>
      </c>
      <c r="U39" s="18">
        <f t="shared" si="0"/>
        <v>0</v>
      </c>
      <c r="V39" s="3"/>
      <c r="W39" s="6">
        <f t="shared" si="6"/>
        <v>0</v>
      </c>
      <c r="X39" s="2"/>
      <c r="Y39" s="2"/>
      <c r="Z39" s="30">
        <f t="shared" ref="Z39:Z43" si="24">Z40-10</f>
        <v>-50</v>
      </c>
      <c r="AA39" s="33">
        <f t="shared" ref="AA39:AA49" si="25">$AA$38*(1+(Z39/100))</f>
        <v>189.60000000000005</v>
      </c>
      <c r="AB39" s="34">
        <f t="dataTable" ref="AB39:AB49" dt2D="0" dtr="0" r1="J36" ca="1"/>
        <v>14400.166178291016</v>
      </c>
      <c r="AC39" s="38">
        <f t="shared" ref="AC39:AC49" si="26">100*((AB39-$AB$29)/$AB$29)</f>
        <v>-9.2285793511101275</v>
      </c>
      <c r="AD39" s="2"/>
      <c r="AE39" s="30">
        <f t="shared" ref="AE39:AE43" si="27">AE40-10</f>
        <v>-50</v>
      </c>
      <c r="AF39" s="35">
        <f t="shared" ref="AF39:AF49" si="28">$AF$38*(1+(AE39/100))</f>
        <v>6000</v>
      </c>
      <c r="AG39" s="34">
        <f t="dataTable" ref="AG39:AG49" dt2D="0" dtr="0" r1="F12" ca="1"/>
        <v>11444.917508680697</v>
      </c>
      <c r="AH39" s="38">
        <f t="shared" ref="AH39:AH49" si="29">100*((AG39-$AG$44)/$AG$44)</f>
        <v>-27.856983828530268</v>
      </c>
    </row>
    <row r="40" spans="1:3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1">
        <f t="shared" si="5"/>
        <v>0</v>
      </c>
      <c r="U40" s="18">
        <f t="shared" si="0"/>
        <v>0</v>
      </c>
      <c r="V40" s="3"/>
      <c r="W40" s="6">
        <f t="shared" si="6"/>
        <v>0</v>
      </c>
      <c r="X40" s="2"/>
      <c r="Y40" s="2"/>
      <c r="Z40" s="30">
        <f t="shared" si="24"/>
        <v>-40</v>
      </c>
      <c r="AA40" s="33">
        <f t="shared" si="25"/>
        <v>227.52000000000007</v>
      </c>
      <c r="AB40" s="34">
        <v>14692.974366805705</v>
      </c>
      <c r="AC40" s="38">
        <f t="shared" si="26"/>
        <v>-7.3828634808880924</v>
      </c>
      <c r="AD40" s="2"/>
      <c r="AE40" s="30">
        <f t="shared" si="27"/>
        <v>-40</v>
      </c>
      <c r="AF40" s="35">
        <f t="shared" si="28"/>
        <v>7200</v>
      </c>
      <c r="AG40" s="34">
        <v>12328.775431117449</v>
      </c>
      <c r="AH40" s="38">
        <f t="shared" si="29"/>
        <v>-22.285587062824217</v>
      </c>
    </row>
    <row r="41" spans="1:34" ht="15.75" customHeight="1" x14ac:dyDescent="0.25">
      <c r="A41" s="2"/>
      <c r="B41" s="2"/>
      <c r="C41" s="2"/>
      <c r="D41" s="2"/>
      <c r="E41" s="16" t="s">
        <v>96</v>
      </c>
      <c r="F41" s="6">
        <f>F12*B5</f>
        <v>120000</v>
      </c>
      <c r="G41" s="2" t="s">
        <v>97</v>
      </c>
      <c r="H41" s="2"/>
      <c r="I41" s="2"/>
      <c r="J41" s="2"/>
      <c r="K41" s="2"/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1">
        <f t="shared" si="5"/>
        <v>0</v>
      </c>
      <c r="U41" s="18">
        <f t="shared" si="0"/>
        <v>0</v>
      </c>
      <c r="V41" s="3"/>
      <c r="W41" s="6">
        <f t="shared" si="6"/>
        <v>0</v>
      </c>
      <c r="X41" s="2"/>
      <c r="Y41" s="2"/>
      <c r="Z41" s="30">
        <f t="shared" si="24"/>
        <v>-30</v>
      </c>
      <c r="AA41" s="33">
        <f t="shared" si="25"/>
        <v>265.44000000000005</v>
      </c>
      <c r="AB41" s="34">
        <v>14985.782555320393</v>
      </c>
      <c r="AC41" s="38">
        <f t="shared" si="26"/>
        <v>-5.5371476106660698</v>
      </c>
      <c r="AD41" s="2"/>
      <c r="AE41" s="30">
        <f t="shared" si="27"/>
        <v>-30</v>
      </c>
      <c r="AF41" s="35">
        <f t="shared" si="28"/>
        <v>8400</v>
      </c>
      <c r="AG41" s="34">
        <v>13212.6333535542</v>
      </c>
      <c r="AH41" s="38">
        <f t="shared" si="29"/>
        <v>-16.714190297118165</v>
      </c>
    </row>
    <row r="42" spans="1:34" ht="15.75" customHeight="1" x14ac:dyDescent="0.25">
      <c r="A42" s="23" t="s">
        <v>108</v>
      </c>
      <c r="B42" s="3"/>
      <c r="C42" s="1"/>
      <c r="D42" s="2"/>
      <c r="E42" s="16"/>
      <c r="F42" s="27"/>
      <c r="G42" s="2"/>
      <c r="H42" s="2"/>
      <c r="I42" s="1" t="s">
        <v>138</v>
      </c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1">
        <f t="shared" si="5"/>
        <v>0</v>
      </c>
      <c r="U42" s="18">
        <f t="shared" si="0"/>
        <v>0</v>
      </c>
      <c r="V42" s="3"/>
      <c r="W42" s="6">
        <f t="shared" si="6"/>
        <v>0</v>
      </c>
      <c r="X42" s="2"/>
      <c r="Y42" s="2"/>
      <c r="Z42" s="30">
        <f t="shared" si="24"/>
        <v>-20</v>
      </c>
      <c r="AA42" s="33">
        <f t="shared" si="25"/>
        <v>303.36000000000007</v>
      </c>
      <c r="AB42" s="34">
        <v>15278.590743835081</v>
      </c>
      <c r="AC42" s="38">
        <f t="shared" si="26"/>
        <v>-3.6914317404440462</v>
      </c>
      <c r="AD42" s="2"/>
      <c r="AE42" s="30">
        <f t="shared" si="27"/>
        <v>-20</v>
      </c>
      <c r="AF42" s="35">
        <f t="shared" si="28"/>
        <v>9600</v>
      </c>
      <c r="AG42" s="34">
        <v>14096.491275990953</v>
      </c>
      <c r="AH42" s="38">
        <f t="shared" si="29"/>
        <v>-11.142793531412103</v>
      </c>
    </row>
    <row r="43" spans="1:34" ht="15.75" customHeight="1" x14ac:dyDescent="0.25">
      <c r="A43" s="16" t="s">
        <v>199</v>
      </c>
      <c r="B43" s="6">
        <f>J8/B8</f>
        <v>4645.1612903225805</v>
      </c>
      <c r="C43" s="2" t="s">
        <v>3</v>
      </c>
      <c r="D43" s="2"/>
      <c r="E43" s="2"/>
      <c r="F43" s="2"/>
      <c r="G43" s="2"/>
      <c r="H43" s="2"/>
      <c r="I43" s="16" t="s">
        <v>111</v>
      </c>
      <c r="J43" s="20">
        <f>F17*J9/B8</f>
        <v>10.610412926391382</v>
      </c>
      <c r="K43" s="2" t="s">
        <v>49</v>
      </c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1">
        <f t="shared" si="5"/>
        <v>0</v>
      </c>
      <c r="U43" s="18">
        <f t="shared" si="0"/>
        <v>0</v>
      </c>
      <c r="V43" s="3"/>
      <c r="W43" s="6">
        <f t="shared" si="6"/>
        <v>0</v>
      </c>
      <c r="X43" s="2"/>
      <c r="Y43" s="2"/>
      <c r="Z43" s="30">
        <f t="shared" si="24"/>
        <v>-10</v>
      </c>
      <c r="AA43" s="33">
        <f t="shared" si="25"/>
        <v>341.28000000000009</v>
      </c>
      <c r="AB43" s="34">
        <v>15571.398932349768</v>
      </c>
      <c r="AC43" s="38">
        <f t="shared" si="26"/>
        <v>-1.8457158702220231</v>
      </c>
      <c r="AD43" s="2"/>
      <c r="AE43" s="30">
        <f t="shared" si="27"/>
        <v>-10</v>
      </c>
      <c r="AF43" s="35">
        <f t="shared" si="28"/>
        <v>10800</v>
      </c>
      <c r="AG43" s="34">
        <v>14980.349198427706</v>
      </c>
      <c r="AH43" s="38">
        <f t="shared" si="29"/>
        <v>-5.5713967657060399</v>
      </c>
    </row>
    <row r="44" spans="1:34" ht="15.75" customHeight="1" x14ac:dyDescent="0.25">
      <c r="A44" s="2" t="s">
        <v>114</v>
      </c>
      <c r="B44" s="24">
        <f>(1+B15/100)*B43</f>
        <v>5574.1935483870966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1">
        <f t="shared" si="5"/>
        <v>0</v>
      </c>
      <c r="U44" s="18">
        <f t="shared" si="0"/>
        <v>0</v>
      </c>
      <c r="V44" s="3"/>
      <c r="W44" s="6">
        <f t="shared" si="6"/>
        <v>0</v>
      </c>
      <c r="X44" s="2"/>
      <c r="Y44" s="2"/>
      <c r="Z44" s="43">
        <v>0</v>
      </c>
      <c r="AA44" s="44">
        <f t="shared" si="25"/>
        <v>379.2000000000001</v>
      </c>
      <c r="AB44" s="45">
        <v>15864.207120864456</v>
      </c>
      <c r="AC44" s="46">
        <f t="shared" si="26"/>
        <v>0</v>
      </c>
      <c r="AD44" s="2"/>
      <c r="AE44" s="43">
        <v>0</v>
      </c>
      <c r="AF44" s="47">
        <f t="shared" si="28"/>
        <v>12000</v>
      </c>
      <c r="AG44" s="45">
        <v>15864.207120864456</v>
      </c>
      <c r="AH44" s="46">
        <f t="shared" si="29"/>
        <v>0</v>
      </c>
    </row>
    <row r="45" spans="1:34" ht="15.75" customHeight="1" x14ac:dyDescent="0.25">
      <c r="A45" s="25" t="s">
        <v>139</v>
      </c>
      <c r="B45" s="6">
        <f>SUM(B33:B38)+B44</f>
        <v>7645.8013551861932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1">
        <f t="shared" si="5"/>
        <v>0</v>
      </c>
      <c r="U45" s="18">
        <f t="shared" si="0"/>
        <v>0</v>
      </c>
      <c r="V45" s="3"/>
      <c r="W45" s="6">
        <f t="shared" si="6"/>
        <v>0</v>
      </c>
      <c r="X45" s="2"/>
      <c r="Y45" s="2"/>
      <c r="Z45" s="30">
        <f t="shared" ref="Z45:Z49" si="30">Z44+10</f>
        <v>10</v>
      </c>
      <c r="AA45" s="33">
        <f t="shared" si="25"/>
        <v>417.12000000000012</v>
      </c>
      <c r="AB45" s="34">
        <v>16157.015309379147</v>
      </c>
      <c r="AC45" s="38">
        <f t="shared" si="26"/>
        <v>1.8457158702220464</v>
      </c>
      <c r="AD45" s="2"/>
      <c r="AE45" s="30">
        <f t="shared" ref="AE45:AE49" si="31">AE44+10</f>
        <v>10</v>
      </c>
      <c r="AF45" s="35">
        <f t="shared" si="28"/>
        <v>13200.000000000002</v>
      </c>
      <c r="AG45" s="34">
        <v>16748.065043301212</v>
      </c>
      <c r="AH45" s="38">
        <f t="shared" si="29"/>
        <v>5.5713967657060852</v>
      </c>
    </row>
    <row r="46" spans="1:34" ht="15.75" customHeight="1" x14ac:dyDescent="0.25">
      <c r="A46" s="25" t="s">
        <v>173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1">
        <f t="shared" si="5"/>
        <v>0</v>
      </c>
      <c r="U46" s="18">
        <f t="shared" si="0"/>
        <v>0</v>
      </c>
      <c r="V46" s="3"/>
      <c r="W46" s="6">
        <f t="shared" si="6"/>
        <v>0</v>
      </c>
      <c r="X46" s="2"/>
      <c r="Y46" s="2"/>
      <c r="Z46" s="30">
        <f t="shared" si="30"/>
        <v>20</v>
      </c>
      <c r="AA46" s="33">
        <f t="shared" si="25"/>
        <v>455.04000000000013</v>
      </c>
      <c r="AB46" s="34">
        <v>16449.823497893834</v>
      </c>
      <c r="AC46" s="38">
        <f t="shared" si="26"/>
        <v>3.6914317404440697</v>
      </c>
      <c r="AD46" s="2"/>
      <c r="AE46" s="30">
        <f t="shared" si="31"/>
        <v>20</v>
      </c>
      <c r="AF46" s="35">
        <f t="shared" si="28"/>
        <v>14400</v>
      </c>
      <c r="AG46" s="34">
        <v>17631.922965737962</v>
      </c>
      <c r="AH46" s="38">
        <f t="shared" si="29"/>
        <v>11.142793531412124</v>
      </c>
    </row>
    <row r="47" spans="1:34" ht="15.75" customHeight="1" x14ac:dyDescent="0.25">
      <c r="A47" s="25" t="s">
        <v>174</v>
      </c>
      <c r="B47" s="6">
        <f>SUM(B45:B46)</f>
        <v>7645.8013551861932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1">
        <f t="shared" si="5"/>
        <v>0</v>
      </c>
      <c r="U47" s="18">
        <f t="shared" si="0"/>
        <v>0</v>
      </c>
      <c r="V47" s="3"/>
      <c r="W47" s="6">
        <f t="shared" si="6"/>
        <v>0</v>
      </c>
      <c r="X47" s="2"/>
      <c r="Y47" s="2"/>
      <c r="Z47" s="30">
        <f t="shared" si="30"/>
        <v>30</v>
      </c>
      <c r="AA47" s="33">
        <f t="shared" si="25"/>
        <v>492.96000000000015</v>
      </c>
      <c r="AB47" s="34">
        <v>16742.63168640852</v>
      </c>
      <c r="AC47" s="38">
        <f t="shared" si="26"/>
        <v>5.5371476106660813</v>
      </c>
      <c r="AD47" s="2"/>
      <c r="AE47" s="30">
        <f t="shared" si="31"/>
        <v>30</v>
      </c>
      <c r="AF47" s="35">
        <f t="shared" si="28"/>
        <v>15600</v>
      </c>
      <c r="AG47" s="34">
        <v>18515.780888174711</v>
      </c>
      <c r="AH47" s="38">
        <f t="shared" si="29"/>
        <v>16.714190297118165</v>
      </c>
    </row>
    <row r="48" spans="1:3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1">
        <f t="shared" si="5"/>
        <v>0</v>
      </c>
      <c r="U48" s="18">
        <f t="shared" si="0"/>
        <v>0</v>
      </c>
      <c r="V48" s="3"/>
      <c r="W48" s="6">
        <f t="shared" si="6"/>
        <v>0</v>
      </c>
      <c r="X48" s="2"/>
      <c r="Y48" s="2"/>
      <c r="Z48" s="30">
        <f t="shared" si="30"/>
        <v>40</v>
      </c>
      <c r="AA48" s="33">
        <f t="shared" si="25"/>
        <v>530.88000000000011</v>
      </c>
      <c r="AB48" s="34">
        <v>17035.43987492321</v>
      </c>
      <c r="AC48" s="38">
        <f t="shared" si="26"/>
        <v>7.3828634808881164</v>
      </c>
      <c r="AD48" s="2"/>
      <c r="AE48" s="30">
        <f t="shared" si="31"/>
        <v>40</v>
      </c>
      <c r="AF48" s="35">
        <f t="shared" si="28"/>
        <v>16800</v>
      </c>
      <c r="AG48" s="34">
        <v>19399.638810611461</v>
      </c>
      <c r="AH48" s="38">
        <f t="shared" si="29"/>
        <v>22.285587062824206</v>
      </c>
    </row>
    <row r="49" spans="1:34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115</v>
      </c>
      <c r="O49" s="18">
        <f t="shared" ref="O49:U49" si="32">SUM(O8:O48)</f>
        <v>2293.740406555858</v>
      </c>
      <c r="P49" s="18">
        <f t="shared" si="32"/>
        <v>6279.5098375769958</v>
      </c>
      <c r="Q49" s="18">
        <f t="shared" si="32"/>
        <v>5910.4973392206348</v>
      </c>
      <c r="R49" s="18">
        <f t="shared" si="32"/>
        <v>2940.5586561276114</v>
      </c>
      <c r="S49" s="18">
        <f t="shared" si="32"/>
        <v>81.930796106790353</v>
      </c>
      <c r="T49" s="18">
        <f t="shared" si="32"/>
        <v>-1642.0299147234334</v>
      </c>
      <c r="U49" s="18">
        <f t="shared" si="32"/>
        <v>15864.207120864456</v>
      </c>
      <c r="V49" s="3"/>
      <c r="W49" s="3"/>
      <c r="X49" s="2"/>
      <c r="Y49" s="2"/>
      <c r="Z49" s="30">
        <f t="shared" si="30"/>
        <v>50</v>
      </c>
      <c r="AA49" s="33">
        <f t="shared" si="25"/>
        <v>568.80000000000018</v>
      </c>
      <c r="AB49" s="34">
        <v>17328.248063437899</v>
      </c>
      <c r="AC49" s="38">
        <f t="shared" si="26"/>
        <v>9.2285793511101506</v>
      </c>
      <c r="AD49" s="2"/>
      <c r="AE49" s="30">
        <f t="shared" si="31"/>
        <v>50</v>
      </c>
      <c r="AF49" s="35">
        <f t="shared" si="28"/>
        <v>18000</v>
      </c>
      <c r="AG49" s="34">
        <v>20283.496733048214</v>
      </c>
      <c r="AH49" s="38">
        <f t="shared" si="29"/>
        <v>27.856983828530268</v>
      </c>
    </row>
    <row r="50" spans="1:34" ht="15.75" customHeight="1" x14ac:dyDescent="0.25">
      <c r="A50" s="2"/>
      <c r="B50" s="32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SUM(R49:S49)</f>
        <v>3022.4894522344016</v>
      </c>
      <c r="S50" s="2"/>
      <c r="T50" s="2"/>
      <c r="U50" s="2"/>
      <c r="V50" s="2"/>
      <c r="W50" s="2"/>
      <c r="X50" s="24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9" t="s">
        <v>198</v>
      </c>
      <c r="AA51" s="30"/>
      <c r="AB51" s="30"/>
      <c r="AC51" s="30"/>
      <c r="AD51" s="2"/>
      <c r="AE51" s="2"/>
      <c r="AF51" s="2"/>
      <c r="AG51" s="2"/>
      <c r="AH51" s="2"/>
    </row>
    <row r="52" spans="1:34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0" t="s">
        <v>78</v>
      </c>
      <c r="AA52" s="30" t="s">
        <v>198</v>
      </c>
      <c r="AB52" s="30" t="s">
        <v>23</v>
      </c>
      <c r="AC52" s="30" t="s">
        <v>80</v>
      </c>
      <c r="AD52" s="2"/>
      <c r="AE52" s="2"/>
      <c r="AF52" s="2"/>
      <c r="AG52" s="2"/>
      <c r="AH52" s="2"/>
    </row>
    <row r="53" spans="1:34" ht="15.75" customHeight="1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s="2"/>
      <c r="N53" s="2"/>
      <c r="O53" s="1" t="s">
        <v>140</v>
      </c>
      <c r="P53" s="1"/>
      <c r="Q53" s="2"/>
      <c r="R53" s="2"/>
      <c r="S53" s="2"/>
      <c r="T53" s="2"/>
      <c r="U53" s="2"/>
      <c r="V53" s="2"/>
      <c r="W53" s="2"/>
      <c r="X53" s="32"/>
      <c r="Y53" s="2"/>
      <c r="Z53" s="30" t="s">
        <v>134</v>
      </c>
      <c r="AA53" s="33">
        <v>7.2499999999999995E-2</v>
      </c>
      <c r="AB53" s="34">
        <f>U49</f>
        <v>15864.207120864456</v>
      </c>
      <c r="AC53" s="30"/>
      <c r="AD53" s="2"/>
      <c r="AE53" s="2"/>
      <c r="AF53" s="2"/>
      <c r="AG53" s="2"/>
      <c r="AH53" s="2"/>
    </row>
    <row r="54" spans="1:3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4"/>
      <c r="O54" s="55" t="s">
        <v>118</v>
      </c>
      <c r="P54" s="56" t="str">
        <f>B1</f>
        <v>Philippines</v>
      </c>
      <c r="Q54" s="54"/>
      <c r="R54" s="54"/>
      <c r="S54" s="54"/>
      <c r="T54" s="54"/>
      <c r="U54" s="2"/>
      <c r="V54" s="2"/>
      <c r="W54" s="2"/>
      <c r="X54" s="32"/>
      <c r="Y54" s="2"/>
      <c r="Z54" s="30">
        <f t="shared" ref="Z54:Z58" si="33">Z55-10</f>
        <v>-50</v>
      </c>
      <c r="AA54" s="33">
        <f>$AA$53*(1+(-Z54/100))</f>
        <v>0.10874999999999999</v>
      </c>
      <c r="AB54" s="34">
        <f t="dataTable" ref="AB54:AB64" dt2D="0" dtr="0" r1="J10"/>
        <v>18819.455790474774</v>
      </c>
      <c r="AC54" s="38">
        <f>100*((AB54-$AB$59)/$AB$59)</f>
        <v>18.628404477420137</v>
      </c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119</v>
      </c>
      <c r="P55" s="24">
        <f>SUM(O49:P49)</f>
        <v>8573.2502441328543</v>
      </c>
      <c r="Q55" s="2" t="s">
        <v>3</v>
      </c>
      <c r="R55" s="50">
        <f t="shared" ref="R55:R58" si="34">P55/$F$41</f>
        <v>7.144375203444045E-2</v>
      </c>
      <c r="S55" s="2" t="s">
        <v>4</v>
      </c>
      <c r="T55" s="2"/>
      <c r="U55" s="2"/>
      <c r="V55" s="2"/>
      <c r="W55" s="2"/>
      <c r="X55" s="32"/>
      <c r="Y55" s="2"/>
      <c r="Z55" s="30">
        <f t="shared" si="33"/>
        <v>-40</v>
      </c>
      <c r="AA55" s="33">
        <f t="shared" ref="AA55:AA64" si="35">$AA$53*(1+(-Z55/100))</f>
        <v>0.10149999999999999</v>
      </c>
      <c r="AB55" s="34">
        <v>18228.406056552714</v>
      </c>
      <c r="AC55" s="38">
        <f t="shared" ref="AC55:AC64" si="36">100*((AB55-$AB$59)/$AB$59)</f>
        <v>14.902723581936133</v>
      </c>
      <c r="AD55" s="2"/>
      <c r="AE55" s="2"/>
      <c r="AF55" s="2"/>
      <c r="AG55" s="2"/>
      <c r="AH55" s="2"/>
    </row>
    <row r="56" spans="1:3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98</v>
      </c>
      <c r="P56" s="24">
        <f>SUM(Q49)</f>
        <v>5910.4973392206348</v>
      </c>
      <c r="Q56" s="2" t="s">
        <v>3</v>
      </c>
      <c r="R56" s="50">
        <f t="shared" si="34"/>
        <v>4.9254144493505292E-2</v>
      </c>
      <c r="S56" s="2" t="s">
        <v>4</v>
      </c>
      <c r="T56" s="2"/>
      <c r="U56" s="2"/>
      <c r="V56" s="2"/>
      <c r="W56" s="2"/>
      <c r="X56" s="32"/>
      <c r="Y56" s="2"/>
      <c r="Z56" s="30">
        <f t="shared" si="33"/>
        <v>-30</v>
      </c>
      <c r="AA56" s="33">
        <f t="shared" si="35"/>
        <v>9.425E-2</v>
      </c>
      <c r="AB56" s="34">
        <v>17637.356322630651</v>
      </c>
      <c r="AC56" s="38">
        <f t="shared" si="36"/>
        <v>11.177042686452106</v>
      </c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120</v>
      </c>
      <c r="P57" s="24">
        <f>SUM(R49:S49)</f>
        <v>3022.4894522344016</v>
      </c>
      <c r="Q57" s="2" t="s">
        <v>3</v>
      </c>
      <c r="R57" s="50">
        <f t="shared" si="34"/>
        <v>2.5187412101953348E-2</v>
      </c>
      <c r="S57" s="2" t="s">
        <v>4</v>
      </c>
      <c r="T57" s="2"/>
      <c r="U57" s="2"/>
      <c r="V57" s="2"/>
      <c r="W57" s="2"/>
      <c r="X57" s="32"/>
      <c r="Y57" s="2"/>
      <c r="Z57" s="30">
        <f t="shared" si="33"/>
        <v>-20</v>
      </c>
      <c r="AA57" s="33">
        <f t="shared" si="35"/>
        <v>8.6999999999999994E-2</v>
      </c>
      <c r="AB57" s="34">
        <v>17046.306588708583</v>
      </c>
      <c r="AC57" s="38">
        <f t="shared" si="36"/>
        <v>7.4513617909680558</v>
      </c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122</v>
      </c>
      <c r="P58" s="24">
        <f>T49</f>
        <v>-1642.0299147234334</v>
      </c>
      <c r="Q58" s="2" t="s">
        <v>3</v>
      </c>
      <c r="R58" s="50">
        <f t="shared" si="34"/>
        <v>-1.3683582622695279E-2</v>
      </c>
      <c r="S58" s="2" t="s">
        <v>4</v>
      </c>
      <c r="T58" s="2"/>
      <c r="U58" s="2"/>
      <c r="V58" s="2"/>
      <c r="W58" s="2"/>
      <c r="X58" s="32"/>
      <c r="Y58" s="2"/>
      <c r="Z58" s="30">
        <f t="shared" si="33"/>
        <v>-10</v>
      </c>
      <c r="AA58" s="33">
        <f t="shared" si="35"/>
        <v>7.9750000000000001E-2</v>
      </c>
      <c r="AB58" s="34">
        <v>16455.256854786519</v>
      </c>
      <c r="AC58" s="38">
        <f t="shared" si="36"/>
        <v>3.7256808954840279</v>
      </c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2"/>
      <c r="Y59" s="2"/>
      <c r="Z59" s="43">
        <v>0</v>
      </c>
      <c r="AA59" s="90">
        <f t="shared" si="35"/>
        <v>7.2499999999999995E-2</v>
      </c>
      <c r="AB59" s="45">
        <v>15864.207120864456</v>
      </c>
      <c r="AC59" s="73">
        <f t="shared" si="36"/>
        <v>0</v>
      </c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15864.207120864456</v>
      </c>
      <c r="Q60" s="1" t="s">
        <v>3</v>
      </c>
      <c r="R60" s="51">
        <f>SUM(R55:R58)</f>
        <v>0.13220172600720381</v>
      </c>
      <c r="S60" s="1" t="s">
        <v>4</v>
      </c>
      <c r="T60" s="2"/>
      <c r="U60" s="2"/>
      <c r="V60" s="2"/>
      <c r="W60" s="2"/>
      <c r="X60" s="32"/>
      <c r="Y60" s="2"/>
      <c r="Z60" s="30">
        <f t="shared" ref="Z60:Z64" si="37">Z59+10</f>
        <v>10</v>
      </c>
      <c r="AA60" s="33">
        <f t="shared" si="35"/>
        <v>6.5250000000000002E-2</v>
      </c>
      <c r="AB60" s="34">
        <v>15273.157386942397</v>
      </c>
      <c r="AC60" s="38">
        <f t="shared" si="36"/>
        <v>-3.7256808954839933</v>
      </c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2"/>
      <c r="Y61" s="2"/>
      <c r="Z61" s="30">
        <f t="shared" si="37"/>
        <v>20</v>
      </c>
      <c r="AA61" s="33">
        <f t="shared" si="35"/>
        <v>5.7999999999999996E-2</v>
      </c>
      <c r="AB61" s="34">
        <v>14682.107653020332</v>
      </c>
      <c r="AC61" s="38">
        <f t="shared" si="36"/>
        <v>-7.4513617909680319</v>
      </c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2"/>
      <c r="Y62" s="2"/>
      <c r="Z62" s="30">
        <f t="shared" si="37"/>
        <v>30</v>
      </c>
      <c r="AA62" s="33">
        <f t="shared" si="35"/>
        <v>5.0749999999999997E-2</v>
      </c>
      <c r="AB62" s="34">
        <v>14091.057919098268</v>
      </c>
      <c r="AC62" s="38">
        <f t="shared" si="36"/>
        <v>-11.17704268645206</v>
      </c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2"/>
      <c r="Y63" s="2"/>
      <c r="Z63" s="30">
        <f t="shared" si="37"/>
        <v>40</v>
      </c>
      <c r="AA63" s="33">
        <f t="shared" si="35"/>
        <v>4.3499999999999997E-2</v>
      </c>
      <c r="AB63" s="34">
        <v>13500.008185176201</v>
      </c>
      <c r="AC63" s="38">
        <f t="shared" si="36"/>
        <v>-14.902723581936112</v>
      </c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2"/>
      <c r="Y64" s="2"/>
      <c r="Z64" s="30">
        <f t="shared" si="37"/>
        <v>50</v>
      </c>
      <c r="AA64" s="33">
        <f t="shared" si="35"/>
        <v>3.6249999999999998E-2</v>
      </c>
      <c r="AB64" s="34">
        <v>12908.958451254141</v>
      </c>
      <c r="AC64" s="38">
        <f t="shared" si="36"/>
        <v>-18.628404477420116</v>
      </c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A277-CB6D-48DF-9B47-12807F8F80E9}">
  <dimension ref="A2:U45"/>
  <sheetViews>
    <sheetView tabSelected="1" topLeftCell="Q18" zoomScale="110" zoomScaleNormal="110" workbookViewId="0">
      <selection activeCell="AC26" sqref="AC26"/>
    </sheetView>
  </sheetViews>
  <sheetFormatPr defaultRowHeight="15" x14ac:dyDescent="0.25"/>
  <cols>
    <col min="1" max="1" width="22" style="75" customWidth="1"/>
    <col min="2" max="2" width="21.7109375" style="75" customWidth="1"/>
    <col min="3" max="8" width="19.140625" style="76" customWidth="1"/>
    <col min="9" max="9" width="10.140625" style="75" customWidth="1"/>
    <col min="10" max="14" width="9.140625" style="75"/>
    <col min="15" max="15" width="21.140625" style="75" customWidth="1"/>
    <col min="16" max="20" width="18.42578125" style="75" customWidth="1"/>
    <col min="21" max="16384" width="9.140625" style="75"/>
  </cols>
  <sheetData>
    <row r="2" spans="1:21" ht="18.75" x14ac:dyDescent="0.3">
      <c r="A2" s="74" t="s">
        <v>197</v>
      </c>
      <c r="B2" s="75" t="s">
        <v>185</v>
      </c>
      <c r="O2" s="77" t="s">
        <v>186</v>
      </c>
    </row>
    <row r="3" spans="1:21" x14ac:dyDescent="0.25">
      <c r="B3" s="94" t="s">
        <v>201</v>
      </c>
      <c r="C3" s="95" t="s">
        <v>200</v>
      </c>
      <c r="D3" s="95"/>
      <c r="E3" s="95"/>
      <c r="F3" s="95"/>
      <c r="G3" s="95"/>
      <c r="H3" s="79"/>
      <c r="O3" s="94" t="s">
        <v>201</v>
      </c>
      <c r="P3" s="96" t="s">
        <v>200</v>
      </c>
      <c r="Q3" s="96"/>
      <c r="R3" s="96"/>
      <c r="S3" s="96"/>
      <c r="T3" s="80"/>
      <c r="U3" s="81"/>
    </row>
    <row r="4" spans="1:21" x14ac:dyDescent="0.25">
      <c r="B4" s="94"/>
      <c r="C4" s="80" t="s">
        <v>188</v>
      </c>
      <c r="D4" s="80" t="s">
        <v>189</v>
      </c>
      <c r="E4" s="80" t="s">
        <v>34</v>
      </c>
      <c r="F4" s="80" t="s">
        <v>190</v>
      </c>
      <c r="G4" s="80" t="s">
        <v>191</v>
      </c>
      <c r="H4" s="80" t="str">
        <f>'E-Bus PH'!AR21</f>
        <v>Energy Efficiency</v>
      </c>
      <c r="O4" s="94"/>
      <c r="P4" s="78" t="s">
        <v>188</v>
      </c>
      <c r="Q4" s="78" t="s">
        <v>125</v>
      </c>
      <c r="R4" s="78" t="s">
        <v>191</v>
      </c>
      <c r="S4" s="78" t="s">
        <v>190</v>
      </c>
      <c r="T4" s="78" t="str">
        <f>'ICE-Bus PH'!AO21</f>
        <v>Energy Efficiency</v>
      </c>
    </row>
    <row r="5" spans="1:21" x14ac:dyDescent="0.25">
      <c r="B5" s="82">
        <f>'E-Bus PH'!AL22</f>
        <v>-50</v>
      </c>
      <c r="C5" s="83">
        <f>'E-Bus PH'!AM22</f>
        <v>-37.526835728605462</v>
      </c>
      <c r="D5" s="83">
        <f>'E-Bus PH'!AN22</f>
        <v>-8.4047434883020085</v>
      </c>
      <c r="E5" s="83">
        <f>'E-Bus PH'!AO22</f>
        <v>-4.3982742959392294</v>
      </c>
      <c r="F5" s="83">
        <f>'E-Bus PH'!AP22</f>
        <v>-19.310651482083109</v>
      </c>
      <c r="G5" s="83">
        <f>'E-Bus PH'!AQ22</f>
        <v>-10.90590799378108</v>
      </c>
      <c r="H5" s="83">
        <f>'E-Bus PH'!AR22</f>
        <v>8.4047434883020653</v>
      </c>
      <c r="O5" s="82">
        <f>'ICE-Bus PH'!AJ22</f>
        <v>-50</v>
      </c>
      <c r="P5" s="84">
        <f>'ICE-Bus PH'!AK22</f>
        <v>-24.880796568730311</v>
      </c>
      <c r="Q5" s="84">
        <f>'ICE-Bus PH'!AL22</f>
        <v>-19.151839096402703</v>
      </c>
      <c r="R5" s="84">
        <f>'ICE-Bus PH'!AM22</f>
        <v>-10.632590521486717</v>
      </c>
      <c r="S5" s="84">
        <f>'ICE-Bus PH'!AN22</f>
        <v>-29.784429617889419</v>
      </c>
      <c r="T5" s="84">
        <f>'ICE-Bus PH'!AO22</f>
        <v>19.151839096402718</v>
      </c>
    </row>
    <row r="6" spans="1:21" x14ac:dyDescent="0.25">
      <c r="B6" s="82">
        <f>'E-Bus PH'!AL23</f>
        <v>-40</v>
      </c>
      <c r="C6" s="83">
        <f>'E-Bus PH'!AM23</f>
        <v>-30.021468582884381</v>
      </c>
      <c r="D6" s="83">
        <f>'E-Bus PH'!AN23</f>
        <v>-6.7237947906416045</v>
      </c>
      <c r="E6" s="83">
        <f>'E-Bus PH'!AO23</f>
        <v>-3.5186194367513912</v>
      </c>
      <c r="F6" s="83">
        <f>'E-Bus PH'!AP23</f>
        <v>-15.448521185666458</v>
      </c>
      <c r="G6" s="83">
        <f>'E-Bus PH'!AQ23</f>
        <v>-8.7247263950248364</v>
      </c>
      <c r="H6" s="83">
        <f>'E-Bus PH'!AR23</f>
        <v>6.7237947906416222</v>
      </c>
      <c r="O6" s="82">
        <f>'ICE-Bus PH'!AJ23</f>
        <v>-40</v>
      </c>
      <c r="P6" s="84">
        <f>'ICE-Bus PH'!AK23</f>
        <v>-19.904637254984241</v>
      </c>
      <c r="Q6" s="84">
        <f>'ICE-Bus PH'!AL23</f>
        <v>-15.321471277122168</v>
      </c>
      <c r="R6" s="84">
        <f>'ICE-Bus PH'!AM23</f>
        <v>-8.5060724171893529</v>
      </c>
      <c r="S6" s="84">
        <f>'ICE-Bus PH'!AN23</f>
        <v>-23.827543694311508</v>
      </c>
      <c r="T6" s="84">
        <f>'ICE-Bus PH'!AO23</f>
        <v>15.321471277122154</v>
      </c>
    </row>
    <row r="7" spans="1:21" x14ac:dyDescent="0.25">
      <c r="B7" s="82">
        <f>'E-Bus PH'!AL24</f>
        <v>-30</v>
      </c>
      <c r="C7" s="83">
        <f>'E-Bus PH'!AM24</f>
        <v>-22.516101437163265</v>
      </c>
      <c r="D7" s="83">
        <f>'E-Bus PH'!AN24</f>
        <v>-5.0428460929811987</v>
      </c>
      <c r="E7" s="83">
        <f>'E-Bus PH'!AO24</f>
        <v>-2.638964577563534</v>
      </c>
      <c r="F7" s="83">
        <f>'E-Bus PH'!AP24</f>
        <v>-11.586390889249868</v>
      </c>
      <c r="G7" s="83">
        <f>'E-Bus PH'!AQ24</f>
        <v>-6.5435447962686331</v>
      </c>
      <c r="H7" s="83">
        <f>'E-Bus PH'!AR24</f>
        <v>5.0428460929812546</v>
      </c>
      <c r="O7" s="82">
        <f>'ICE-Bus PH'!AJ24</f>
        <v>-30</v>
      </c>
      <c r="P7" s="84">
        <f>'ICE-Bus PH'!AK24</f>
        <v>-14.928477941238205</v>
      </c>
      <c r="Q7" s="84">
        <f>'ICE-Bus PH'!AL24</f>
        <v>-11.491103457841618</v>
      </c>
      <c r="R7" s="84">
        <f>'ICE-Bus PH'!AM24</f>
        <v>-6.3795543128919867</v>
      </c>
      <c r="S7" s="84">
        <f>'ICE-Bus PH'!AN24</f>
        <v>-17.870657770733654</v>
      </c>
      <c r="T7" s="84">
        <f>'ICE-Bus PH'!AO24</f>
        <v>11.49110345784165</v>
      </c>
    </row>
    <row r="8" spans="1:21" x14ac:dyDescent="0.25">
      <c r="B8" s="82">
        <f>'E-Bus PH'!AL25</f>
        <v>-20</v>
      </c>
      <c r="C8" s="83">
        <f>'E-Bus PH'!AM25</f>
        <v>-15.010734291442185</v>
      </c>
      <c r="D8" s="83">
        <f>'E-Bus PH'!AN25</f>
        <v>-3.3618973953207925</v>
      </c>
      <c r="E8" s="83">
        <f>'E-Bus PH'!AO25</f>
        <v>-1.7593097183757143</v>
      </c>
      <c r="F8" s="83">
        <f>'E-Bus PH'!AP25</f>
        <v>-7.7242605928332386</v>
      </c>
      <c r="G8" s="83">
        <f>'E-Bus PH'!AQ25</f>
        <v>-4.362363197512428</v>
      </c>
      <c r="H8" s="83">
        <f>'E-Bus PH'!AR25</f>
        <v>3.3618973953208489</v>
      </c>
      <c r="O8" s="82">
        <f>'ICE-Bus PH'!AJ25</f>
        <v>-20</v>
      </c>
      <c r="P8" s="84">
        <f>'ICE-Bus PH'!AK25</f>
        <v>-9.9523186274921365</v>
      </c>
      <c r="Q8" s="84">
        <f>'ICE-Bus PH'!AL25</f>
        <v>-7.6607356385610998</v>
      </c>
      <c r="R8" s="84">
        <f>'ICE-Bus PH'!AM25</f>
        <v>-4.2530362085946845</v>
      </c>
      <c r="S8" s="84">
        <f>'ICE-Bus PH'!AN25</f>
        <v>-11.913771847155784</v>
      </c>
      <c r="T8" s="84">
        <f>'ICE-Bus PH'!AO25</f>
        <v>7.6607356385610839</v>
      </c>
    </row>
    <row r="9" spans="1:21" x14ac:dyDescent="0.25">
      <c r="B9" s="82">
        <f>'E-Bus PH'!AL26</f>
        <v>-10</v>
      </c>
      <c r="C9" s="83">
        <f>'E-Bus PH'!AM26</f>
        <v>-7.5053671457210731</v>
      </c>
      <c r="D9" s="83">
        <f>'E-Bus PH'!AN26</f>
        <v>-1.6809486976603683</v>
      </c>
      <c r="E9" s="83">
        <f>'E-Bus PH'!AO26</f>
        <v>-0.87965485918783848</v>
      </c>
      <c r="F9" s="83">
        <f>'E-Bus PH'!AP26</f>
        <v>-3.8621302964166104</v>
      </c>
      <c r="G9" s="83">
        <f>'E-Bus PH'!AQ26</f>
        <v>-2.1811815987562233</v>
      </c>
      <c r="H9" s="83">
        <f>'E-Bus PH'!AR26</f>
        <v>1.6809486976604056</v>
      </c>
      <c r="O9" s="82">
        <f>'ICE-Bus PH'!AJ26</f>
        <v>-10</v>
      </c>
      <c r="P9" s="84">
        <f>'ICE-Bus PH'!AK26</f>
        <v>-4.9761593137460833</v>
      </c>
      <c r="Q9" s="84">
        <f>'ICE-Bus PH'!AL26</f>
        <v>-3.8303678192805344</v>
      </c>
      <c r="R9" s="84">
        <f>'ICE-Bus PH'!AM26</f>
        <v>-2.1265181042973498</v>
      </c>
      <c r="S9" s="84">
        <f>'ICE-Bus PH'!AN26</f>
        <v>-5.9568859235778842</v>
      </c>
      <c r="T9" s="84">
        <f>'ICE-Bus PH'!AO26</f>
        <v>3.8303678192805499</v>
      </c>
    </row>
    <row r="10" spans="1:21" x14ac:dyDescent="0.25">
      <c r="B10" s="82">
        <f>'E-Bus PH'!AL27</f>
        <v>0</v>
      </c>
      <c r="C10" s="83">
        <f>'E-Bus PH'!AM27</f>
        <v>0</v>
      </c>
      <c r="D10" s="83">
        <f>'E-Bus PH'!AN27</f>
        <v>0</v>
      </c>
      <c r="E10" s="83">
        <f>'E-Bus PH'!AO27</f>
        <v>0</v>
      </c>
      <c r="F10" s="83">
        <f>'E-Bus PH'!AP27</f>
        <v>0</v>
      </c>
      <c r="G10" s="83">
        <f>'E-Bus PH'!AQ27</f>
        <v>0</v>
      </c>
      <c r="H10" s="83">
        <f>'E-Bus PH'!AR27</f>
        <v>0</v>
      </c>
      <c r="O10" s="82">
        <f>'ICE-Bus PH'!AJ27</f>
        <v>0</v>
      </c>
      <c r="P10" s="84">
        <f>'ICE-Bus PH'!AK27</f>
        <v>0</v>
      </c>
      <c r="Q10" s="84">
        <f>'ICE-Bus PH'!AL27</f>
        <v>0</v>
      </c>
      <c r="R10" s="84">
        <f>'ICE-Bus PH'!AM27</f>
        <v>0</v>
      </c>
      <c r="S10" s="84">
        <f>'ICE-Bus PH'!AN27</f>
        <v>0</v>
      </c>
      <c r="T10" s="84">
        <f>'ICE-Bus PH'!AO27</f>
        <v>0</v>
      </c>
    </row>
    <row r="11" spans="1:21" x14ac:dyDescent="0.25">
      <c r="B11" s="82">
        <f>'E-Bus PH'!AL28</f>
        <v>10</v>
      </c>
      <c r="C11" s="83">
        <f>'E-Bus PH'!AM28</f>
        <v>7.5053671457211104</v>
      </c>
      <c r="D11" s="83">
        <f>'E-Bus PH'!AN28</f>
        <v>1.6809486976604056</v>
      </c>
      <c r="E11" s="83">
        <f>'E-Bus PH'!AO28</f>
        <v>0.87965485918789466</v>
      </c>
      <c r="F11" s="83">
        <f>'E-Bus PH'!AP28</f>
        <v>3.8621302964166668</v>
      </c>
      <c r="G11" s="83">
        <f>'E-Bus PH'!AQ28</f>
        <v>2.181181598756242</v>
      </c>
      <c r="H11" s="83">
        <f>'E-Bus PH'!AR28</f>
        <v>-1.6809486976603683</v>
      </c>
      <c r="O11" s="82">
        <f>'ICE-Bus PH'!AJ28</f>
        <v>10</v>
      </c>
      <c r="P11" s="84">
        <f>'ICE-Bus PH'!AK28</f>
        <v>4.976159313746038</v>
      </c>
      <c r="Q11" s="84">
        <f>'ICE-Bus PH'!AL28</f>
        <v>3.8303678192805499</v>
      </c>
      <c r="R11" s="84">
        <f>'ICE-Bus PH'!AM28</f>
        <v>2.1265181042973653</v>
      </c>
      <c r="S11" s="84">
        <f>'ICE-Bus PH'!AN28</f>
        <v>5.9568859235778842</v>
      </c>
      <c r="T11" s="84">
        <f>'ICE-Bus PH'!AO28</f>
        <v>-3.8303678192805344</v>
      </c>
    </row>
    <row r="12" spans="1:21" x14ac:dyDescent="0.25">
      <c r="B12" s="82">
        <f>'E-Bus PH'!AL29</f>
        <v>20</v>
      </c>
      <c r="C12" s="83">
        <f>'E-Bus PH'!AM29</f>
        <v>15.010734291442185</v>
      </c>
      <c r="D12" s="83">
        <f>'E-Bus PH'!AN29</f>
        <v>3.3618973953208489</v>
      </c>
      <c r="E12" s="83">
        <f>'E-Bus PH'!AO29</f>
        <v>1.7593097183757143</v>
      </c>
      <c r="F12" s="83">
        <f>'E-Bus PH'!AP29</f>
        <v>7.7242605928332955</v>
      </c>
      <c r="G12" s="83">
        <f>'E-Bus PH'!AQ29</f>
        <v>4.3623631975124466</v>
      </c>
      <c r="H12" s="83">
        <f>'E-Bus PH'!AR29</f>
        <v>-3.3618973953207925</v>
      </c>
      <c r="O12" s="82">
        <f>'ICE-Bus PH'!AJ29</f>
        <v>20</v>
      </c>
      <c r="P12" s="84">
        <f>'ICE-Bus PH'!AK29</f>
        <v>9.9523186274920903</v>
      </c>
      <c r="Q12" s="84">
        <f>'ICE-Bus PH'!AL29</f>
        <v>7.6607356385610839</v>
      </c>
      <c r="R12" s="84">
        <f>'ICE-Bus PH'!AM29</f>
        <v>4.2530362085946694</v>
      </c>
      <c r="S12" s="84">
        <f>'ICE-Bus PH'!AN29</f>
        <v>11.913771847155754</v>
      </c>
      <c r="T12" s="84">
        <f>'ICE-Bus PH'!AO29</f>
        <v>-7.6607356385610998</v>
      </c>
    </row>
    <row r="13" spans="1:21" x14ac:dyDescent="0.25">
      <c r="B13" s="82">
        <f>'E-Bus PH'!AL30</f>
        <v>30</v>
      </c>
      <c r="C13" s="83">
        <f>'E-Bus PH'!AM30</f>
        <v>22.516101437163297</v>
      </c>
      <c r="D13" s="83">
        <f>'E-Bus PH'!AN30</f>
        <v>5.0428460929812546</v>
      </c>
      <c r="E13" s="83">
        <f>'E-Bus PH'!AO30</f>
        <v>2.6389645775635526</v>
      </c>
      <c r="F13" s="83">
        <f>'E-Bus PH'!AP30</f>
        <v>11.586390889249868</v>
      </c>
      <c r="G13" s="83">
        <f>'E-Bus PH'!AQ30</f>
        <v>6.5435447962686704</v>
      </c>
      <c r="H13" s="83">
        <f>'E-Bus PH'!AR30</f>
        <v>-5.0428460929811987</v>
      </c>
      <c r="O13" s="82">
        <f>'ICE-Bus PH'!AJ30</f>
        <v>30</v>
      </c>
      <c r="P13" s="84">
        <f>'ICE-Bus PH'!AK30</f>
        <v>14.928477941238159</v>
      </c>
      <c r="Q13" s="84">
        <f>'ICE-Bus PH'!AL30</f>
        <v>11.491103457841618</v>
      </c>
      <c r="R13" s="84">
        <f>'ICE-Bus PH'!AM30</f>
        <v>6.3795543128920036</v>
      </c>
      <c r="S13" s="84">
        <f>'ICE-Bus PH'!AN30</f>
        <v>17.870657770733622</v>
      </c>
      <c r="T13" s="84">
        <f>'ICE-Bus PH'!AO30</f>
        <v>-11.491103457841618</v>
      </c>
    </row>
    <row r="14" spans="1:21" x14ac:dyDescent="0.25">
      <c r="B14" s="82">
        <f>'E-Bus PH'!AL31</f>
        <v>40</v>
      </c>
      <c r="C14" s="83">
        <f>'E-Bus PH'!AM31</f>
        <v>30.021468582884385</v>
      </c>
      <c r="D14" s="83">
        <f>'E-Bus PH'!AN31</f>
        <v>6.7237947906416222</v>
      </c>
      <c r="E14" s="83">
        <f>'E-Bus PH'!AO31</f>
        <v>3.5186194367514099</v>
      </c>
      <c r="F14" s="83">
        <f>'E-Bus PH'!AP31</f>
        <v>15.448521185666497</v>
      </c>
      <c r="G14" s="83">
        <f>'E-Bus PH'!AQ31</f>
        <v>8.7247263950248932</v>
      </c>
      <c r="H14" s="83">
        <f>'E-Bus PH'!AR31</f>
        <v>-6.7237947906416045</v>
      </c>
      <c r="O14" s="82">
        <f>'ICE-Bus PH'!AJ31</f>
        <v>40</v>
      </c>
      <c r="P14" s="84">
        <f>'ICE-Bus PH'!AK31</f>
        <v>19.904637254984198</v>
      </c>
      <c r="Q14" s="84">
        <f>'ICE-Bus PH'!AL31</f>
        <v>15.321471277122154</v>
      </c>
      <c r="R14" s="84">
        <f>'ICE-Bus PH'!AM31</f>
        <v>8.5060724171893529</v>
      </c>
      <c r="S14" s="84">
        <f>'ICE-Bus PH'!AN31</f>
        <v>23.827543694311537</v>
      </c>
      <c r="T14" s="84">
        <f>'ICE-Bus PH'!AO31</f>
        <v>-15.321471277122168</v>
      </c>
    </row>
    <row r="15" spans="1:21" x14ac:dyDescent="0.25">
      <c r="B15" s="82">
        <f>'E-Bus PH'!AL32</f>
        <v>50</v>
      </c>
      <c r="C15" s="83">
        <f>'E-Bus PH'!AM32</f>
        <v>37.526835728605498</v>
      </c>
      <c r="D15" s="83">
        <f>'E-Bus PH'!AN32</f>
        <v>8.4047434883020653</v>
      </c>
      <c r="E15" s="83">
        <f>'E-Bus PH'!AO32</f>
        <v>4.3982742959392667</v>
      </c>
      <c r="F15" s="83">
        <f>'E-Bus PH'!AP32</f>
        <v>19.310651482083145</v>
      </c>
      <c r="G15" s="83">
        <f>'E-Bus PH'!AQ32</f>
        <v>10.905907993781117</v>
      </c>
      <c r="H15" s="83">
        <f>'E-Bus PH'!AR32</f>
        <v>-8.4047434883020085</v>
      </c>
      <c r="O15" s="82">
        <f>'ICE-Bus PH'!AJ32</f>
        <v>50</v>
      </c>
      <c r="P15" s="84">
        <f>'ICE-Bus PH'!AK32</f>
        <v>24.880796568730279</v>
      </c>
      <c r="Q15" s="84">
        <f>'ICE-Bus PH'!AL32</f>
        <v>19.151839096402671</v>
      </c>
      <c r="R15" s="84">
        <f>'ICE-Bus PH'!AM32</f>
        <v>10.632590521486687</v>
      </c>
      <c r="S15" s="84">
        <f>'ICE-Bus PH'!AN32</f>
        <v>29.784429617889419</v>
      </c>
      <c r="T15" s="84">
        <f>'ICE-Bus PH'!AO32</f>
        <v>-19.151839096402703</v>
      </c>
    </row>
    <row r="17" spans="2:20" x14ac:dyDescent="0.25">
      <c r="B17" s="77" t="s">
        <v>192</v>
      </c>
      <c r="O17" s="77" t="s">
        <v>193</v>
      </c>
    </row>
    <row r="18" spans="2:20" x14ac:dyDescent="0.25">
      <c r="B18" s="94" t="s">
        <v>201</v>
      </c>
      <c r="C18" s="95" t="s">
        <v>200</v>
      </c>
      <c r="D18" s="95"/>
      <c r="E18" s="95"/>
      <c r="F18" s="95"/>
      <c r="G18" s="95"/>
      <c r="H18" s="79"/>
      <c r="O18" s="94" t="s">
        <v>201</v>
      </c>
      <c r="P18" s="96" t="s">
        <v>200</v>
      </c>
      <c r="Q18" s="96"/>
      <c r="R18" s="96"/>
      <c r="S18" s="96"/>
      <c r="T18" s="80"/>
    </row>
    <row r="19" spans="2:20" x14ac:dyDescent="0.25">
      <c r="B19" s="94"/>
      <c r="C19" s="80" t="s">
        <v>188</v>
      </c>
      <c r="D19" s="80" t="s">
        <v>189</v>
      </c>
      <c r="E19" s="80" t="s">
        <v>34</v>
      </c>
      <c r="F19" s="80" t="s">
        <v>190</v>
      </c>
      <c r="G19" s="80" t="s">
        <v>191</v>
      </c>
      <c r="H19" s="80" t="str">
        <f>'E-Truck PH'!AR21</f>
        <v>Energy Efficiency</v>
      </c>
      <c r="O19" s="94"/>
      <c r="P19" s="78" t="s">
        <v>188</v>
      </c>
      <c r="Q19" s="78" t="s">
        <v>125</v>
      </c>
      <c r="R19" s="78" t="s">
        <v>191</v>
      </c>
      <c r="S19" s="78" t="s">
        <v>190</v>
      </c>
      <c r="T19" s="78" t="str">
        <f>'ICE-Truck PH'!AO21</f>
        <v>Energy Efficiency</v>
      </c>
    </row>
    <row r="20" spans="2:20" x14ac:dyDescent="0.25">
      <c r="B20" s="82">
        <f>'E-Truck PH'!AL22</f>
        <v>-50</v>
      </c>
      <c r="C20" s="83">
        <f>'E-Truck PH'!AM22</f>
        <v>-33.728680087345815</v>
      </c>
      <c r="D20" s="83">
        <f>'E-Truck PH'!AN22</f>
        <v>-7.165703705348589</v>
      </c>
      <c r="E20" s="83">
        <f>'E-Truck PH'!AO22</f>
        <v>-4.9150442760341404</v>
      </c>
      <c r="F20" s="83">
        <f>'E-Truck PH'!AP22</f>
        <v>-24.866981448890428</v>
      </c>
      <c r="G20" s="83">
        <f>'E-Truck PH'!AQ22</f>
        <v>-8.2959277144739669</v>
      </c>
      <c r="H20" s="83">
        <f>'E-Truck PH'!AR22</f>
        <v>7.1657037053486308</v>
      </c>
      <c r="O20" s="82">
        <f>'ICE-Truck PH'!AJ22</f>
        <v>-50</v>
      </c>
      <c r="P20" s="84">
        <f>'ICE-Truck PH'!AK22</f>
        <v>-8.8804607534060427</v>
      </c>
      <c r="Q20" s="84">
        <f>'ICE-Truck PH'!AL22</f>
        <v>-23.498778760194682</v>
      </c>
      <c r="R20" s="84">
        <f>'ICE-Truck PH'!AM22</f>
        <v>-19.208199567836736</v>
      </c>
      <c r="S20" s="84">
        <f>'ICE-Truck PH'!AN22</f>
        <v>-42.706978328031411</v>
      </c>
      <c r="T20" s="84">
        <f>'ICE-Truck PH'!AO22</f>
        <v>23.498778760194682</v>
      </c>
    </row>
    <row r="21" spans="2:20" x14ac:dyDescent="0.25">
      <c r="B21" s="82">
        <f>'E-Truck PH'!AL23</f>
        <v>-40</v>
      </c>
      <c r="C21" s="83">
        <f>'E-Truck PH'!AM23</f>
        <v>-26.982944069876652</v>
      </c>
      <c r="D21" s="83">
        <f>'E-Truck PH'!AN23</f>
        <v>-5.7325629642788885</v>
      </c>
      <c r="E21" s="83">
        <f>'E-Truck PH'!AO23</f>
        <v>-3.9320354208273165</v>
      </c>
      <c r="F21" s="83">
        <f>'E-Truck PH'!AP23</f>
        <v>-21.558194972675285</v>
      </c>
      <c r="G21" s="83">
        <f>'E-Truck PH'!AQ23</f>
        <v>-6.6367421715791739</v>
      </c>
      <c r="H21" s="83">
        <f>'E-Truck PH'!AR23</f>
        <v>5.7325629642789293</v>
      </c>
      <c r="O21" s="82">
        <f>'ICE-Truck PH'!AJ23</f>
        <v>-40</v>
      </c>
      <c r="P21" s="84">
        <f>'ICE-Truck PH'!AK23</f>
        <v>-7.1043686027248514</v>
      </c>
      <c r="Q21" s="84">
        <f>'ICE-Truck PH'!AL23</f>
        <v>-18.799023008155753</v>
      </c>
      <c r="R21" s="84">
        <f>'ICE-Truck PH'!AM23</f>
        <v>-15.366559654269391</v>
      </c>
      <c r="S21" s="84">
        <f>'ICE-Truck PH'!AN23</f>
        <v>-34.16558266242513</v>
      </c>
      <c r="T21" s="84">
        <f>'ICE-Truck PH'!AO23</f>
        <v>18.799023008155739</v>
      </c>
    </row>
    <row r="22" spans="2:20" x14ac:dyDescent="0.25">
      <c r="B22" s="82">
        <f>'E-Truck PH'!AL24</f>
        <v>-30</v>
      </c>
      <c r="C22" s="83">
        <f>'E-Truck PH'!AM24</f>
        <v>-20.237208052407496</v>
      </c>
      <c r="D22" s="83">
        <f>'E-Truck PH'!AN24</f>
        <v>-4.2994222232091452</v>
      </c>
      <c r="E22" s="83">
        <f>'E-Truck PH'!AO24</f>
        <v>-2.9490265656204717</v>
      </c>
      <c r="F22" s="83">
        <f>'E-Truck PH'!AP24</f>
        <v>-14.498856433818666</v>
      </c>
      <c r="G22" s="83">
        <f>'E-Truck PH'!AQ24</f>
        <v>-4.9775566286844013</v>
      </c>
      <c r="H22" s="83">
        <f>'E-Truck PH'!AR24</f>
        <v>4.2994222232092074</v>
      </c>
      <c r="O22" s="82">
        <f>'ICE-Truck PH'!AJ24</f>
        <v>-30</v>
      </c>
      <c r="P22" s="84">
        <f>'ICE-Truck PH'!AK24</f>
        <v>-5.3282764520436308</v>
      </c>
      <c r="Q22" s="84">
        <f>'ICE-Truck PH'!AL24</f>
        <v>-14.099267256116798</v>
      </c>
      <c r="R22" s="84">
        <f>'ICE-Truck PH'!AM24</f>
        <v>-11.524919740702048</v>
      </c>
      <c r="S22" s="84">
        <f>'ICE-Truck PH'!AN24</f>
        <v>-25.62418699681886</v>
      </c>
      <c r="T22" s="84">
        <f>'ICE-Truck PH'!AO24</f>
        <v>14.099267256116812</v>
      </c>
    </row>
    <row r="23" spans="2:20" x14ac:dyDescent="0.25">
      <c r="B23" s="82">
        <f>'E-Truck PH'!AL25</f>
        <v>-20</v>
      </c>
      <c r="C23" s="83">
        <f>'E-Truck PH'!AM25</f>
        <v>-13.49147203493831</v>
      </c>
      <c r="D23" s="83">
        <f>'E-Truck PH'!AN25</f>
        <v>-2.8662814821394234</v>
      </c>
      <c r="E23" s="83">
        <f>'E-Truck PH'!AO25</f>
        <v>-1.9660177104136687</v>
      </c>
      <c r="F23" s="83">
        <f>'E-Truck PH'!AP25</f>
        <v>-10.784560559962349</v>
      </c>
      <c r="G23" s="83">
        <f>'E-Truck PH'!AQ25</f>
        <v>-3.3183710857895869</v>
      </c>
      <c r="H23" s="83">
        <f>'E-Truck PH'!AR25</f>
        <v>2.8662814821394647</v>
      </c>
      <c r="O23" s="82">
        <f>'ICE-Truck PH'!AJ25</f>
        <v>-20</v>
      </c>
      <c r="P23" s="84">
        <f>'ICE-Truck PH'!AK25</f>
        <v>-3.5521843013624115</v>
      </c>
      <c r="Q23" s="84">
        <f>'ICE-Truck PH'!AL25</f>
        <v>-9.3995115040778696</v>
      </c>
      <c r="R23" s="84">
        <f>'ICE-Truck PH'!AM25</f>
        <v>-7.6832798271347036</v>
      </c>
      <c r="S23" s="84">
        <f>'ICE-Truck PH'!AN25</f>
        <v>-17.082791331212587</v>
      </c>
      <c r="T23" s="84">
        <f>'ICE-Truck PH'!AO25</f>
        <v>9.3995115040778696</v>
      </c>
    </row>
    <row r="24" spans="2:20" x14ac:dyDescent="0.25">
      <c r="B24" s="82">
        <f>'E-Truck PH'!AL26</f>
        <v>-10</v>
      </c>
      <c r="C24" s="83">
        <f>'E-Truck PH'!AM26</f>
        <v>-6.7457360174691434</v>
      </c>
      <c r="D24" s="83">
        <f>'E-Truck PH'!AN26</f>
        <v>-1.4331407410697012</v>
      </c>
      <c r="E24" s="83">
        <f>'E-Truck PH'!AO26</f>
        <v>-0.98300885520682391</v>
      </c>
      <c r="F24" s="83">
        <f>'E-Truck PH'!AP26</f>
        <v>-7.6922342759978442</v>
      </c>
      <c r="G24" s="83">
        <f>'E-Truck PH'!AQ26</f>
        <v>-1.6591855428947935</v>
      </c>
      <c r="H24" s="83">
        <f>'E-Truck PH'!AR26</f>
        <v>1.4331407410697428</v>
      </c>
      <c r="O24" s="82">
        <f>'ICE-Truck PH'!AJ26</f>
        <v>-10</v>
      </c>
      <c r="P24" s="84">
        <f>'ICE-Truck PH'!AK26</f>
        <v>-1.7760921506812199</v>
      </c>
      <c r="Q24" s="84">
        <f>'ICE-Truck PH'!AL26</f>
        <v>-4.6997557520389277</v>
      </c>
      <c r="R24" s="84">
        <f>'ICE-Truck PH'!AM26</f>
        <v>-3.8416399135673442</v>
      </c>
      <c r="S24" s="84">
        <f>'ICE-Truck PH'!AN26</f>
        <v>-8.5413956656062862</v>
      </c>
      <c r="T24" s="84">
        <f>'ICE-Truck PH'!AO26</f>
        <v>4.6997557520389419</v>
      </c>
    </row>
    <row r="25" spans="2:20" x14ac:dyDescent="0.25">
      <c r="B25" s="82">
        <f>'E-Truck PH'!AL27</f>
        <v>0</v>
      </c>
      <c r="C25" s="83">
        <f>'E-Truck PH'!AM27</f>
        <v>0</v>
      </c>
      <c r="D25" s="83">
        <f>'E-Truck PH'!AN27</f>
        <v>0</v>
      </c>
      <c r="E25" s="83">
        <f>'E-Truck PH'!AO27</f>
        <v>0</v>
      </c>
      <c r="F25" s="83">
        <f>'E-Truck PH'!AP27</f>
        <v>0</v>
      </c>
      <c r="G25" s="83">
        <f>'E-Truck PH'!AQ27</f>
        <v>0</v>
      </c>
      <c r="H25" s="83">
        <f>'E-Truck PH'!AR27</f>
        <v>0</v>
      </c>
      <c r="O25" s="82">
        <f>'ICE-Truck PH'!AJ27</f>
        <v>0</v>
      </c>
      <c r="P25" s="84">
        <f>'ICE-Truck PH'!AK27</f>
        <v>0</v>
      </c>
      <c r="Q25" s="84">
        <f>'ICE-Truck PH'!AL27</f>
        <v>0</v>
      </c>
      <c r="R25" s="84">
        <f>'ICE-Truck PH'!AM27</f>
        <v>0</v>
      </c>
      <c r="S25" s="84">
        <f>'ICE-Truck PH'!AN27</f>
        <v>0</v>
      </c>
      <c r="T25" s="84">
        <f>'ICE-Truck PH'!AO27</f>
        <v>0</v>
      </c>
    </row>
    <row r="26" spans="2:20" x14ac:dyDescent="0.25">
      <c r="B26" s="82">
        <f>'E-Truck PH'!AL28</f>
        <v>10</v>
      </c>
      <c r="C26" s="83">
        <f>'E-Truck PH'!AM28</f>
        <v>6.7457360174691647</v>
      </c>
      <c r="D26" s="83">
        <f>'E-Truck PH'!AN28</f>
        <v>1.4331407410697428</v>
      </c>
      <c r="E26" s="83">
        <f>'E-Truck PH'!AO28</f>
        <v>0.98300885520682391</v>
      </c>
      <c r="F26" s="83">
        <f>'E-Truck PH'!AP28</f>
        <v>3.0923262839645362</v>
      </c>
      <c r="G26" s="83">
        <f>'E-Truck PH'!AQ28</f>
        <v>1.6591855428948143</v>
      </c>
      <c r="H26" s="83">
        <f>'E-Truck PH'!AR28</f>
        <v>-1.4331407410697012</v>
      </c>
      <c r="O26" s="82">
        <f>'ICE-Truck PH'!AJ28</f>
        <v>10</v>
      </c>
      <c r="P26" s="84">
        <f>'ICE-Truck PH'!AK28</f>
        <v>1.7760921506812057</v>
      </c>
      <c r="Q26" s="84">
        <f>'ICE-Truck PH'!AL28</f>
        <v>4.6997557520389419</v>
      </c>
      <c r="R26" s="84">
        <f>'ICE-Truck PH'!AM28</f>
        <v>3.8416399135673442</v>
      </c>
      <c r="S26" s="84">
        <f>'ICE-Truck PH'!AN28</f>
        <v>8.5413956656062862</v>
      </c>
      <c r="T26" s="84">
        <f>'ICE-Truck PH'!AO28</f>
        <v>-4.6997557520389277</v>
      </c>
    </row>
    <row r="27" spans="2:20" x14ac:dyDescent="0.25">
      <c r="B27" s="82">
        <f>'E-Truck PH'!AL29</f>
        <v>20</v>
      </c>
      <c r="C27" s="83">
        <f>'E-Truck PH'!AM29</f>
        <v>13.491472034938329</v>
      </c>
      <c r="D27" s="83">
        <f>'E-Truck PH'!AN29</f>
        <v>2.8662814821394647</v>
      </c>
      <c r="E27" s="83">
        <f>'E-Truck PH'!AO29</f>
        <v>1.9660177104136478</v>
      </c>
      <c r="F27" s="83">
        <f>'E-Truck PH'!AP29</f>
        <v>6.184652567929052</v>
      </c>
      <c r="G27" s="83">
        <f>'E-Truck PH'!AQ29</f>
        <v>3.3183710857896078</v>
      </c>
      <c r="H27" s="83">
        <f>'E-Truck PH'!AR29</f>
        <v>-2.8662814821394234</v>
      </c>
      <c r="O27" s="82">
        <f>'ICE-Truck PH'!AJ29</f>
        <v>20</v>
      </c>
      <c r="P27" s="84">
        <f>'ICE-Truck PH'!AK29</f>
        <v>3.5521843013624115</v>
      </c>
      <c r="Q27" s="84">
        <f>'ICE-Truck PH'!AL29</f>
        <v>9.3995115040778696</v>
      </c>
      <c r="R27" s="84">
        <f>'ICE-Truck PH'!AM29</f>
        <v>7.6832798271346885</v>
      </c>
      <c r="S27" s="84">
        <f>'ICE-Truck PH'!AN29</f>
        <v>17.082791331212558</v>
      </c>
      <c r="T27" s="84">
        <f>'ICE-Truck PH'!AO29</f>
        <v>-9.3995115040778696</v>
      </c>
    </row>
    <row r="28" spans="2:20" x14ac:dyDescent="0.25">
      <c r="B28" s="82">
        <f>'E-Truck PH'!AL30</f>
        <v>30</v>
      </c>
      <c r="C28" s="83">
        <f>'E-Truck PH'!AM30</f>
        <v>20.237208052407496</v>
      </c>
      <c r="D28" s="83">
        <f>'E-Truck PH'!AN30</f>
        <v>4.2994222232092074</v>
      </c>
      <c r="E28" s="83">
        <f>'E-Truck PH'!AO30</f>
        <v>2.9490265656204926</v>
      </c>
      <c r="F28" s="83">
        <f>'E-Truck PH'!AP30</f>
        <v>18.487746997846095</v>
      </c>
      <c r="G28" s="83">
        <f>'E-Truck PH'!AQ30</f>
        <v>4.9775566286843809</v>
      </c>
      <c r="H28" s="83">
        <f>'E-Truck PH'!AR30</f>
        <v>-4.2994222232091452</v>
      </c>
      <c r="O28" s="82">
        <f>'ICE-Truck PH'!AJ30</f>
        <v>30</v>
      </c>
      <c r="P28" s="84">
        <f>'ICE-Truck PH'!AK30</f>
        <v>5.3282764520436166</v>
      </c>
      <c r="Q28" s="84">
        <f>'ICE-Truck PH'!AL30</f>
        <v>14.099267256116812</v>
      </c>
      <c r="R28" s="84">
        <f>'ICE-Truck PH'!AM30</f>
        <v>11.524919740702034</v>
      </c>
      <c r="S28" s="84">
        <f>'ICE-Truck PH'!AN30</f>
        <v>25.624186996818832</v>
      </c>
      <c r="T28" s="84">
        <f>'ICE-Truck PH'!AO30</f>
        <v>-14.099267256116812</v>
      </c>
    </row>
    <row r="29" spans="2:20" x14ac:dyDescent="0.25">
      <c r="B29" s="82">
        <f>'E-Truck PH'!AL31</f>
        <v>40</v>
      </c>
      <c r="C29" s="83">
        <f>'E-Truck PH'!AM31</f>
        <v>26.982944069876641</v>
      </c>
      <c r="D29" s="83">
        <f>'E-Truck PH'!AN31</f>
        <v>5.7325629642789293</v>
      </c>
      <c r="E29" s="83">
        <f>'E-Truck PH'!AO31</f>
        <v>3.9320354208273165</v>
      </c>
      <c r="F29" s="83">
        <f>'E-Truck PH'!AP31</f>
        <v>21.580073281810588</v>
      </c>
      <c r="G29" s="83">
        <f>'E-Truck PH'!AQ31</f>
        <v>6.6367421715791952</v>
      </c>
      <c r="H29" s="83">
        <f>'E-Truck PH'!AR31</f>
        <v>-5.7325629642788885</v>
      </c>
      <c r="O29" s="82">
        <f>'ICE-Truck PH'!AJ31</f>
        <v>40</v>
      </c>
      <c r="P29" s="84">
        <f>'ICE-Truck PH'!AK31</f>
        <v>7.104368602724823</v>
      </c>
      <c r="Q29" s="84">
        <f>'ICE-Truck PH'!AL31</f>
        <v>18.799023008155753</v>
      </c>
      <c r="R29" s="84">
        <f>'ICE-Truck PH'!AM31</f>
        <v>15.366559654269363</v>
      </c>
      <c r="S29" s="84">
        <f>'ICE-Truck PH'!AN31</f>
        <v>34.16558266242513</v>
      </c>
      <c r="T29" s="84">
        <f>'ICE-Truck PH'!AO31</f>
        <v>-18.799023008155753</v>
      </c>
    </row>
    <row r="30" spans="2:20" x14ac:dyDescent="0.25">
      <c r="B30" s="82">
        <f>'E-Truck PH'!AL32</f>
        <v>50</v>
      </c>
      <c r="C30" s="83">
        <f>'E-Truck PH'!AM32</f>
        <v>33.728680087345822</v>
      </c>
      <c r="D30" s="83">
        <f>'E-Truck PH'!AN32</f>
        <v>7.1657037053486308</v>
      </c>
      <c r="E30" s="83">
        <f>'E-Truck PH'!AO32</f>
        <v>4.9150442760341404</v>
      </c>
      <c r="F30" s="83">
        <f>'E-Truck PH'!AP32</f>
        <v>24.672399565775084</v>
      </c>
      <c r="G30" s="83">
        <f>'E-Truck PH'!AQ32</f>
        <v>8.2959277144739882</v>
      </c>
      <c r="H30" s="83">
        <f>'E-Truck PH'!AR32</f>
        <v>-7.165703705348589</v>
      </c>
      <c r="O30" s="82">
        <f>'ICE-Truck PH'!AJ32</f>
        <v>50</v>
      </c>
      <c r="P30" s="84">
        <f>'ICE-Truck PH'!AK32</f>
        <v>8.8804607534060267</v>
      </c>
      <c r="Q30" s="84">
        <f>'ICE-Truck PH'!AL32</f>
        <v>23.498778760194639</v>
      </c>
      <c r="R30" s="84">
        <f>'ICE-Truck PH'!AM32</f>
        <v>19.208199567836736</v>
      </c>
      <c r="S30" s="84">
        <f>'ICE-Truck PH'!AN32</f>
        <v>42.706978328031433</v>
      </c>
      <c r="T30" s="84">
        <f>'ICE-Truck PH'!AO32</f>
        <v>-23.498778760194682</v>
      </c>
    </row>
    <row r="32" spans="2:20" x14ac:dyDescent="0.25">
      <c r="B32" s="77" t="s">
        <v>194</v>
      </c>
      <c r="O32" s="77" t="s">
        <v>195</v>
      </c>
    </row>
    <row r="33" spans="2:20" x14ac:dyDescent="0.25">
      <c r="B33" s="94" t="s">
        <v>201</v>
      </c>
      <c r="C33" s="95" t="s">
        <v>200</v>
      </c>
      <c r="D33" s="95"/>
      <c r="E33" s="95"/>
      <c r="F33" s="95"/>
      <c r="G33" s="95"/>
      <c r="H33" s="79"/>
      <c r="O33" s="94" t="s">
        <v>201</v>
      </c>
      <c r="P33" s="96" t="s">
        <v>200</v>
      </c>
      <c r="Q33" s="96"/>
      <c r="R33" s="96"/>
      <c r="S33" s="96"/>
      <c r="T33" s="80"/>
    </row>
    <row r="34" spans="2:20" x14ac:dyDescent="0.25">
      <c r="B34" s="94"/>
      <c r="C34" s="80" t="s">
        <v>188</v>
      </c>
      <c r="D34" s="80" t="s">
        <v>189</v>
      </c>
      <c r="E34" s="80" t="s">
        <v>34</v>
      </c>
      <c r="F34" s="80" t="s">
        <v>190</v>
      </c>
      <c r="G34" s="80" t="s">
        <v>191</v>
      </c>
      <c r="H34" s="80" t="str">
        <f>'E-Cargo PH'!AR21</f>
        <v>Energy Efficiency</v>
      </c>
      <c r="O34" s="94"/>
      <c r="P34" s="78" t="s">
        <v>188</v>
      </c>
      <c r="Q34" s="78" t="s">
        <v>125</v>
      </c>
      <c r="R34" s="78" t="s">
        <v>191</v>
      </c>
      <c r="S34" s="78" t="s">
        <v>190</v>
      </c>
      <c r="T34" s="78" t="str">
        <f>'ICE-Cargo PH'!AO21</f>
        <v>Energy Efficiency</v>
      </c>
    </row>
    <row r="35" spans="2:20" x14ac:dyDescent="0.25">
      <c r="B35" s="85">
        <f>'E-Cargo PH'!AL22</f>
        <v>-50</v>
      </c>
      <c r="C35" s="83">
        <f>'E-Cargo PH'!AM22</f>
        <v>-48.719934541189616</v>
      </c>
      <c r="D35" s="83">
        <f>'E-Cargo PH'!AN22</f>
        <v>-5.8706219181657762</v>
      </c>
      <c r="E35" s="83">
        <f>'E-Cargo PH'!AO22</f>
        <v>-11.640482598356256</v>
      </c>
      <c r="F35" s="83">
        <f>'E-Cargo PH'!AP22</f>
        <v>-9.6529903972722444</v>
      </c>
      <c r="G35" s="83">
        <f>'E-Cargo PH'!AQ22</f>
        <v>-3.7823684791064802</v>
      </c>
      <c r="H35" s="83">
        <f>'E-Cargo PH'!AR22</f>
        <v>5.8706219181658001</v>
      </c>
      <c r="O35" s="82">
        <f>'ICE-Cargo PH'!AJ22</f>
        <v>-50</v>
      </c>
      <c r="P35" s="84">
        <f>'ICE-Cargo PH'!AK22</f>
        <v>-27.020733462491787</v>
      </c>
      <c r="Q35" s="84">
        <f>'ICE-Cargo PH'!AL22</f>
        <v>-18.628404477420116</v>
      </c>
      <c r="R35" s="84">
        <f>'ICE-Cargo PH'!AM22</f>
        <v>-9.2285793511101275</v>
      </c>
      <c r="S35" s="84">
        <f>'ICE-Cargo PH'!AN22</f>
        <v>-27.856983828530268</v>
      </c>
      <c r="T35" s="84">
        <f>'ICE-Cargo PH'!AO22</f>
        <v>18.628404477420137</v>
      </c>
    </row>
    <row r="36" spans="2:20" x14ac:dyDescent="0.25">
      <c r="B36" s="85">
        <f>'E-Cargo PH'!AL23</f>
        <v>-40</v>
      </c>
      <c r="C36" s="83">
        <f>'E-Cargo PH'!AM23</f>
        <v>-38.975947632951673</v>
      </c>
      <c r="D36" s="83">
        <f>'E-Cargo PH'!AN23</f>
        <v>-4.6964975345326447</v>
      </c>
      <c r="E36" s="83">
        <f>'E-Cargo PH'!AO23</f>
        <v>-9.3123860786849892</v>
      </c>
      <c r="F36" s="83">
        <f>'E-Cargo PH'!AP23</f>
        <v>-7.7223923178177998</v>
      </c>
      <c r="G36" s="83">
        <f>'E-Cargo PH'!AQ23</f>
        <v>-3.0258947832851675</v>
      </c>
      <c r="H36" s="83">
        <f>'E-Cargo PH'!AR23</f>
        <v>4.6964975345326447</v>
      </c>
      <c r="O36" s="82">
        <f>'ICE-Cargo PH'!AJ23</f>
        <v>-40</v>
      </c>
      <c r="P36" s="84">
        <f>'ICE-Cargo PH'!AK23</f>
        <v>-21.616586769993422</v>
      </c>
      <c r="Q36" s="84">
        <f>'ICE-Cargo PH'!AL23</f>
        <v>-14.902723581936112</v>
      </c>
      <c r="R36" s="84">
        <f>'ICE-Cargo PH'!AM23</f>
        <v>-7.3828634808880924</v>
      </c>
      <c r="S36" s="84">
        <f>'ICE-Cargo PH'!AN23</f>
        <v>-22.285587062824217</v>
      </c>
      <c r="T36" s="84">
        <f>'ICE-Cargo PH'!AO23</f>
        <v>14.902723581936133</v>
      </c>
    </row>
    <row r="37" spans="2:20" x14ac:dyDescent="0.25">
      <c r="B37" s="85">
        <f>'E-Cargo PH'!AL24</f>
        <v>-30</v>
      </c>
      <c r="C37" s="83">
        <f>'E-Cargo PH'!AM24</f>
        <v>-29.231960724713762</v>
      </c>
      <c r="D37" s="83">
        <f>'E-Cargo PH'!AN24</f>
        <v>-3.5223731508995133</v>
      </c>
      <c r="E37" s="83">
        <f>'E-Cargo PH'!AO24</f>
        <v>-6.9842895590137362</v>
      </c>
      <c r="F37" s="83">
        <f>'E-Cargo PH'!AP24</f>
        <v>-5.7917942383633561</v>
      </c>
      <c r="G37" s="83">
        <f>'E-Cargo PH'!AQ24</f>
        <v>-2.2694210874638787</v>
      </c>
      <c r="H37" s="83">
        <f>'E-Cargo PH'!AR24</f>
        <v>3.5223731508994898</v>
      </c>
      <c r="O37" s="82">
        <f>'ICE-Cargo PH'!AJ24</f>
        <v>-30</v>
      </c>
      <c r="P37" s="84">
        <f>'ICE-Cargo PH'!AK24</f>
        <v>-16.212440077495067</v>
      </c>
      <c r="Q37" s="84">
        <f>'ICE-Cargo PH'!AL24</f>
        <v>-11.17704268645206</v>
      </c>
      <c r="R37" s="84">
        <f>'ICE-Cargo PH'!AM24</f>
        <v>-5.5371476106660698</v>
      </c>
      <c r="S37" s="84">
        <f>'ICE-Cargo PH'!AN24</f>
        <v>-16.714190297118165</v>
      </c>
      <c r="T37" s="84">
        <f>'ICE-Cargo PH'!AO24</f>
        <v>11.177042686452106</v>
      </c>
    </row>
    <row r="38" spans="2:20" x14ac:dyDescent="0.25">
      <c r="B38" s="85">
        <f>'E-Cargo PH'!AL25</f>
        <v>-20</v>
      </c>
      <c r="C38" s="83">
        <f>'E-Cargo PH'!AM25</f>
        <v>-19.487973816475826</v>
      </c>
      <c r="D38" s="83">
        <f>'E-Cargo PH'!AN25</f>
        <v>-2.3482487672663104</v>
      </c>
      <c r="E38" s="83">
        <f>'E-Cargo PH'!AO25</f>
        <v>-4.6561930393424831</v>
      </c>
      <c r="F38" s="83">
        <f>'E-Cargo PH'!AP25</f>
        <v>-3.8611961589088883</v>
      </c>
      <c r="G38" s="83">
        <f>'E-Cargo PH'!AQ25</f>
        <v>-1.5129473916425777</v>
      </c>
      <c r="H38" s="83">
        <f>'E-Cargo PH'!AR25</f>
        <v>2.3482487672663579</v>
      </c>
      <c r="O38" s="82">
        <f>'ICE-Cargo PH'!AJ25</f>
        <v>-20</v>
      </c>
      <c r="P38" s="84">
        <f>'ICE-Cargo PH'!AK25</f>
        <v>-10.808293384996711</v>
      </c>
      <c r="Q38" s="84">
        <f>'ICE-Cargo PH'!AL25</f>
        <v>-7.4513617909680319</v>
      </c>
      <c r="R38" s="84">
        <f>'ICE-Cargo PH'!AM25</f>
        <v>-3.6914317404440462</v>
      </c>
      <c r="S38" s="84">
        <f>'ICE-Cargo PH'!AN25</f>
        <v>-11.142793531412103</v>
      </c>
      <c r="T38" s="84">
        <f>'ICE-Cargo PH'!AO25</f>
        <v>7.4513617909680558</v>
      </c>
    </row>
    <row r="39" spans="2:20" x14ac:dyDescent="0.25">
      <c r="B39" s="85">
        <f>'E-Cargo PH'!AL26</f>
        <v>-10</v>
      </c>
      <c r="C39" s="83">
        <f>'E-Cargo PH'!AM26</f>
        <v>-9.7439869082378898</v>
      </c>
      <c r="D39" s="83">
        <f>'E-Cargo PH'!AN26</f>
        <v>-1.1741243836331314</v>
      </c>
      <c r="E39" s="83">
        <f>'E-Cargo PH'!AO26</f>
        <v>-2.3280965196712295</v>
      </c>
      <c r="F39" s="83">
        <f>'E-Cargo PH'!AP26</f>
        <v>-1.9305980794544442</v>
      </c>
      <c r="G39" s="83">
        <f>'E-Cargo PH'!AQ26</f>
        <v>-0.75647369582128887</v>
      </c>
      <c r="H39" s="83">
        <f>'E-Cargo PH'!AR26</f>
        <v>1.1741243836331552</v>
      </c>
      <c r="O39" s="82">
        <f>'ICE-Cargo PH'!AJ26</f>
        <v>-10</v>
      </c>
      <c r="P39" s="84">
        <f>'ICE-Cargo PH'!AK26</f>
        <v>-5.4041466924983439</v>
      </c>
      <c r="Q39" s="84">
        <f>'ICE-Cargo PH'!AL26</f>
        <v>-3.7256808954839933</v>
      </c>
      <c r="R39" s="84">
        <f>'ICE-Cargo PH'!AM26</f>
        <v>-1.8457158702220231</v>
      </c>
      <c r="S39" s="84">
        <f>'ICE-Cargo PH'!AN26</f>
        <v>-5.5713967657060399</v>
      </c>
      <c r="T39" s="84">
        <f>'ICE-Cargo PH'!AO26</f>
        <v>3.7256808954840279</v>
      </c>
    </row>
    <row r="40" spans="2:20" x14ac:dyDescent="0.25">
      <c r="B40" s="85">
        <f>'E-Cargo PH'!AL27</f>
        <v>0</v>
      </c>
      <c r="C40" s="83">
        <f>'E-Cargo PH'!AM27</f>
        <v>0</v>
      </c>
      <c r="D40" s="83">
        <f>'E-Cargo PH'!AN27</f>
        <v>0</v>
      </c>
      <c r="E40" s="83">
        <f>'E-Cargo PH'!AO27</f>
        <v>0</v>
      </c>
      <c r="F40" s="83">
        <f>'E-Cargo PH'!AP27</f>
        <v>0</v>
      </c>
      <c r="G40" s="83">
        <f>'E-Cargo PH'!AQ27</f>
        <v>0</v>
      </c>
      <c r="H40" s="83">
        <f>'E-Cargo PH'!AR27</f>
        <v>0</v>
      </c>
      <c r="O40" s="82">
        <f>'ICE-Cargo PH'!AJ27</f>
        <v>0</v>
      </c>
      <c r="P40" s="84">
        <f>'ICE-Cargo PH'!AK27</f>
        <v>0</v>
      </c>
      <c r="Q40" s="84">
        <f>'ICE-Cargo PH'!AL27</f>
        <v>0</v>
      </c>
      <c r="R40" s="84">
        <f>'ICE-Cargo PH'!AM27</f>
        <v>0</v>
      </c>
      <c r="S40" s="84">
        <f>'ICE-Cargo PH'!AN27</f>
        <v>0</v>
      </c>
      <c r="T40" s="84">
        <f>'ICE-Cargo PH'!AO27</f>
        <v>0</v>
      </c>
    </row>
    <row r="41" spans="2:20" x14ac:dyDescent="0.25">
      <c r="B41" s="85">
        <f>'E-Cargo PH'!AL28</f>
        <v>10</v>
      </c>
      <c r="C41" s="83">
        <f>'E-Cargo PH'!AM28</f>
        <v>9.743986908237936</v>
      </c>
      <c r="D41" s="83">
        <f>'E-Cargo PH'!AN28</f>
        <v>1.1741243836331552</v>
      </c>
      <c r="E41" s="83">
        <f>'E-Cargo PH'!AO28</f>
        <v>2.3280965196712531</v>
      </c>
      <c r="F41" s="83">
        <f>'E-Cargo PH'!AP28</f>
        <v>1.9305980794544442</v>
      </c>
      <c r="G41" s="83">
        <f>'E-Cargo PH'!AQ28</f>
        <v>0.75647369582128887</v>
      </c>
      <c r="H41" s="83">
        <f>'E-Cargo PH'!AR28</f>
        <v>-1.1741243836331314</v>
      </c>
      <c r="O41" s="82">
        <f>'ICE-Cargo PH'!AJ28</f>
        <v>10</v>
      </c>
      <c r="P41" s="84">
        <f>'ICE-Cargo PH'!AK28</f>
        <v>5.404146692498367</v>
      </c>
      <c r="Q41" s="84">
        <f>'ICE-Cargo PH'!AL28</f>
        <v>3.7256808954840279</v>
      </c>
      <c r="R41" s="84">
        <f>'ICE-Cargo PH'!AM28</f>
        <v>1.8457158702220464</v>
      </c>
      <c r="S41" s="84">
        <f>'ICE-Cargo PH'!AN28</f>
        <v>5.5713967657060852</v>
      </c>
      <c r="T41" s="84">
        <f>'ICE-Cargo PH'!AO28</f>
        <v>-3.7256808954839933</v>
      </c>
    </row>
    <row r="42" spans="2:20" x14ac:dyDescent="0.25">
      <c r="B42" s="85">
        <f>'E-Cargo PH'!AL29</f>
        <v>20</v>
      </c>
      <c r="C42" s="83">
        <f>'E-Cargo PH'!AM29</f>
        <v>19.487973816475851</v>
      </c>
      <c r="D42" s="83">
        <f>'E-Cargo PH'!AN29</f>
        <v>2.3482487672663579</v>
      </c>
      <c r="E42" s="83">
        <f>'E-Cargo PH'!AO29</f>
        <v>4.6561930393425062</v>
      </c>
      <c r="F42" s="83">
        <f>'E-Cargo PH'!AP29</f>
        <v>3.8611961589088648</v>
      </c>
      <c r="G42" s="83">
        <f>'E-Cargo PH'!AQ29</f>
        <v>1.512947391642554</v>
      </c>
      <c r="H42" s="83">
        <f>'E-Cargo PH'!AR29</f>
        <v>-2.3482487672663104</v>
      </c>
      <c r="O42" s="82">
        <f>'ICE-Cargo PH'!AJ29</f>
        <v>20</v>
      </c>
      <c r="P42" s="84">
        <f>'ICE-Cargo PH'!AK29</f>
        <v>10.808293384996711</v>
      </c>
      <c r="Q42" s="84">
        <f>'ICE-Cargo PH'!AL29</f>
        <v>7.4513617909680558</v>
      </c>
      <c r="R42" s="84">
        <f>'ICE-Cargo PH'!AM29</f>
        <v>3.6914317404440697</v>
      </c>
      <c r="S42" s="84">
        <f>'ICE-Cargo PH'!AN29</f>
        <v>11.142793531412124</v>
      </c>
      <c r="T42" s="84">
        <f>'ICE-Cargo PH'!AO29</f>
        <v>-7.4513617909680319</v>
      </c>
    </row>
    <row r="43" spans="2:20" x14ac:dyDescent="0.25">
      <c r="B43" s="85">
        <f>'E-Cargo PH'!AL30</f>
        <v>30</v>
      </c>
      <c r="C43" s="83">
        <f>'E-Cargo PH'!AM30</f>
        <v>29.231960724713762</v>
      </c>
      <c r="D43" s="83">
        <f>'E-Cargo PH'!AN30</f>
        <v>3.5223731508994898</v>
      </c>
      <c r="E43" s="83">
        <f>'E-Cargo PH'!AO30</f>
        <v>6.9842895590137717</v>
      </c>
      <c r="F43" s="83">
        <f>'E-Cargo PH'!AP30</f>
        <v>14.648733976752803</v>
      </c>
      <c r="G43" s="83">
        <f>'E-Cargo PH'!AQ30</f>
        <v>2.2694210874638547</v>
      </c>
      <c r="H43" s="83">
        <f>'E-Cargo PH'!AR30</f>
        <v>-3.5223731508995133</v>
      </c>
      <c r="O43" s="82">
        <f>'ICE-Cargo PH'!AJ30</f>
        <v>30</v>
      </c>
      <c r="P43" s="84">
        <f>'ICE-Cargo PH'!AK30</f>
        <v>16.212440077495078</v>
      </c>
      <c r="Q43" s="84">
        <f>'ICE-Cargo PH'!AL30</f>
        <v>11.177042686452106</v>
      </c>
      <c r="R43" s="84">
        <f>'ICE-Cargo PH'!AM30</f>
        <v>5.5371476106660813</v>
      </c>
      <c r="S43" s="84">
        <f>'ICE-Cargo PH'!AN30</f>
        <v>16.714190297118165</v>
      </c>
      <c r="T43" s="84">
        <f>'ICE-Cargo PH'!AO30</f>
        <v>-11.17704268645206</v>
      </c>
    </row>
    <row r="44" spans="2:20" x14ac:dyDescent="0.25">
      <c r="B44" s="85">
        <f>'E-Cargo PH'!AL31</f>
        <v>40</v>
      </c>
      <c r="C44" s="83">
        <f>'E-Cargo PH'!AM31</f>
        <v>38.975947632951701</v>
      </c>
      <c r="D44" s="83">
        <f>'E-Cargo PH'!AN31</f>
        <v>4.6964975345326208</v>
      </c>
      <c r="E44" s="83">
        <f>'E-Cargo PH'!AO31</f>
        <v>9.3123860786849892</v>
      </c>
      <c r="F44" s="83">
        <f>'E-Cargo PH'!AP31</f>
        <v>17.022179043126677</v>
      </c>
      <c r="G44" s="83">
        <f>'E-Cargo PH'!AQ31</f>
        <v>3.0258947832851675</v>
      </c>
      <c r="H44" s="83">
        <f>'E-Cargo PH'!AR31</f>
        <v>-4.6964975345326447</v>
      </c>
      <c r="O44" s="82">
        <f>'ICE-Cargo PH'!AJ31</f>
        <v>40</v>
      </c>
      <c r="P44" s="84">
        <f>'ICE-Cargo PH'!AK31</f>
        <v>21.616586769993422</v>
      </c>
      <c r="Q44" s="84">
        <f>'ICE-Cargo PH'!AL31</f>
        <v>14.902723581936133</v>
      </c>
      <c r="R44" s="84">
        <f>'ICE-Cargo PH'!AM31</f>
        <v>7.3828634808881164</v>
      </c>
      <c r="S44" s="84">
        <f>'ICE-Cargo PH'!AN31</f>
        <v>22.285587062824206</v>
      </c>
      <c r="T44" s="84">
        <f>'ICE-Cargo PH'!AO31</f>
        <v>-14.902723581936112</v>
      </c>
    </row>
    <row r="45" spans="2:20" x14ac:dyDescent="0.25">
      <c r="B45" s="85">
        <f>'E-Cargo PH'!AL32</f>
        <v>50</v>
      </c>
      <c r="C45" s="83">
        <f>'E-Cargo PH'!AM32</f>
        <v>48.719934541189637</v>
      </c>
      <c r="D45" s="83">
        <f>'E-Cargo PH'!AN32</f>
        <v>5.8706219181658232</v>
      </c>
      <c r="E45" s="83">
        <f>'E-Cargo PH'!AO32</f>
        <v>11.640482598356231</v>
      </c>
      <c r="F45" s="83">
        <f>'E-Cargo PH'!AP32</f>
        <v>19.4177664588466</v>
      </c>
      <c r="G45" s="83">
        <f>'E-Cargo PH'!AQ32</f>
        <v>3.7823684791064327</v>
      </c>
      <c r="H45" s="83">
        <f>'E-Cargo PH'!AR32</f>
        <v>-5.8706219181657762</v>
      </c>
      <c r="O45" s="82">
        <f>'ICE-Cargo PH'!AJ32</f>
        <v>50</v>
      </c>
      <c r="P45" s="84">
        <f>'ICE-Cargo PH'!AK32</f>
        <v>27.020733462491787</v>
      </c>
      <c r="Q45" s="84">
        <f>'ICE-Cargo PH'!AL32</f>
        <v>18.628404477420137</v>
      </c>
      <c r="R45" s="84">
        <f>'ICE-Cargo PH'!AM32</f>
        <v>9.2285793511101506</v>
      </c>
      <c r="S45" s="84">
        <f>'ICE-Cargo PH'!AN32</f>
        <v>27.856983828530268</v>
      </c>
      <c r="T45" s="84">
        <f>'ICE-Cargo PH'!AO32</f>
        <v>-18.628404477420116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A17" sqref="A17:A19"/>
    </sheetView>
  </sheetViews>
  <sheetFormatPr defaultColWidth="14.42578125" defaultRowHeight="15" customHeight="1" x14ac:dyDescent="0.25"/>
  <cols>
    <col min="1" max="1" width="47.42578125" customWidth="1"/>
    <col min="2" max="2" width="8.7109375" customWidth="1"/>
    <col min="3" max="3" width="11" customWidth="1"/>
    <col min="4" max="26" width="8.7109375" customWidth="1"/>
  </cols>
  <sheetData>
    <row r="1" spans="1:3" x14ac:dyDescent="0.25">
      <c r="A1" s="26" t="s">
        <v>142</v>
      </c>
      <c r="B1" s="26" t="s">
        <v>143</v>
      </c>
      <c r="C1" s="26" t="s">
        <v>144</v>
      </c>
    </row>
    <row r="2" spans="1:3" x14ac:dyDescent="0.25">
      <c r="A2" s="26" t="s">
        <v>172</v>
      </c>
      <c r="B2" s="26" t="s">
        <v>145</v>
      </c>
    </row>
    <row r="3" spans="1:3" x14ac:dyDescent="0.25">
      <c r="A3" s="26" t="s">
        <v>44</v>
      </c>
      <c r="B3" s="26" t="s">
        <v>145</v>
      </c>
    </row>
    <row r="4" spans="1:3" x14ac:dyDescent="0.25">
      <c r="A4" s="26" t="s">
        <v>50</v>
      </c>
      <c r="B4" s="26" t="s">
        <v>145</v>
      </c>
    </row>
    <row r="5" spans="1:3" x14ac:dyDescent="0.25">
      <c r="A5" s="26" t="s">
        <v>54</v>
      </c>
      <c r="B5" s="26" t="s">
        <v>145</v>
      </c>
    </row>
    <row r="6" spans="1:3" x14ac:dyDescent="0.25">
      <c r="A6" s="26" t="s">
        <v>59</v>
      </c>
      <c r="B6" s="26" t="s">
        <v>145</v>
      </c>
    </row>
    <row r="7" spans="1:3" x14ac:dyDescent="0.25">
      <c r="A7" s="26" t="s">
        <v>146</v>
      </c>
      <c r="B7" s="26" t="s">
        <v>147</v>
      </c>
      <c r="C7" s="26" t="s">
        <v>148</v>
      </c>
    </row>
    <row r="8" spans="1:3" x14ac:dyDescent="0.25">
      <c r="A8" s="26" t="s">
        <v>63</v>
      </c>
      <c r="B8" s="26" t="s">
        <v>145</v>
      </c>
    </row>
    <row r="9" spans="1:3" x14ac:dyDescent="0.25">
      <c r="A9" s="26" t="s">
        <v>149</v>
      </c>
    </row>
    <row r="10" spans="1:3" x14ac:dyDescent="0.25">
      <c r="A10" s="26" t="s">
        <v>181</v>
      </c>
      <c r="B10" s="26" t="s">
        <v>150</v>
      </c>
    </row>
    <row r="11" spans="1:3" x14ac:dyDescent="0.25">
      <c r="A11" s="26" t="s">
        <v>151</v>
      </c>
      <c r="B11" s="26" t="s">
        <v>145</v>
      </c>
    </row>
    <row r="12" spans="1:3" x14ac:dyDescent="0.25">
      <c r="A12" s="26" t="s">
        <v>152</v>
      </c>
    </row>
    <row r="13" spans="1:3" x14ac:dyDescent="0.25">
      <c r="A13" s="26" t="s">
        <v>153</v>
      </c>
    </row>
    <row r="17" spans="1:1" ht="15" customHeight="1" x14ac:dyDescent="0.25">
      <c r="A17" s="61" t="s">
        <v>154</v>
      </c>
    </row>
    <row r="18" spans="1:1" ht="15" customHeight="1" x14ac:dyDescent="0.25">
      <c r="A18" s="61" t="s">
        <v>155</v>
      </c>
    </row>
    <row r="19" spans="1:1" ht="15" customHeight="1" x14ac:dyDescent="0.25">
      <c r="A19" s="61" t="s">
        <v>156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E-Bus PH</vt:lpstr>
      <vt:lpstr>ICE-Bus PH</vt:lpstr>
      <vt:lpstr>E-Truck PH</vt:lpstr>
      <vt:lpstr>ICE-Truck PH</vt:lpstr>
      <vt:lpstr>E-Cargo PH</vt:lpstr>
      <vt:lpstr>ICE-Cargo PH</vt:lpstr>
      <vt:lpstr>Sensitivity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2024-09-30T04:25:44Z</dcterms:modified>
</cp:coreProperties>
</file>