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2" ContentType="application/binary"/>
  <Override PartName="/xl/commentsmeta1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92" documentId="13_ncr:1_{DEF5A16B-CE10-4A86-845E-613F03A941F6}" xr6:coauthVersionLast="47" xr6:coauthVersionMax="47" xr10:uidLastSave="{85C654E5-F473-453F-8B01-0ACF92776042}"/>
  <bookViews>
    <workbookView xWindow="-120" yWindow="-120" windowWidth="29040" windowHeight="16440" firstSheet="4" activeTab="6" xr2:uid="{00000000-000D-0000-FFFF-FFFF00000000}"/>
  </bookViews>
  <sheets>
    <sheet name="E-Bus SG" sheetId="1" r:id="rId1"/>
    <sheet name="ICE-Bus SG" sheetId="3" r:id="rId2"/>
    <sheet name="E-Truck SG" sheetId="2" r:id="rId3"/>
    <sheet name="ICE-Truck SG" sheetId="4" r:id="rId4"/>
    <sheet name="E-Cargo SG" sheetId="5" r:id="rId5"/>
    <sheet name="ICE-Cargo SG" sheetId="6" r:id="rId6"/>
    <sheet name="Sensitivity" sheetId="8" r:id="rId7"/>
  </sheets>
  <externalReferences>
    <externalReference r:id="rId8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CKnUupEkPbp0qHt+/DJxGevQNIWu8CAHMMQ/yCrMj8k="/>
    </ext>
  </extLst>
</workbook>
</file>

<file path=xl/calcChain.xml><?xml version="1.0" encoding="utf-8"?>
<calcChain xmlns="http://schemas.openxmlformats.org/spreadsheetml/2006/main">
  <c r="AB59" i="6" l="1"/>
  <c r="AB74" i="5"/>
  <c r="AB58" i="4"/>
  <c r="AB59" i="4"/>
  <c r="AB74" i="2"/>
  <c r="AB59" i="3"/>
  <c r="AB74" i="1"/>
  <c r="T34" i="8"/>
  <c r="AP21" i="6"/>
  <c r="AD64" i="6"/>
  <c r="AP32" i="6" s="1"/>
  <c r="T45" i="8" s="1"/>
  <c r="AD63" i="6"/>
  <c r="AP31" i="6" s="1"/>
  <c r="T44" i="8" s="1"/>
  <c r="AD62" i="6"/>
  <c r="AP30" i="6" s="1"/>
  <c r="T43" i="8" s="1"/>
  <c r="AD61" i="6"/>
  <c r="AP29" i="6" s="1"/>
  <c r="T42" i="8" s="1"/>
  <c r="AD60" i="6"/>
  <c r="AP28" i="6" s="1"/>
  <c r="T41" i="8" s="1"/>
  <c r="AA60" i="6"/>
  <c r="AA61" i="6" s="1"/>
  <c r="AB61" i="6" s="1"/>
  <c r="AD59" i="6"/>
  <c r="AP27" i="6" s="1"/>
  <c r="T40" i="8" s="1"/>
  <c r="AD58" i="6"/>
  <c r="AP26" i="6" s="1"/>
  <c r="T39" i="8" s="1"/>
  <c r="AA58" i="6"/>
  <c r="AB58" i="6" s="1"/>
  <c r="AD57" i="6"/>
  <c r="AP25" i="6" s="1"/>
  <c r="T38" i="8" s="1"/>
  <c r="AD56" i="6"/>
  <c r="AP24" i="6" s="1"/>
  <c r="T37" i="8" s="1"/>
  <c r="AD55" i="6"/>
  <c r="AP23" i="6" s="1"/>
  <c r="T36" i="8" s="1"/>
  <c r="AD54" i="6"/>
  <c r="AP22" i="6" s="1"/>
  <c r="T35" i="8" s="1"/>
  <c r="AB12" i="6"/>
  <c r="AP21" i="4"/>
  <c r="T19" i="8" s="1"/>
  <c r="AB12" i="4"/>
  <c r="AD64" i="4"/>
  <c r="AP32" i="4" s="1"/>
  <c r="T30" i="8" s="1"/>
  <c r="AD63" i="4"/>
  <c r="AP31" i="4" s="1"/>
  <c r="T29" i="8" s="1"/>
  <c r="AD62" i="4"/>
  <c r="AP30" i="4" s="1"/>
  <c r="T28" i="8" s="1"/>
  <c r="AD61" i="4"/>
  <c r="AP29" i="4" s="1"/>
  <c r="T27" i="8" s="1"/>
  <c r="AD60" i="4"/>
  <c r="AP28" i="4" s="1"/>
  <c r="T26" i="8" s="1"/>
  <c r="AA60" i="4"/>
  <c r="AA61" i="4" s="1"/>
  <c r="AB61" i="4" s="1"/>
  <c r="AD59" i="4"/>
  <c r="AP27" i="4" s="1"/>
  <c r="T25" i="8" s="1"/>
  <c r="AD58" i="4"/>
  <c r="AP26" i="4" s="1"/>
  <c r="T24" i="8" s="1"/>
  <c r="AA58" i="4"/>
  <c r="AD57" i="4"/>
  <c r="AP25" i="4" s="1"/>
  <c r="T23" i="8" s="1"/>
  <c r="AD56" i="4"/>
  <c r="AP24" i="4" s="1"/>
  <c r="T22" i="8" s="1"/>
  <c r="AD55" i="4"/>
  <c r="AP23" i="4" s="1"/>
  <c r="T21" i="8" s="1"/>
  <c r="AD54" i="4"/>
  <c r="AP22" i="4" s="1"/>
  <c r="T20" i="8" s="1"/>
  <c r="T4" i="8"/>
  <c r="AP21" i="3"/>
  <c r="AB12" i="3"/>
  <c r="AD55" i="3"/>
  <c r="AP23" i="3" s="1"/>
  <c r="T6" i="8" s="1"/>
  <c r="AD56" i="3"/>
  <c r="AP24" i="3" s="1"/>
  <c r="T7" i="8" s="1"/>
  <c r="AD57" i="3"/>
  <c r="AP25" i="3" s="1"/>
  <c r="T8" i="8" s="1"/>
  <c r="AD58" i="3"/>
  <c r="AP26" i="3" s="1"/>
  <c r="T9" i="8" s="1"/>
  <c r="AD59" i="3"/>
  <c r="AP27" i="3" s="1"/>
  <c r="T10" i="8" s="1"/>
  <c r="AD60" i="3"/>
  <c r="AP28" i="3" s="1"/>
  <c r="T11" i="8" s="1"/>
  <c r="AD61" i="3"/>
  <c r="AP29" i="3" s="1"/>
  <c r="T12" i="8" s="1"/>
  <c r="AD62" i="3"/>
  <c r="AP30" i="3" s="1"/>
  <c r="T13" i="8" s="1"/>
  <c r="AD63" i="3"/>
  <c r="AP31" i="3" s="1"/>
  <c r="T14" i="8" s="1"/>
  <c r="AD64" i="3"/>
  <c r="AP32" i="3" s="1"/>
  <c r="T15" i="8" s="1"/>
  <c r="AD54" i="3"/>
  <c r="AP22" i="3" s="1"/>
  <c r="T5" i="8" s="1"/>
  <c r="AA60" i="3"/>
  <c r="AA61" i="3" s="1"/>
  <c r="AB61" i="3" s="1"/>
  <c r="AA58" i="3"/>
  <c r="AA57" i="3" s="1"/>
  <c r="AB57" i="3" s="1"/>
  <c r="AQ21" i="5"/>
  <c r="H34" i="8" s="1"/>
  <c r="AA57" i="6" l="1"/>
  <c r="AB58" i="3"/>
  <c r="AB60" i="6"/>
  <c r="AB60" i="4"/>
  <c r="AB60" i="3"/>
  <c r="AA62" i="6"/>
  <c r="AB62" i="6" s="1"/>
  <c r="AA57" i="4"/>
  <c r="AA62" i="4"/>
  <c r="AB62" i="4" s="1"/>
  <c r="AA56" i="3"/>
  <c r="AB56" i="3" s="1"/>
  <c r="AA62" i="3"/>
  <c r="AB62" i="3" s="1"/>
  <c r="AB14" i="5"/>
  <c r="AD79" i="5"/>
  <c r="AQ32" i="5" s="1"/>
  <c r="H45" i="8" s="1"/>
  <c r="AD78" i="5"/>
  <c r="AQ31" i="5" s="1"/>
  <c r="H44" i="8" s="1"/>
  <c r="AD77" i="5"/>
  <c r="AQ30" i="5" s="1"/>
  <c r="H43" i="8" s="1"/>
  <c r="AD76" i="5"/>
  <c r="AQ29" i="5" s="1"/>
  <c r="H42" i="8" s="1"/>
  <c r="AD75" i="5"/>
  <c r="AQ28" i="5" s="1"/>
  <c r="H41" i="8" s="1"/>
  <c r="AA75" i="5"/>
  <c r="AD74" i="5"/>
  <c r="AQ27" i="5" s="1"/>
  <c r="H40" i="8" s="1"/>
  <c r="AD73" i="5"/>
  <c r="AQ26" i="5" s="1"/>
  <c r="H39" i="8" s="1"/>
  <c r="AA73" i="5"/>
  <c r="AB73" i="5" s="1"/>
  <c r="AD72" i="5"/>
  <c r="AQ25" i="5" s="1"/>
  <c r="H38" i="8" s="1"/>
  <c r="AD71" i="5"/>
  <c r="AQ24" i="5" s="1"/>
  <c r="H37" i="8" s="1"/>
  <c r="AD70" i="5"/>
  <c r="AQ23" i="5" s="1"/>
  <c r="H36" i="8" s="1"/>
  <c r="AD69" i="5"/>
  <c r="AQ22" i="5" s="1"/>
  <c r="H35" i="8" s="1"/>
  <c r="AD69" i="2"/>
  <c r="AD70" i="2"/>
  <c r="AD71" i="2"/>
  <c r="AD72" i="2"/>
  <c r="AA73" i="2"/>
  <c r="AD73" i="2"/>
  <c r="AD74" i="2"/>
  <c r="AA75" i="2"/>
  <c r="AB75" i="2" s="1"/>
  <c r="AD75" i="2"/>
  <c r="AD76" i="2"/>
  <c r="AD77" i="2"/>
  <c r="AD78" i="2"/>
  <c r="AD79" i="2"/>
  <c r="AQ21" i="2"/>
  <c r="H19" i="8" s="1"/>
  <c r="AB14" i="2"/>
  <c r="AQ21" i="1"/>
  <c r="H4" i="8" s="1"/>
  <c r="AB14" i="1"/>
  <c r="AD70" i="1"/>
  <c r="AQ23" i="1" s="1"/>
  <c r="H6" i="8" s="1"/>
  <c r="AD71" i="1"/>
  <c r="AQ24" i="1" s="1"/>
  <c r="H7" i="8" s="1"/>
  <c r="AD72" i="1"/>
  <c r="AQ25" i="1" s="1"/>
  <c r="H8" i="8" s="1"/>
  <c r="AD73" i="1"/>
  <c r="AQ26" i="1" s="1"/>
  <c r="H9" i="8" s="1"/>
  <c r="AD74" i="1"/>
  <c r="AQ27" i="1" s="1"/>
  <c r="H10" i="8" s="1"/>
  <c r="AD75" i="1"/>
  <c r="AQ28" i="1" s="1"/>
  <c r="H11" i="8" s="1"/>
  <c r="AD76" i="1"/>
  <c r="AQ29" i="1" s="1"/>
  <c r="H12" i="8" s="1"/>
  <c r="AD77" i="1"/>
  <c r="AQ30" i="1" s="1"/>
  <c r="H13" i="8" s="1"/>
  <c r="AD78" i="1"/>
  <c r="AQ31" i="1" s="1"/>
  <c r="H14" i="8" s="1"/>
  <c r="AD79" i="1"/>
  <c r="AQ32" i="1" s="1"/>
  <c r="H15" i="8" s="1"/>
  <c r="AD69" i="1"/>
  <c r="AQ22" i="1" s="1"/>
  <c r="H5" i="8" s="1"/>
  <c r="AD54" i="1"/>
  <c r="AA76" i="1"/>
  <c r="AA75" i="1"/>
  <c r="AB75" i="1" s="1"/>
  <c r="AA73" i="1"/>
  <c r="AA72" i="5" l="1"/>
  <c r="AA56" i="4"/>
  <c r="AB57" i="4"/>
  <c r="AA72" i="1"/>
  <c r="AB73" i="1"/>
  <c r="AA76" i="2"/>
  <c r="AA77" i="1"/>
  <c r="AB76" i="1"/>
  <c r="AA76" i="5"/>
  <c r="AB76" i="5" s="1"/>
  <c r="AB75" i="5"/>
  <c r="AA72" i="2"/>
  <c r="AB72" i="2" s="1"/>
  <c r="AB73" i="2"/>
  <c r="AB57" i="6"/>
  <c r="AA56" i="6"/>
  <c r="AA63" i="6"/>
  <c r="AB63" i="6" s="1"/>
  <c r="AA63" i="4"/>
  <c r="AB63" i="4" s="1"/>
  <c r="AA55" i="3"/>
  <c r="AB55" i="3" s="1"/>
  <c r="AA63" i="3"/>
  <c r="AB63" i="3" s="1"/>
  <c r="AA77" i="5"/>
  <c r="AB77" i="5" s="1"/>
  <c r="AA71" i="2"/>
  <c r="AB71" i="2" s="1"/>
  <c r="AA55" i="6" l="1"/>
  <c r="AB56" i="6"/>
  <c r="AA77" i="2"/>
  <c r="AB76" i="2"/>
  <c r="AA71" i="1"/>
  <c r="AB72" i="1"/>
  <c r="AA78" i="1"/>
  <c r="AB77" i="1"/>
  <c r="AB56" i="4"/>
  <c r="AA55" i="4"/>
  <c r="AB72" i="5"/>
  <c r="AA71" i="5"/>
  <c r="AA64" i="6"/>
  <c r="AB64" i="6" s="1"/>
  <c r="AA64" i="4"/>
  <c r="AB64" i="4" s="1"/>
  <c r="AA54" i="3"/>
  <c r="AB54" i="3" s="1"/>
  <c r="AA64" i="3"/>
  <c r="AB64" i="3" s="1"/>
  <c r="AA78" i="5"/>
  <c r="AB78" i="5" s="1"/>
  <c r="AA70" i="2"/>
  <c r="AB70" i="2" s="1"/>
  <c r="AA79" i="1" l="1"/>
  <c r="AB79" i="1" s="1"/>
  <c r="AB78" i="1"/>
  <c r="AA70" i="1"/>
  <c r="AB71" i="1"/>
  <c r="AB55" i="6"/>
  <c r="AA54" i="6"/>
  <c r="AB54" i="6" s="1"/>
  <c r="AB71" i="5"/>
  <c r="AA70" i="5"/>
  <c r="AB77" i="2"/>
  <c r="AA78" i="2"/>
  <c r="AB55" i="4"/>
  <c r="AA54" i="4"/>
  <c r="AB54" i="4" s="1"/>
  <c r="AA79" i="5"/>
  <c r="AB79" i="5" s="1"/>
  <c r="AA69" i="2"/>
  <c r="AB69" i="2" s="1"/>
  <c r="AB70" i="1" l="1"/>
  <c r="AA69" i="1"/>
  <c r="AB69" i="1" s="1"/>
  <c r="AB70" i="5"/>
  <c r="AA69" i="5"/>
  <c r="AB69" i="5" s="1"/>
  <c r="AB78" i="2"/>
  <c r="AA79" i="2"/>
  <c r="AB79" i="2" s="1"/>
  <c r="O35" i="8"/>
  <c r="O36" i="8"/>
  <c r="O37" i="8"/>
  <c r="O38" i="8"/>
  <c r="O39" i="8"/>
  <c r="O40" i="8"/>
  <c r="O41" i="8"/>
  <c r="O42" i="8"/>
  <c r="O43" i="8"/>
  <c r="O44" i="8"/>
  <c r="O45" i="8"/>
  <c r="O20" i="8"/>
  <c r="O21" i="8"/>
  <c r="O22" i="8"/>
  <c r="O23" i="8"/>
  <c r="O24" i="8"/>
  <c r="O25" i="8"/>
  <c r="O26" i="8"/>
  <c r="O27" i="8"/>
  <c r="O28" i="8"/>
  <c r="O29" i="8"/>
  <c r="O30" i="8"/>
  <c r="O5" i="8"/>
  <c r="O6" i="8"/>
  <c r="O7" i="8"/>
  <c r="O8" i="8"/>
  <c r="O9" i="8"/>
  <c r="O10" i="8"/>
  <c r="O11" i="8"/>
  <c r="O12" i="8"/>
  <c r="O13" i="8"/>
  <c r="O14" i="8"/>
  <c r="O15" i="8"/>
  <c r="B35" i="8"/>
  <c r="B36" i="8"/>
  <c r="B37" i="8"/>
  <c r="B38" i="8"/>
  <c r="B39" i="8"/>
  <c r="B40" i="8"/>
  <c r="B41" i="8"/>
  <c r="B42" i="8"/>
  <c r="B43" i="8"/>
  <c r="B44" i="8"/>
  <c r="B45" i="8"/>
  <c r="B20" i="8"/>
  <c r="B21" i="8"/>
  <c r="B22" i="8"/>
  <c r="B23" i="8"/>
  <c r="B24" i="8"/>
  <c r="B25" i="8"/>
  <c r="B26" i="8"/>
  <c r="B27" i="8"/>
  <c r="B28" i="8"/>
  <c r="B29" i="8"/>
  <c r="B30" i="8"/>
  <c r="B5" i="8"/>
  <c r="B6" i="8"/>
  <c r="B7" i="8"/>
  <c r="B8" i="8"/>
  <c r="B9" i="8"/>
  <c r="B10" i="8"/>
  <c r="B11" i="8"/>
  <c r="B12" i="8"/>
  <c r="B13" i="8"/>
  <c r="B14" i="8"/>
  <c r="B15" i="8"/>
  <c r="AI64" i="5" l="1"/>
  <c r="AI63" i="5"/>
  <c r="AI62" i="5"/>
  <c r="AI61" i="5"/>
  <c r="AI60" i="5"/>
  <c r="AF60" i="5"/>
  <c r="AF61" i="5" s="1"/>
  <c r="AI59" i="5"/>
  <c r="AG59" i="5"/>
  <c r="AI58" i="5"/>
  <c r="AF58" i="5"/>
  <c r="AG58" i="5" s="1"/>
  <c r="AI57" i="5"/>
  <c r="AI56" i="5"/>
  <c r="AI55" i="5"/>
  <c r="AI54" i="5"/>
  <c r="AI64" i="2"/>
  <c r="AI63" i="2"/>
  <c r="AI62" i="2"/>
  <c r="AI61" i="2"/>
  <c r="AI60" i="2"/>
  <c r="AF60" i="2"/>
  <c r="AF61" i="2" s="1"/>
  <c r="AI59" i="2"/>
  <c r="AG59" i="2"/>
  <c r="AI58" i="2"/>
  <c r="AF58" i="2"/>
  <c r="AG58" i="2" s="1"/>
  <c r="AI57" i="2"/>
  <c r="AI56" i="2"/>
  <c r="AI55" i="2"/>
  <c r="AI54" i="2"/>
  <c r="AG59" i="1"/>
  <c r="AI55" i="1"/>
  <c r="AI56" i="1"/>
  <c r="AI57" i="1"/>
  <c r="AI58" i="1"/>
  <c r="AI59" i="1"/>
  <c r="AI60" i="1"/>
  <c r="AI61" i="1"/>
  <c r="AI62" i="1"/>
  <c r="AI63" i="1"/>
  <c r="AI64" i="1"/>
  <c r="AI54" i="1"/>
  <c r="AF60" i="1"/>
  <c r="AF61" i="1" s="1"/>
  <c r="AF62" i="1" s="1"/>
  <c r="AF63" i="1" s="1"/>
  <c r="AF64" i="1" s="1"/>
  <c r="AG64" i="1" s="1"/>
  <c r="AF58" i="1"/>
  <c r="AF57" i="1" s="1"/>
  <c r="AB13" i="5"/>
  <c r="F47" i="5"/>
  <c r="F45" i="5"/>
  <c r="F46" i="5" s="1"/>
  <c r="F48" i="5" s="1"/>
  <c r="B46" i="5"/>
  <c r="B48" i="5" s="1"/>
  <c r="J26" i="5"/>
  <c r="F49" i="5" s="1"/>
  <c r="F51" i="5" s="1"/>
  <c r="F47" i="2"/>
  <c r="F45" i="2"/>
  <c r="F46" i="2" s="1"/>
  <c r="F48" i="2" s="1"/>
  <c r="B46" i="2"/>
  <c r="B48" i="2" s="1"/>
  <c r="AB9" i="2" s="1"/>
  <c r="J26" i="2"/>
  <c r="F49" i="2" s="1"/>
  <c r="F51" i="2" s="1"/>
  <c r="F47" i="1"/>
  <c r="F45" i="1"/>
  <c r="F46" i="1" s="1"/>
  <c r="F48" i="1" s="1"/>
  <c r="B46" i="1"/>
  <c r="B48" i="1" s="1"/>
  <c r="AB9" i="1" s="1"/>
  <c r="J26" i="1"/>
  <c r="F49" i="1" s="1"/>
  <c r="F51" i="1" s="1"/>
  <c r="J33" i="6"/>
  <c r="AB11" i="6" s="1"/>
  <c r="J44" i="5"/>
  <c r="AB12" i="5" s="1"/>
  <c r="J33" i="4"/>
  <c r="AB11" i="4" s="1"/>
  <c r="J44" i="2"/>
  <c r="AB12" i="2" s="1"/>
  <c r="J33" i="3"/>
  <c r="AB11" i="3" s="1"/>
  <c r="J44" i="1"/>
  <c r="AB12" i="1" s="1"/>
  <c r="P54" i="6"/>
  <c r="AI49" i="6"/>
  <c r="AO32" i="6" s="1"/>
  <c r="S45" i="8" s="1"/>
  <c r="AD49" i="6"/>
  <c r="AN32" i="6" s="1"/>
  <c r="R45" i="8" s="1"/>
  <c r="AI48" i="6"/>
  <c r="AO31" i="6" s="1"/>
  <c r="S44" i="8" s="1"/>
  <c r="AD48" i="6"/>
  <c r="AN31" i="6" s="1"/>
  <c r="R44" i="8" s="1"/>
  <c r="AI47" i="6"/>
  <c r="AO30" i="6" s="1"/>
  <c r="S43" i="8" s="1"/>
  <c r="AD47" i="6"/>
  <c r="AN30" i="6" s="1"/>
  <c r="R43" i="8" s="1"/>
  <c r="AI46" i="6"/>
  <c r="AO29" i="6" s="1"/>
  <c r="S42" i="8" s="1"/>
  <c r="AD46" i="6"/>
  <c r="AN29" i="6" s="1"/>
  <c r="R42" i="8" s="1"/>
  <c r="AI45" i="6"/>
  <c r="AO28" i="6" s="1"/>
  <c r="S41" i="8" s="1"/>
  <c r="AF45" i="6"/>
  <c r="AF46" i="6" s="1"/>
  <c r="AD45" i="6"/>
  <c r="AN28" i="6" s="1"/>
  <c r="R41" i="8" s="1"/>
  <c r="AA45" i="6"/>
  <c r="AA46" i="6" s="1"/>
  <c r="AI44" i="6"/>
  <c r="AO27" i="6" s="1"/>
  <c r="S40" i="8" s="1"/>
  <c r="AG44" i="6"/>
  <c r="AD44" i="6"/>
  <c r="AN27" i="6" s="1"/>
  <c r="R40" i="8" s="1"/>
  <c r="AB44" i="6"/>
  <c r="AI43" i="6"/>
  <c r="AO26" i="6" s="1"/>
  <c r="S39" i="8" s="1"/>
  <c r="AF43" i="6"/>
  <c r="AD43" i="6"/>
  <c r="AN26" i="6" s="1"/>
  <c r="R39" i="8" s="1"/>
  <c r="AA43" i="6"/>
  <c r="AB43" i="6" s="1"/>
  <c r="B43" i="6"/>
  <c r="B44" i="6" s="1"/>
  <c r="AI42" i="6"/>
  <c r="AO25" i="6" s="1"/>
  <c r="S38" i="8" s="1"/>
  <c r="AD42" i="6"/>
  <c r="AN25" i="6" s="1"/>
  <c r="R38" i="8" s="1"/>
  <c r="AI41" i="6"/>
  <c r="AO24" i="6" s="1"/>
  <c r="S37" i="8" s="1"/>
  <c r="AD41" i="6"/>
  <c r="AN24" i="6" s="1"/>
  <c r="R37" i="8" s="1"/>
  <c r="F41" i="6"/>
  <c r="AI40" i="6"/>
  <c r="AO23" i="6" s="1"/>
  <c r="S36" i="8" s="1"/>
  <c r="AD40" i="6"/>
  <c r="AN23" i="6" s="1"/>
  <c r="R36" i="8" s="1"/>
  <c r="J40" i="6"/>
  <c r="AI39" i="6"/>
  <c r="AO22" i="6" s="1"/>
  <c r="S35" i="8" s="1"/>
  <c r="AD39" i="6"/>
  <c r="AN22" i="6" s="1"/>
  <c r="R35" i="8" s="1"/>
  <c r="J39" i="6"/>
  <c r="B39" i="6"/>
  <c r="J38" i="6"/>
  <c r="B38" i="6"/>
  <c r="J37" i="6"/>
  <c r="B37" i="6"/>
  <c r="J36" i="6"/>
  <c r="F36" i="6"/>
  <c r="AB8" i="6" s="1"/>
  <c r="B36" i="6"/>
  <c r="J35" i="6"/>
  <c r="AI34" i="6"/>
  <c r="AL32" i="6" s="1"/>
  <c r="P45" i="8" s="1"/>
  <c r="AD34" i="6"/>
  <c r="AM32" i="6" s="1"/>
  <c r="Q45" i="8" s="1"/>
  <c r="J34" i="6"/>
  <c r="B34" i="6"/>
  <c r="AI33" i="6"/>
  <c r="AL31" i="6" s="1"/>
  <c r="P44" i="8" s="1"/>
  <c r="AD33" i="6"/>
  <c r="AM31" i="6" s="1"/>
  <c r="Q44" i="8" s="1"/>
  <c r="AI32" i="6"/>
  <c r="AL30" i="6" s="1"/>
  <c r="P43" i="8" s="1"/>
  <c r="AD32" i="6"/>
  <c r="AM30" i="6" s="1"/>
  <c r="Q43" i="8" s="1"/>
  <c r="J32" i="6"/>
  <c r="B32" i="6"/>
  <c r="AI31" i="6"/>
  <c r="AL29" i="6" s="1"/>
  <c r="P42" i="8" s="1"/>
  <c r="AD31" i="6"/>
  <c r="AM29" i="6" s="1"/>
  <c r="Q42" i="8" s="1"/>
  <c r="B31" i="6"/>
  <c r="AI30" i="6"/>
  <c r="AL28" i="6" s="1"/>
  <c r="P41" i="8" s="1"/>
  <c r="AF30" i="6"/>
  <c r="AF31" i="6" s="1"/>
  <c r="AF32" i="6" s="1"/>
  <c r="AD30" i="6"/>
  <c r="AM28" i="6" s="1"/>
  <c r="Q41" i="8" s="1"/>
  <c r="AA30" i="6"/>
  <c r="AI29" i="6"/>
  <c r="AL27" i="6" s="1"/>
  <c r="P40" i="8" s="1"/>
  <c r="AG29" i="6"/>
  <c r="AD29" i="6"/>
  <c r="AM27" i="6" s="1"/>
  <c r="Q40" i="8" s="1"/>
  <c r="AB29" i="6"/>
  <c r="AI28" i="6"/>
  <c r="AL26" i="6" s="1"/>
  <c r="P39" i="8" s="1"/>
  <c r="AF28" i="6"/>
  <c r="AG28" i="6" s="1"/>
  <c r="AD28" i="6"/>
  <c r="AM26" i="6" s="1"/>
  <c r="Q39" i="8" s="1"/>
  <c r="AA28" i="6"/>
  <c r="AI27" i="6"/>
  <c r="AL25" i="6" s="1"/>
  <c r="P38" i="8" s="1"/>
  <c r="AD27" i="6"/>
  <c r="AM25" i="6" s="1"/>
  <c r="Q38" i="8" s="1"/>
  <c r="AI26" i="6"/>
  <c r="AL24" i="6" s="1"/>
  <c r="P37" i="8" s="1"/>
  <c r="AD26" i="6"/>
  <c r="AM24" i="6" s="1"/>
  <c r="Q37" i="8" s="1"/>
  <c r="AI25" i="6"/>
  <c r="AL23" i="6" s="1"/>
  <c r="P36" i="8" s="1"/>
  <c r="AD25" i="6"/>
  <c r="AM23" i="6" s="1"/>
  <c r="Q36" i="8" s="1"/>
  <c r="AI24" i="6"/>
  <c r="AL22" i="6" s="1"/>
  <c r="P35" i="8" s="1"/>
  <c r="AD24" i="6"/>
  <c r="AM22" i="6" s="1"/>
  <c r="Q35" i="8" s="1"/>
  <c r="AB10" i="6"/>
  <c r="N10" i="6"/>
  <c r="S9" i="6"/>
  <c r="AD64" i="5"/>
  <c r="AP32" i="5" s="1"/>
  <c r="G45" i="8" s="1"/>
  <c r="AD63" i="5"/>
  <c r="AP31" i="5" s="1"/>
  <c r="G44" i="8" s="1"/>
  <c r="AD62" i="5"/>
  <c r="AP30" i="5" s="1"/>
  <c r="G43" i="8" s="1"/>
  <c r="AD61" i="5"/>
  <c r="AP29" i="5" s="1"/>
  <c r="G42" i="8" s="1"/>
  <c r="AD60" i="5"/>
  <c r="AP28" i="5" s="1"/>
  <c r="G41" i="8" s="1"/>
  <c r="AA60" i="5"/>
  <c r="AA61" i="5" s="1"/>
  <c r="AD59" i="5"/>
  <c r="AP27" i="5" s="1"/>
  <c r="G40" i="8" s="1"/>
  <c r="AB59" i="5"/>
  <c r="AD58" i="5"/>
  <c r="AP26" i="5" s="1"/>
  <c r="G39" i="8" s="1"/>
  <c r="AA58" i="5"/>
  <c r="AB58" i="5" s="1"/>
  <c r="AD57" i="5"/>
  <c r="AP25" i="5" s="1"/>
  <c r="G38" i="8" s="1"/>
  <c r="AD56" i="5"/>
  <c r="AP24" i="5" s="1"/>
  <c r="G37" i="8" s="1"/>
  <c r="AD55" i="5"/>
  <c r="AP23" i="5" s="1"/>
  <c r="G36" i="8" s="1"/>
  <c r="AD54" i="5"/>
  <c r="AP22" i="5" s="1"/>
  <c r="G35" i="8" s="1"/>
  <c r="P54" i="5"/>
  <c r="AI49" i="5"/>
  <c r="AO32" i="5" s="1"/>
  <c r="F45" i="8" s="1"/>
  <c r="AD49" i="5"/>
  <c r="AN32" i="5" s="1"/>
  <c r="E45" i="8" s="1"/>
  <c r="AI48" i="5"/>
  <c r="AO31" i="5" s="1"/>
  <c r="F44" i="8" s="1"/>
  <c r="AD48" i="5"/>
  <c r="AN31" i="5" s="1"/>
  <c r="E44" i="8" s="1"/>
  <c r="AI47" i="5"/>
  <c r="AO30" i="5" s="1"/>
  <c r="F43" i="8" s="1"/>
  <c r="AD47" i="5"/>
  <c r="AN30" i="5" s="1"/>
  <c r="E43" i="8" s="1"/>
  <c r="AI46" i="5"/>
  <c r="AO29" i="5" s="1"/>
  <c r="F42" i="8" s="1"/>
  <c r="AD46" i="5"/>
  <c r="AN29" i="5" s="1"/>
  <c r="E42" i="8" s="1"/>
  <c r="J46" i="5"/>
  <c r="AI45" i="5"/>
  <c r="AO28" i="5" s="1"/>
  <c r="F41" i="8" s="1"/>
  <c r="AF45" i="5"/>
  <c r="AG45" i="5" s="1"/>
  <c r="AD45" i="5"/>
  <c r="AN28" i="5" s="1"/>
  <c r="E41" i="8" s="1"/>
  <c r="AA45" i="5"/>
  <c r="AB45" i="5" s="1"/>
  <c r="J45" i="5"/>
  <c r="B45" i="5"/>
  <c r="B47" i="5" s="1"/>
  <c r="AI44" i="5"/>
  <c r="AO27" i="5" s="1"/>
  <c r="F40" i="8" s="1"/>
  <c r="AG44" i="5"/>
  <c r="AD44" i="5"/>
  <c r="AN27" i="5" s="1"/>
  <c r="E40" i="8" s="1"/>
  <c r="AB44" i="5"/>
  <c r="AI43" i="5"/>
  <c r="AO26" i="5" s="1"/>
  <c r="F39" i="8" s="1"/>
  <c r="AF43" i="5"/>
  <c r="AD43" i="5"/>
  <c r="AN26" i="5" s="1"/>
  <c r="E39" i="8" s="1"/>
  <c r="AA43" i="5"/>
  <c r="AB43" i="5" s="1"/>
  <c r="J43" i="5"/>
  <c r="AI42" i="5"/>
  <c r="AO25" i="5" s="1"/>
  <c r="F38" i="8" s="1"/>
  <c r="AD42" i="5"/>
  <c r="AN25" i="5" s="1"/>
  <c r="E38" i="8" s="1"/>
  <c r="J42" i="5"/>
  <c r="AI41" i="5"/>
  <c r="AO24" i="5" s="1"/>
  <c r="F37" i="8" s="1"/>
  <c r="AD41" i="5"/>
  <c r="AN24" i="5" s="1"/>
  <c r="E37" i="8" s="1"/>
  <c r="J41" i="5"/>
  <c r="AI40" i="5"/>
  <c r="AO23" i="5" s="1"/>
  <c r="F36" i="8" s="1"/>
  <c r="AD40" i="5"/>
  <c r="AN23" i="5" s="1"/>
  <c r="E36" i="8" s="1"/>
  <c r="J40" i="5"/>
  <c r="AI39" i="5"/>
  <c r="AO22" i="5" s="1"/>
  <c r="F35" i="8" s="1"/>
  <c r="AD39" i="5"/>
  <c r="AN22" i="5" s="1"/>
  <c r="E35" i="8" s="1"/>
  <c r="J39" i="5"/>
  <c r="B39" i="5"/>
  <c r="J38" i="5"/>
  <c r="B38" i="5"/>
  <c r="F37" i="5"/>
  <c r="F40" i="5" s="1"/>
  <c r="R9" i="5" s="1"/>
  <c r="B37" i="5"/>
  <c r="F36" i="5"/>
  <c r="F38" i="5" s="1"/>
  <c r="F41" i="5" s="1"/>
  <c r="Q9" i="5" s="1"/>
  <c r="B36" i="5"/>
  <c r="B35" i="5"/>
  <c r="AI34" i="5"/>
  <c r="AL32" i="5" s="1"/>
  <c r="C45" i="8" s="1"/>
  <c r="AD34" i="5"/>
  <c r="AM32" i="5" s="1"/>
  <c r="D45" i="8" s="1"/>
  <c r="J34" i="5"/>
  <c r="B34" i="5"/>
  <c r="AI33" i="5"/>
  <c r="AL31" i="5" s="1"/>
  <c r="C44" i="8" s="1"/>
  <c r="AD33" i="5"/>
  <c r="AM31" i="5" s="1"/>
  <c r="D44" i="8" s="1"/>
  <c r="AI32" i="5"/>
  <c r="AL30" i="5" s="1"/>
  <c r="C43" i="8" s="1"/>
  <c r="AD32" i="5"/>
  <c r="AM30" i="5" s="1"/>
  <c r="D43" i="8" s="1"/>
  <c r="B32" i="5"/>
  <c r="AI31" i="5"/>
  <c r="AL29" i="5" s="1"/>
  <c r="C42" i="8" s="1"/>
  <c r="AD31" i="5"/>
  <c r="AM29" i="5" s="1"/>
  <c r="D42" i="8" s="1"/>
  <c r="J31" i="5"/>
  <c r="T9" i="5" s="1"/>
  <c r="B31" i="5"/>
  <c r="AI30" i="5"/>
  <c r="AL28" i="5" s="1"/>
  <c r="C41" i="8" s="1"/>
  <c r="AF30" i="5"/>
  <c r="AG30" i="5" s="1"/>
  <c r="AD30" i="5"/>
  <c r="AM28" i="5" s="1"/>
  <c r="D41" i="8" s="1"/>
  <c r="AA30" i="5"/>
  <c r="AB30" i="5" s="1"/>
  <c r="AI29" i="5"/>
  <c r="AL27" i="5" s="1"/>
  <c r="C40" i="8" s="1"/>
  <c r="AG29" i="5"/>
  <c r="AD29" i="5"/>
  <c r="AM27" i="5" s="1"/>
  <c r="D40" i="8" s="1"/>
  <c r="AB29" i="5"/>
  <c r="AI28" i="5"/>
  <c r="AL26" i="5" s="1"/>
  <c r="C39" i="8" s="1"/>
  <c r="AF28" i="5"/>
  <c r="AF27" i="5" s="1"/>
  <c r="AG27" i="5" s="1"/>
  <c r="AD28" i="5"/>
  <c r="AM26" i="5" s="1"/>
  <c r="D39" i="8" s="1"/>
  <c r="AA28" i="5"/>
  <c r="AB28" i="5" s="1"/>
  <c r="AI27" i="5"/>
  <c r="AL25" i="5" s="1"/>
  <c r="C38" i="8" s="1"/>
  <c r="AD27" i="5"/>
  <c r="AM25" i="5" s="1"/>
  <c r="D38" i="8" s="1"/>
  <c r="AI26" i="5"/>
  <c r="AL24" i="5" s="1"/>
  <c r="C37" i="8" s="1"/>
  <c r="AD26" i="5"/>
  <c r="AM24" i="5" s="1"/>
  <c r="D37" i="8" s="1"/>
  <c r="AI25" i="5"/>
  <c r="AL23" i="5" s="1"/>
  <c r="C36" i="8" s="1"/>
  <c r="AD25" i="5"/>
  <c r="AM23" i="5" s="1"/>
  <c r="D36" i="8" s="1"/>
  <c r="AI24" i="5"/>
  <c r="AL22" i="5" s="1"/>
  <c r="C35" i="8" s="1"/>
  <c r="AD24" i="5"/>
  <c r="AM22" i="5" s="1"/>
  <c r="D35" i="8" s="1"/>
  <c r="AB11" i="5"/>
  <c r="N10" i="5"/>
  <c r="V10" i="5" s="1"/>
  <c r="V9" i="5"/>
  <c r="P54" i="4"/>
  <c r="AI49" i="4"/>
  <c r="AO32" i="4" s="1"/>
  <c r="S30" i="8" s="1"/>
  <c r="AD49" i="4"/>
  <c r="AN32" i="4" s="1"/>
  <c r="R30" i="8" s="1"/>
  <c r="AI48" i="4"/>
  <c r="AO31" i="4" s="1"/>
  <c r="S29" i="8" s="1"/>
  <c r="AD48" i="4"/>
  <c r="AN31" i="4" s="1"/>
  <c r="R29" i="8" s="1"/>
  <c r="AI47" i="4"/>
  <c r="AO30" i="4" s="1"/>
  <c r="S28" i="8" s="1"/>
  <c r="AD47" i="4"/>
  <c r="AN30" i="4" s="1"/>
  <c r="R28" i="8" s="1"/>
  <c r="AI46" i="4"/>
  <c r="AO29" i="4" s="1"/>
  <c r="S27" i="8" s="1"/>
  <c r="AD46" i="4"/>
  <c r="AN29" i="4" s="1"/>
  <c r="R27" i="8" s="1"/>
  <c r="AI45" i="4"/>
  <c r="AO28" i="4" s="1"/>
  <c r="S26" i="8" s="1"/>
  <c r="AF45" i="4"/>
  <c r="AF46" i="4" s="1"/>
  <c r="AD45" i="4"/>
  <c r="AN28" i="4" s="1"/>
  <c r="R26" i="8" s="1"/>
  <c r="AA45" i="4"/>
  <c r="AI44" i="4"/>
  <c r="AO27" i="4" s="1"/>
  <c r="S25" i="8" s="1"/>
  <c r="AG44" i="4"/>
  <c r="AD44" i="4"/>
  <c r="AN27" i="4" s="1"/>
  <c r="R25" i="8" s="1"/>
  <c r="AB44" i="4"/>
  <c r="AI43" i="4"/>
  <c r="AO26" i="4" s="1"/>
  <c r="S24" i="8" s="1"/>
  <c r="AF43" i="4"/>
  <c r="AF42" i="4" s="1"/>
  <c r="AG42" i="4" s="1"/>
  <c r="AD43" i="4"/>
  <c r="AN26" i="4" s="1"/>
  <c r="R24" i="8" s="1"/>
  <c r="AA43" i="4"/>
  <c r="AB43" i="4" s="1"/>
  <c r="B43" i="4"/>
  <c r="B44" i="4" s="1"/>
  <c r="AI42" i="4"/>
  <c r="AO25" i="4" s="1"/>
  <c r="S23" i="8" s="1"/>
  <c r="AD42" i="4"/>
  <c r="AN25" i="4" s="1"/>
  <c r="R23" i="8" s="1"/>
  <c r="AI41" i="4"/>
  <c r="AO24" i="4" s="1"/>
  <c r="S22" i="8" s="1"/>
  <c r="AD41" i="4"/>
  <c r="AN24" i="4" s="1"/>
  <c r="R22" i="8" s="1"/>
  <c r="F41" i="4"/>
  <c r="AI40" i="4"/>
  <c r="AO23" i="4" s="1"/>
  <c r="S21" i="8" s="1"/>
  <c r="AD40" i="4"/>
  <c r="AN23" i="4" s="1"/>
  <c r="R21" i="8" s="1"/>
  <c r="J40" i="4"/>
  <c r="AI39" i="4"/>
  <c r="AO22" i="4" s="1"/>
  <c r="S20" i="8" s="1"/>
  <c r="AD39" i="4"/>
  <c r="AN22" i="4" s="1"/>
  <c r="R20" i="8" s="1"/>
  <c r="J39" i="4"/>
  <c r="B39" i="4"/>
  <c r="J38" i="4"/>
  <c r="B38" i="4"/>
  <c r="J37" i="4"/>
  <c r="B37" i="4"/>
  <c r="J36" i="4"/>
  <c r="F36" i="4"/>
  <c r="F37" i="4" s="1"/>
  <c r="F38" i="4" s="1"/>
  <c r="Q9" i="4" s="1"/>
  <c r="B36" i="4"/>
  <c r="J35" i="4"/>
  <c r="AI34" i="4"/>
  <c r="AL32" i="4" s="1"/>
  <c r="P30" i="8" s="1"/>
  <c r="AD34" i="4"/>
  <c r="AM32" i="4" s="1"/>
  <c r="Q30" i="8" s="1"/>
  <c r="J34" i="4"/>
  <c r="B34" i="4"/>
  <c r="AI33" i="4"/>
  <c r="AL31" i="4" s="1"/>
  <c r="P29" i="8" s="1"/>
  <c r="AD33" i="4"/>
  <c r="AM31" i="4" s="1"/>
  <c r="Q29" i="8" s="1"/>
  <c r="AI32" i="4"/>
  <c r="AL30" i="4" s="1"/>
  <c r="P28" i="8" s="1"/>
  <c r="AD32" i="4"/>
  <c r="AM30" i="4" s="1"/>
  <c r="Q28" i="8" s="1"/>
  <c r="J32" i="4"/>
  <c r="B32" i="4"/>
  <c r="AI31" i="4"/>
  <c r="AL29" i="4" s="1"/>
  <c r="P27" i="8" s="1"/>
  <c r="AD31" i="4"/>
  <c r="AM29" i="4" s="1"/>
  <c r="Q27" i="8" s="1"/>
  <c r="B31" i="4"/>
  <c r="AI30" i="4"/>
  <c r="AL28" i="4" s="1"/>
  <c r="P26" i="8" s="1"/>
  <c r="AF30" i="4"/>
  <c r="AF31" i="4" s="1"/>
  <c r="AF32" i="4" s="1"/>
  <c r="AF33" i="4" s="1"/>
  <c r="AF34" i="4" s="1"/>
  <c r="AG34" i="4" s="1"/>
  <c r="AD30" i="4"/>
  <c r="AM28" i="4" s="1"/>
  <c r="Q26" i="8" s="1"/>
  <c r="AA30" i="4"/>
  <c r="AB30" i="4" s="1"/>
  <c r="AI29" i="4"/>
  <c r="AL27" i="4" s="1"/>
  <c r="P25" i="8" s="1"/>
  <c r="AG29" i="4"/>
  <c r="AD29" i="4"/>
  <c r="AM27" i="4" s="1"/>
  <c r="Q25" i="8" s="1"/>
  <c r="AB29" i="4"/>
  <c r="AI28" i="4"/>
  <c r="AL26" i="4" s="1"/>
  <c r="P24" i="8" s="1"/>
  <c r="AF28" i="4"/>
  <c r="AG28" i="4" s="1"/>
  <c r="AD28" i="4"/>
  <c r="AM26" i="4" s="1"/>
  <c r="Q24" i="8" s="1"/>
  <c r="AA28" i="4"/>
  <c r="AI27" i="4"/>
  <c r="AL25" i="4" s="1"/>
  <c r="P23" i="8" s="1"/>
  <c r="AD27" i="4"/>
  <c r="AM25" i="4" s="1"/>
  <c r="Q23" i="8" s="1"/>
  <c r="AI26" i="4"/>
  <c r="AL24" i="4" s="1"/>
  <c r="P22" i="8" s="1"/>
  <c r="AD26" i="4"/>
  <c r="AM24" i="4" s="1"/>
  <c r="Q22" i="8" s="1"/>
  <c r="AI25" i="4"/>
  <c r="AL23" i="4" s="1"/>
  <c r="P21" i="8" s="1"/>
  <c r="AD25" i="4"/>
  <c r="AM23" i="4" s="1"/>
  <c r="Q21" i="8" s="1"/>
  <c r="AI24" i="4"/>
  <c r="AL22" i="4" s="1"/>
  <c r="P20" i="8" s="1"/>
  <c r="AD24" i="4"/>
  <c r="AM22" i="4" s="1"/>
  <c r="Q20" i="8" s="1"/>
  <c r="AB10" i="4"/>
  <c r="N10" i="4"/>
  <c r="N11" i="4" s="1"/>
  <c r="S9" i="4"/>
  <c r="AB8" i="4"/>
  <c r="P54" i="3"/>
  <c r="AI49" i="3"/>
  <c r="AO32" i="3" s="1"/>
  <c r="S15" i="8" s="1"/>
  <c r="AD49" i="3"/>
  <c r="AN32" i="3" s="1"/>
  <c r="R15" i="8" s="1"/>
  <c r="AI48" i="3"/>
  <c r="AO31" i="3" s="1"/>
  <c r="S14" i="8" s="1"/>
  <c r="AD48" i="3"/>
  <c r="AN31" i="3" s="1"/>
  <c r="R14" i="8" s="1"/>
  <c r="AI47" i="3"/>
  <c r="AO30" i="3" s="1"/>
  <c r="S13" i="8" s="1"/>
  <c r="AD47" i="3"/>
  <c r="AN30" i="3" s="1"/>
  <c r="R13" i="8" s="1"/>
  <c r="AI46" i="3"/>
  <c r="AO29" i="3" s="1"/>
  <c r="S12" i="8" s="1"/>
  <c r="AD46" i="3"/>
  <c r="AN29" i="3" s="1"/>
  <c r="R12" i="8" s="1"/>
  <c r="AI45" i="3"/>
  <c r="AO28" i="3" s="1"/>
  <c r="S11" i="8" s="1"/>
  <c r="AF45" i="3"/>
  <c r="AD45" i="3"/>
  <c r="AN28" i="3" s="1"/>
  <c r="R11" i="8" s="1"/>
  <c r="AA45" i="3"/>
  <c r="AA46" i="3" s="1"/>
  <c r="AA47" i="3" s="1"/>
  <c r="AI44" i="3"/>
  <c r="AO27" i="3" s="1"/>
  <c r="S10" i="8" s="1"/>
  <c r="AG44" i="3"/>
  <c r="AD44" i="3"/>
  <c r="AN27" i="3" s="1"/>
  <c r="R10" i="8" s="1"/>
  <c r="AB44" i="3"/>
  <c r="AI43" i="3"/>
  <c r="AO26" i="3" s="1"/>
  <c r="S9" i="8" s="1"/>
  <c r="AF43" i="3"/>
  <c r="AG43" i="3" s="1"/>
  <c r="AD43" i="3"/>
  <c r="AN26" i="3" s="1"/>
  <c r="R9" i="8" s="1"/>
  <c r="AA43" i="3"/>
  <c r="B43" i="3"/>
  <c r="AI42" i="3"/>
  <c r="AO25" i="3" s="1"/>
  <c r="S8" i="8" s="1"/>
  <c r="AD42" i="3"/>
  <c r="AN25" i="3" s="1"/>
  <c r="R8" i="8" s="1"/>
  <c r="AI41" i="3"/>
  <c r="AO24" i="3" s="1"/>
  <c r="S7" i="8" s="1"/>
  <c r="AD41" i="3"/>
  <c r="AN24" i="3" s="1"/>
  <c r="R7" i="8" s="1"/>
  <c r="F41" i="3"/>
  <c r="AI40" i="3"/>
  <c r="AO23" i="3" s="1"/>
  <c r="S6" i="8" s="1"/>
  <c r="AD40" i="3"/>
  <c r="AN23" i="3" s="1"/>
  <c r="R6" i="8" s="1"/>
  <c r="AI39" i="3"/>
  <c r="AO22" i="3" s="1"/>
  <c r="S5" i="8" s="1"/>
  <c r="AD39" i="3"/>
  <c r="AN22" i="3" s="1"/>
  <c r="R5" i="8" s="1"/>
  <c r="J39" i="3"/>
  <c r="B39" i="3"/>
  <c r="J38" i="3"/>
  <c r="B38" i="3"/>
  <c r="J37" i="3"/>
  <c r="B37" i="3"/>
  <c r="J36" i="3"/>
  <c r="F36" i="3"/>
  <c r="F37" i="3" s="1"/>
  <c r="F38" i="3" s="1"/>
  <c r="Q9" i="3" s="1"/>
  <c r="B36" i="3"/>
  <c r="J35" i="3"/>
  <c r="AI34" i="3"/>
  <c r="AL32" i="3" s="1"/>
  <c r="P15" i="8" s="1"/>
  <c r="AD34" i="3"/>
  <c r="AM32" i="3" s="1"/>
  <c r="Q15" i="8" s="1"/>
  <c r="J34" i="3"/>
  <c r="B34" i="3"/>
  <c r="AI33" i="3"/>
  <c r="AL31" i="3" s="1"/>
  <c r="P14" i="8" s="1"/>
  <c r="AD33" i="3"/>
  <c r="AM31" i="3" s="1"/>
  <c r="Q14" i="8" s="1"/>
  <c r="AI32" i="3"/>
  <c r="AL30" i="3" s="1"/>
  <c r="P13" i="8" s="1"/>
  <c r="AD32" i="3"/>
  <c r="AM30" i="3" s="1"/>
  <c r="Q13" i="8" s="1"/>
  <c r="J32" i="3"/>
  <c r="B32" i="3"/>
  <c r="AI31" i="3"/>
  <c r="AL29" i="3" s="1"/>
  <c r="P12" i="8" s="1"/>
  <c r="AD31" i="3"/>
  <c r="AM29" i="3" s="1"/>
  <c r="Q12" i="8" s="1"/>
  <c r="B31" i="3"/>
  <c r="AI30" i="3"/>
  <c r="AL28" i="3" s="1"/>
  <c r="P11" i="8" s="1"/>
  <c r="AF30" i="3"/>
  <c r="AG30" i="3" s="1"/>
  <c r="AD30" i="3"/>
  <c r="AM28" i="3" s="1"/>
  <c r="Q11" i="8" s="1"/>
  <c r="AA30" i="3"/>
  <c r="AB30" i="3" s="1"/>
  <c r="AI29" i="3"/>
  <c r="AL27" i="3" s="1"/>
  <c r="P10" i="8" s="1"/>
  <c r="AG29" i="3"/>
  <c r="AD29" i="3"/>
  <c r="AM27" i="3" s="1"/>
  <c r="Q10" i="8" s="1"/>
  <c r="AB29" i="3"/>
  <c r="AI28" i="3"/>
  <c r="AL26" i="3" s="1"/>
  <c r="P9" i="8" s="1"/>
  <c r="AF28" i="3"/>
  <c r="AG28" i="3" s="1"/>
  <c r="AD28" i="3"/>
  <c r="AM26" i="3" s="1"/>
  <c r="Q9" i="8" s="1"/>
  <c r="AA28" i="3"/>
  <c r="AB28" i="3" s="1"/>
  <c r="AI27" i="3"/>
  <c r="AL25" i="3" s="1"/>
  <c r="P8" i="8" s="1"/>
  <c r="AD27" i="3"/>
  <c r="AM25" i="3" s="1"/>
  <c r="Q8" i="8" s="1"/>
  <c r="AI26" i="3"/>
  <c r="AL24" i="3" s="1"/>
  <c r="P7" i="8" s="1"/>
  <c r="AD26" i="3"/>
  <c r="AM24" i="3" s="1"/>
  <c r="Q7" i="8" s="1"/>
  <c r="AI25" i="3"/>
  <c r="AL23" i="3" s="1"/>
  <c r="P6" i="8" s="1"/>
  <c r="AD25" i="3"/>
  <c r="AM23" i="3" s="1"/>
  <c r="Q6" i="8" s="1"/>
  <c r="AI24" i="3"/>
  <c r="AL22" i="3" s="1"/>
  <c r="P5" i="8" s="1"/>
  <c r="AD24" i="3"/>
  <c r="AM22" i="3" s="1"/>
  <c r="Q5" i="8" s="1"/>
  <c r="F16" i="3"/>
  <c r="J40" i="3" s="1"/>
  <c r="AB10" i="3"/>
  <c r="N10" i="3"/>
  <c r="N11" i="3" s="1"/>
  <c r="S9" i="3"/>
  <c r="AB8" i="3"/>
  <c r="AD64" i="2"/>
  <c r="AP32" i="2" s="1"/>
  <c r="G30" i="8" s="1"/>
  <c r="AD63" i="2"/>
  <c r="AP31" i="2" s="1"/>
  <c r="G29" i="8" s="1"/>
  <c r="AD62" i="2"/>
  <c r="AP30" i="2" s="1"/>
  <c r="G28" i="8" s="1"/>
  <c r="AD61" i="2"/>
  <c r="AP29" i="2" s="1"/>
  <c r="G27" i="8" s="1"/>
  <c r="AD60" i="2"/>
  <c r="AP28" i="2" s="1"/>
  <c r="G26" i="8" s="1"/>
  <c r="AA60" i="2"/>
  <c r="AB60" i="2" s="1"/>
  <c r="AD59" i="2"/>
  <c r="AB59" i="2"/>
  <c r="AD58" i="2"/>
  <c r="AP26" i="2" s="1"/>
  <c r="G24" i="8" s="1"/>
  <c r="AA58" i="2"/>
  <c r="AD57" i="2"/>
  <c r="AP25" i="2" s="1"/>
  <c r="G23" i="8" s="1"/>
  <c r="AD56" i="2"/>
  <c r="AP24" i="2" s="1"/>
  <c r="G22" i="8" s="1"/>
  <c r="AD55" i="2"/>
  <c r="AP23" i="2" s="1"/>
  <c r="G21" i="8" s="1"/>
  <c r="AD54" i="2"/>
  <c r="AP22" i="2" s="1"/>
  <c r="G20" i="8" s="1"/>
  <c r="P54" i="2"/>
  <c r="AI49" i="2"/>
  <c r="AO32" i="2" s="1"/>
  <c r="F30" i="8" s="1"/>
  <c r="AD49" i="2"/>
  <c r="AN32" i="2" s="1"/>
  <c r="E30" i="8" s="1"/>
  <c r="AI48" i="2"/>
  <c r="AO31" i="2" s="1"/>
  <c r="F29" i="8" s="1"/>
  <c r="AD48" i="2"/>
  <c r="AN31" i="2" s="1"/>
  <c r="E29" i="8" s="1"/>
  <c r="AI47" i="2"/>
  <c r="AO30" i="2" s="1"/>
  <c r="F28" i="8" s="1"/>
  <c r="AD47" i="2"/>
  <c r="AN30" i="2" s="1"/>
  <c r="E28" i="8" s="1"/>
  <c r="AI46" i="2"/>
  <c r="AO29" i="2" s="1"/>
  <c r="F27" i="8" s="1"/>
  <c r="AD46" i="2"/>
  <c r="AN29" i="2" s="1"/>
  <c r="E27" i="8" s="1"/>
  <c r="AI45" i="2"/>
  <c r="AO28" i="2" s="1"/>
  <c r="F26" i="8" s="1"/>
  <c r="AF45" i="2"/>
  <c r="AD45" i="2"/>
  <c r="AN28" i="2" s="1"/>
  <c r="E26" i="8" s="1"/>
  <c r="AA45" i="2"/>
  <c r="AA46" i="2" s="1"/>
  <c r="J45" i="2"/>
  <c r="B45" i="2"/>
  <c r="B47" i="2" s="1"/>
  <c r="AI44" i="2"/>
  <c r="AO27" i="2" s="1"/>
  <c r="F25" i="8" s="1"/>
  <c r="AG44" i="2"/>
  <c r="AD44" i="2"/>
  <c r="AN27" i="2" s="1"/>
  <c r="E25" i="8" s="1"/>
  <c r="AB44" i="2"/>
  <c r="AI43" i="2"/>
  <c r="AO26" i="2" s="1"/>
  <c r="F24" i="8" s="1"/>
  <c r="AF43" i="2"/>
  <c r="AF42" i="2" s="1"/>
  <c r="AF41" i="2" s="1"/>
  <c r="AG41" i="2" s="1"/>
  <c r="AD43" i="2"/>
  <c r="AN26" i="2" s="1"/>
  <c r="E24" i="8" s="1"/>
  <c r="AA43" i="2"/>
  <c r="J43" i="2"/>
  <c r="AI42" i="2"/>
  <c r="AO25" i="2" s="1"/>
  <c r="F23" i="8" s="1"/>
  <c r="AD42" i="2"/>
  <c r="AN25" i="2" s="1"/>
  <c r="E23" i="8" s="1"/>
  <c r="J42" i="2"/>
  <c r="AI41" i="2"/>
  <c r="AO24" i="2" s="1"/>
  <c r="F22" i="8" s="1"/>
  <c r="AD41" i="2"/>
  <c r="AN24" i="2" s="1"/>
  <c r="E22" i="8" s="1"/>
  <c r="J41" i="2"/>
  <c r="AI40" i="2"/>
  <c r="AO23" i="2" s="1"/>
  <c r="F21" i="8" s="1"/>
  <c r="AD40" i="2"/>
  <c r="AN23" i="2" s="1"/>
  <c r="E21" i="8" s="1"/>
  <c r="J40" i="2"/>
  <c r="AI39" i="2"/>
  <c r="AO22" i="2" s="1"/>
  <c r="F20" i="8" s="1"/>
  <c r="AD39" i="2"/>
  <c r="AN22" i="2" s="1"/>
  <c r="E20" i="8" s="1"/>
  <c r="J39" i="2"/>
  <c r="B39" i="2"/>
  <c r="J38" i="2"/>
  <c r="B38" i="2"/>
  <c r="F37" i="2"/>
  <c r="F40" i="2" s="1"/>
  <c r="R9" i="2" s="1"/>
  <c r="B37" i="2"/>
  <c r="F36" i="2"/>
  <c r="F38" i="2" s="1"/>
  <c r="F41" i="2" s="1"/>
  <c r="Q9" i="2" s="1"/>
  <c r="B36" i="2"/>
  <c r="B35" i="2"/>
  <c r="AI34" i="2"/>
  <c r="AL32" i="2" s="1"/>
  <c r="C30" i="8" s="1"/>
  <c r="AD34" i="2"/>
  <c r="AM32" i="2" s="1"/>
  <c r="D30" i="8" s="1"/>
  <c r="J34" i="2"/>
  <c r="B34" i="2"/>
  <c r="AI33" i="2"/>
  <c r="AL31" i="2" s="1"/>
  <c r="C29" i="8" s="1"/>
  <c r="AD33" i="2"/>
  <c r="AM31" i="2" s="1"/>
  <c r="D29" i="8" s="1"/>
  <c r="AI32" i="2"/>
  <c r="AL30" i="2" s="1"/>
  <c r="C28" i="8" s="1"/>
  <c r="AD32" i="2"/>
  <c r="AM30" i="2" s="1"/>
  <c r="D28" i="8" s="1"/>
  <c r="B32" i="2"/>
  <c r="AI31" i="2"/>
  <c r="AL29" i="2" s="1"/>
  <c r="C27" i="8" s="1"/>
  <c r="AD31" i="2"/>
  <c r="AM29" i="2" s="1"/>
  <c r="D27" i="8" s="1"/>
  <c r="J31" i="2"/>
  <c r="T9" i="2" s="1"/>
  <c r="B31" i="2"/>
  <c r="AI30" i="2"/>
  <c r="AL28" i="2" s="1"/>
  <c r="C26" i="8" s="1"/>
  <c r="AF30" i="2"/>
  <c r="AF31" i="2" s="1"/>
  <c r="AD30" i="2"/>
  <c r="AM28" i="2" s="1"/>
  <c r="D26" i="8" s="1"/>
  <c r="AA30" i="2"/>
  <c r="AI29" i="2"/>
  <c r="AL27" i="2" s="1"/>
  <c r="C25" i="8" s="1"/>
  <c r="AG29" i="2"/>
  <c r="AD29" i="2"/>
  <c r="AM27" i="2" s="1"/>
  <c r="D25" i="8" s="1"/>
  <c r="AB29" i="2"/>
  <c r="AI28" i="2"/>
  <c r="AL26" i="2" s="1"/>
  <c r="C24" i="8" s="1"/>
  <c r="AF28" i="2"/>
  <c r="AF27" i="2" s="1"/>
  <c r="AD28" i="2"/>
  <c r="AM26" i="2" s="1"/>
  <c r="D24" i="8" s="1"/>
  <c r="AA28" i="2"/>
  <c r="AB28" i="2" s="1"/>
  <c r="AI27" i="2"/>
  <c r="AL25" i="2" s="1"/>
  <c r="C23" i="8" s="1"/>
  <c r="AD27" i="2"/>
  <c r="AM25" i="2" s="1"/>
  <c r="D23" i="8" s="1"/>
  <c r="AI26" i="2"/>
  <c r="AL24" i="2" s="1"/>
  <c r="C22" i="8" s="1"/>
  <c r="AD26" i="2"/>
  <c r="AM24" i="2" s="1"/>
  <c r="D22" i="8" s="1"/>
  <c r="AI25" i="2"/>
  <c r="AL23" i="2" s="1"/>
  <c r="C21" i="8" s="1"/>
  <c r="AD25" i="2"/>
  <c r="AM23" i="2" s="1"/>
  <c r="D21" i="8" s="1"/>
  <c r="AI24" i="2"/>
  <c r="AL22" i="2" s="1"/>
  <c r="C20" i="8" s="1"/>
  <c r="AD24" i="2"/>
  <c r="AM22" i="2" s="1"/>
  <c r="D20" i="8" s="1"/>
  <c r="AB11" i="2"/>
  <c r="N10" i="2"/>
  <c r="V9" i="2"/>
  <c r="AB8" i="2"/>
  <c r="AD64" i="1"/>
  <c r="AP32" i="1" s="1"/>
  <c r="G15" i="8" s="1"/>
  <c r="AD63" i="1"/>
  <c r="AP31" i="1" s="1"/>
  <c r="G14" i="8" s="1"/>
  <c r="AD62" i="1"/>
  <c r="AP30" i="1" s="1"/>
  <c r="G13" i="8" s="1"/>
  <c r="AD61" i="1"/>
  <c r="AP29" i="1" s="1"/>
  <c r="G12" i="8" s="1"/>
  <c r="AD60" i="1"/>
  <c r="AP28" i="1" s="1"/>
  <c r="G11" i="8" s="1"/>
  <c r="AA60" i="1"/>
  <c r="AA61" i="1" s="1"/>
  <c r="AD59" i="1"/>
  <c r="AB59" i="1"/>
  <c r="AD58" i="1"/>
  <c r="AP26" i="1" s="1"/>
  <c r="G9" i="8" s="1"/>
  <c r="AA58" i="1"/>
  <c r="AD57" i="1"/>
  <c r="AP25" i="1" s="1"/>
  <c r="G8" i="8" s="1"/>
  <c r="AD56" i="1"/>
  <c r="AP24" i="1" s="1"/>
  <c r="G7" i="8" s="1"/>
  <c r="AD55" i="1"/>
  <c r="AP23" i="1" s="1"/>
  <c r="G6" i="8" s="1"/>
  <c r="AP22" i="1"/>
  <c r="G5" i="8" s="1"/>
  <c r="P54" i="1"/>
  <c r="AI49" i="1"/>
  <c r="AO32" i="1" s="1"/>
  <c r="F15" i="8" s="1"/>
  <c r="AD49" i="1"/>
  <c r="AN32" i="1" s="1"/>
  <c r="E15" i="8" s="1"/>
  <c r="AI48" i="1"/>
  <c r="AO31" i="1" s="1"/>
  <c r="F14" i="8" s="1"/>
  <c r="AD48" i="1"/>
  <c r="AN31" i="1" s="1"/>
  <c r="E14" i="8" s="1"/>
  <c r="AI47" i="1"/>
  <c r="AO30" i="1" s="1"/>
  <c r="F13" i="8" s="1"/>
  <c r="AD47" i="1"/>
  <c r="AN30" i="1" s="1"/>
  <c r="E13" i="8" s="1"/>
  <c r="AI46" i="1"/>
  <c r="AO29" i="1" s="1"/>
  <c r="F12" i="8" s="1"/>
  <c r="AD46" i="1"/>
  <c r="AN29" i="1" s="1"/>
  <c r="E12" i="8" s="1"/>
  <c r="AI45" i="1"/>
  <c r="AO28" i="1" s="1"/>
  <c r="F11" i="8" s="1"/>
  <c r="AF45" i="1"/>
  <c r="AF46" i="1" s="1"/>
  <c r="AD45" i="1"/>
  <c r="AN28" i="1" s="1"/>
  <c r="E11" i="8" s="1"/>
  <c r="AA45" i="1"/>
  <c r="AA46" i="1" s="1"/>
  <c r="AA47" i="1" s="1"/>
  <c r="B45" i="1"/>
  <c r="B47" i="1" s="1"/>
  <c r="AI44" i="1"/>
  <c r="AO27" i="1" s="1"/>
  <c r="F10" i="8" s="1"/>
  <c r="AG44" i="1"/>
  <c r="AD44" i="1"/>
  <c r="AN27" i="1" s="1"/>
  <c r="E10" i="8" s="1"/>
  <c r="AB44" i="1"/>
  <c r="AI43" i="1"/>
  <c r="AO26" i="1" s="1"/>
  <c r="F9" i="8" s="1"/>
  <c r="AF43" i="1"/>
  <c r="AD43" i="1"/>
  <c r="AN26" i="1" s="1"/>
  <c r="E9" i="8" s="1"/>
  <c r="AA43" i="1"/>
  <c r="AA42" i="1" s="1"/>
  <c r="J43" i="1"/>
  <c r="AI42" i="1"/>
  <c r="AO25" i="1" s="1"/>
  <c r="F8" i="8" s="1"/>
  <c r="AD42" i="1"/>
  <c r="AN25" i="1" s="1"/>
  <c r="E8" i="8" s="1"/>
  <c r="J42" i="1"/>
  <c r="AI41" i="1"/>
  <c r="AO24" i="1" s="1"/>
  <c r="F7" i="8" s="1"/>
  <c r="AD41" i="1"/>
  <c r="AN24" i="1" s="1"/>
  <c r="E7" i="8" s="1"/>
  <c r="J41" i="1"/>
  <c r="AI40" i="1"/>
  <c r="AO23" i="1" s="1"/>
  <c r="F6" i="8" s="1"/>
  <c r="AD40" i="1"/>
  <c r="AN23" i="1" s="1"/>
  <c r="E6" i="8" s="1"/>
  <c r="J40" i="1"/>
  <c r="AI39" i="1"/>
  <c r="AO22" i="1" s="1"/>
  <c r="F5" i="8" s="1"/>
  <c r="AD39" i="1"/>
  <c r="AN22" i="1" s="1"/>
  <c r="E5" i="8" s="1"/>
  <c r="J39" i="1"/>
  <c r="B39" i="1"/>
  <c r="J38" i="1"/>
  <c r="B38" i="1"/>
  <c r="F37" i="1"/>
  <c r="F40" i="1" s="1"/>
  <c r="R9" i="1" s="1"/>
  <c r="B37" i="1"/>
  <c r="F36" i="1"/>
  <c r="F38" i="1" s="1"/>
  <c r="F41" i="1" s="1"/>
  <c r="Q9" i="1" s="1"/>
  <c r="B36" i="1"/>
  <c r="B35" i="1"/>
  <c r="AI34" i="1"/>
  <c r="AL32" i="1" s="1"/>
  <c r="C15" i="8" s="1"/>
  <c r="AD34" i="1"/>
  <c r="AM32" i="1" s="1"/>
  <c r="D15" i="8" s="1"/>
  <c r="J34" i="1"/>
  <c r="B34" i="1"/>
  <c r="AI33" i="1"/>
  <c r="AL31" i="1" s="1"/>
  <c r="C14" i="8" s="1"/>
  <c r="AD33" i="1"/>
  <c r="AM31" i="1" s="1"/>
  <c r="D14" i="8" s="1"/>
  <c r="AI32" i="1"/>
  <c r="AL30" i="1" s="1"/>
  <c r="C13" i="8" s="1"/>
  <c r="AD32" i="1"/>
  <c r="AM30" i="1" s="1"/>
  <c r="D13" i="8" s="1"/>
  <c r="B32" i="1"/>
  <c r="AI31" i="1"/>
  <c r="AL29" i="1" s="1"/>
  <c r="C12" i="8" s="1"/>
  <c r="AD31" i="1"/>
  <c r="AM29" i="1" s="1"/>
  <c r="D12" i="8" s="1"/>
  <c r="J31" i="1"/>
  <c r="T9" i="1" s="1"/>
  <c r="B31" i="1"/>
  <c r="AI30" i="1"/>
  <c r="AL28" i="1" s="1"/>
  <c r="C11" i="8" s="1"/>
  <c r="AF30" i="1"/>
  <c r="AG30" i="1" s="1"/>
  <c r="AD30" i="1"/>
  <c r="AM28" i="1" s="1"/>
  <c r="D11" i="8" s="1"/>
  <c r="AA30" i="1"/>
  <c r="AA31" i="1" s="1"/>
  <c r="AI29" i="1"/>
  <c r="AL27" i="1" s="1"/>
  <c r="C10" i="8" s="1"/>
  <c r="AG29" i="1"/>
  <c r="AD29" i="1"/>
  <c r="AM27" i="1" s="1"/>
  <c r="D10" i="8" s="1"/>
  <c r="AB29" i="1"/>
  <c r="AI28" i="1"/>
  <c r="AL26" i="1" s="1"/>
  <c r="C9" i="8" s="1"/>
  <c r="AF28" i="1"/>
  <c r="AG28" i="1" s="1"/>
  <c r="AD28" i="1"/>
  <c r="AM26" i="1" s="1"/>
  <c r="D9" i="8" s="1"/>
  <c r="AA28" i="1"/>
  <c r="AB28" i="1" s="1"/>
  <c r="AI27" i="1"/>
  <c r="AL25" i="1" s="1"/>
  <c r="C8" i="8" s="1"/>
  <c r="AD27" i="1"/>
  <c r="AM25" i="1" s="1"/>
  <c r="D8" i="8" s="1"/>
  <c r="AI26" i="1"/>
  <c r="AL24" i="1" s="1"/>
  <c r="C7" i="8" s="1"/>
  <c r="AD26" i="1"/>
  <c r="AM24" i="1" s="1"/>
  <c r="D7" i="8" s="1"/>
  <c r="AI25" i="1"/>
  <c r="AL23" i="1" s="1"/>
  <c r="C6" i="8" s="1"/>
  <c r="AD25" i="1"/>
  <c r="AM23" i="1" s="1"/>
  <c r="D6" i="8" s="1"/>
  <c r="AI24" i="1"/>
  <c r="AL22" i="1" s="1"/>
  <c r="C5" i="8" s="1"/>
  <c r="AD24" i="1"/>
  <c r="AM22" i="1" s="1"/>
  <c r="D5" i="8" s="1"/>
  <c r="F17" i="1"/>
  <c r="J45" i="1" s="1"/>
  <c r="AB11" i="1"/>
  <c r="N10" i="1"/>
  <c r="V9" i="1"/>
  <c r="AF26" i="2" l="1"/>
  <c r="AG26" i="2" s="1"/>
  <c r="AG27" i="2"/>
  <c r="AG28" i="2"/>
  <c r="AG28" i="5"/>
  <c r="AG45" i="6"/>
  <c r="AB13" i="2"/>
  <c r="F37" i="6"/>
  <c r="F38" i="6" s="1"/>
  <c r="Q9" i="6" s="1"/>
  <c r="AF57" i="2"/>
  <c r="AF56" i="2" s="1"/>
  <c r="AG56" i="2" s="1"/>
  <c r="AF27" i="3"/>
  <c r="AF26" i="3" s="1"/>
  <c r="AF31" i="5"/>
  <c r="AF27" i="4"/>
  <c r="AG27" i="4" s="1"/>
  <c r="AG33" i="4"/>
  <c r="AG30" i="4"/>
  <c r="AG32" i="4"/>
  <c r="AQ32" i="2"/>
  <c r="H30" i="8" s="1"/>
  <c r="AQ26" i="2"/>
  <c r="H24" i="8" s="1"/>
  <c r="AQ30" i="2"/>
  <c r="H28" i="8" s="1"/>
  <c r="AQ31" i="2"/>
  <c r="H29" i="8" s="1"/>
  <c r="AQ25" i="2"/>
  <c r="H23" i="8" s="1"/>
  <c r="AQ24" i="2"/>
  <c r="H22" i="8" s="1"/>
  <c r="AQ29" i="2"/>
  <c r="H27" i="8" s="1"/>
  <c r="AQ23" i="2"/>
  <c r="H21" i="8" s="1"/>
  <c r="AQ28" i="2"/>
  <c r="H26" i="8" s="1"/>
  <c r="AQ22" i="2"/>
  <c r="H20" i="8" s="1"/>
  <c r="AQ27" i="2"/>
  <c r="H25" i="8" s="1"/>
  <c r="AP27" i="2"/>
  <c r="G25" i="8" s="1"/>
  <c r="AP27" i="1"/>
  <c r="G10" i="8" s="1"/>
  <c r="J31" i="6"/>
  <c r="R9" i="6" s="1"/>
  <c r="AB8" i="1"/>
  <c r="AG58" i="1"/>
  <c r="AA27" i="1"/>
  <c r="AB27" i="1" s="1"/>
  <c r="AG57" i="1"/>
  <c r="AF56" i="1"/>
  <c r="AG63" i="1"/>
  <c r="AG62" i="1"/>
  <c r="AG61" i="1"/>
  <c r="AG60" i="1"/>
  <c r="AB13" i="1"/>
  <c r="AF62" i="5"/>
  <c r="AG61" i="5"/>
  <c r="AF57" i="5"/>
  <c r="AG60" i="5"/>
  <c r="AF62" i="2"/>
  <c r="AG61" i="2"/>
  <c r="AG60" i="2"/>
  <c r="X9" i="6"/>
  <c r="X10" i="6"/>
  <c r="F50" i="1"/>
  <c r="J32" i="1" s="1"/>
  <c r="U9" i="1" s="1"/>
  <c r="F50" i="2"/>
  <c r="J32" i="2" s="1"/>
  <c r="U9" i="2" s="1"/>
  <c r="B35" i="6"/>
  <c r="AG43" i="4"/>
  <c r="AG30" i="2"/>
  <c r="AB8" i="5"/>
  <c r="AB60" i="1"/>
  <c r="F50" i="5"/>
  <c r="J32" i="5" s="1"/>
  <c r="AF42" i="3"/>
  <c r="AG42" i="3" s="1"/>
  <c r="AB60" i="5"/>
  <c r="AA61" i="2"/>
  <c r="AA62" i="2" s="1"/>
  <c r="AA27" i="3"/>
  <c r="AB27" i="3" s="1"/>
  <c r="AA57" i="5"/>
  <c r="AB57" i="5" s="1"/>
  <c r="B49" i="1"/>
  <c r="B33" i="1" s="1"/>
  <c r="B50" i="1" s="1"/>
  <c r="B51" i="2"/>
  <c r="B51" i="1"/>
  <c r="AB9" i="5"/>
  <c r="Y10" i="5"/>
  <c r="Y9" i="5"/>
  <c r="AF47" i="1"/>
  <c r="AG47" i="1" s="1"/>
  <c r="AG46" i="1"/>
  <c r="Y10" i="2"/>
  <c r="B49" i="2"/>
  <c r="B33" i="2" s="1"/>
  <c r="B50" i="2" s="1"/>
  <c r="Y9" i="2"/>
  <c r="AB30" i="1"/>
  <c r="AF31" i="1"/>
  <c r="AA27" i="2"/>
  <c r="B49" i="5"/>
  <c r="B33" i="5" s="1"/>
  <c r="B50" i="5" s="1"/>
  <c r="AA56" i="5"/>
  <c r="AB56" i="5" s="1"/>
  <c r="AG30" i="6"/>
  <c r="AG45" i="1"/>
  <c r="AB46" i="3"/>
  <c r="AF41" i="4"/>
  <c r="AF26" i="5"/>
  <c r="AA42" i="5"/>
  <c r="AB42" i="5" s="1"/>
  <c r="AA46" i="5"/>
  <c r="AA47" i="5" s="1"/>
  <c r="AA48" i="5" s="1"/>
  <c r="AF27" i="6"/>
  <c r="B46" i="6"/>
  <c r="V10" i="1"/>
  <c r="R10" i="5"/>
  <c r="AB45" i="6"/>
  <c r="R10" i="1"/>
  <c r="N11" i="1"/>
  <c r="N12" i="1" s="1"/>
  <c r="V12" i="1" s="1"/>
  <c r="AB43" i="1"/>
  <c r="AB45" i="2"/>
  <c r="AA42" i="4"/>
  <c r="AA41" i="4" s="1"/>
  <c r="T10" i="5"/>
  <c r="AF46" i="5"/>
  <c r="AF47" i="5" s="1"/>
  <c r="AA42" i="6"/>
  <c r="AF27" i="1"/>
  <c r="T10" i="2"/>
  <c r="AG42" i="2"/>
  <c r="S10" i="3"/>
  <c r="AB45" i="3"/>
  <c r="AA26" i="1"/>
  <c r="AB45" i="1"/>
  <c r="AF40" i="2"/>
  <c r="B46" i="4"/>
  <c r="B35" i="4"/>
  <c r="AG45" i="4"/>
  <c r="N11" i="5"/>
  <c r="B51" i="5"/>
  <c r="J37" i="5"/>
  <c r="S10" i="5" s="1"/>
  <c r="AA48" i="1"/>
  <c r="AB47" i="1"/>
  <c r="Q12" i="1"/>
  <c r="T12" i="1"/>
  <c r="N13" i="1"/>
  <c r="R12" i="1"/>
  <c r="Y12" i="1"/>
  <c r="AB31" i="1"/>
  <c r="AA32" i="1"/>
  <c r="AA41" i="1"/>
  <c r="AB42" i="1"/>
  <c r="AA47" i="2"/>
  <c r="AB46" i="2"/>
  <c r="Y11" i="1"/>
  <c r="J37" i="2"/>
  <c r="S9" i="2" s="1"/>
  <c r="T10" i="1"/>
  <c r="Y10" i="1"/>
  <c r="Q11" i="1"/>
  <c r="AB46" i="1"/>
  <c r="Q11" i="3"/>
  <c r="S11" i="3"/>
  <c r="N12" i="3"/>
  <c r="AF46" i="3"/>
  <c r="AG45" i="3"/>
  <c r="AA62" i="1"/>
  <c r="AB61" i="1"/>
  <c r="T11" i="1"/>
  <c r="AF48" i="1"/>
  <c r="AA31" i="2"/>
  <c r="AB30" i="2"/>
  <c r="AF39" i="2"/>
  <c r="AG39" i="2" s="1"/>
  <c r="AG40" i="2"/>
  <c r="AA42" i="3"/>
  <c r="AB43" i="3"/>
  <c r="Y9" i="1"/>
  <c r="Q10" i="1"/>
  <c r="R11" i="1"/>
  <c r="V11" i="1"/>
  <c r="J37" i="1"/>
  <c r="S9" i="1" s="1"/>
  <c r="AF42" i="1"/>
  <c r="AG43" i="1"/>
  <c r="AA57" i="1"/>
  <c r="AB58" i="1"/>
  <c r="AG31" i="2"/>
  <c r="AF32" i="2"/>
  <c r="AB43" i="2"/>
  <c r="AA42" i="2"/>
  <c r="Q10" i="2"/>
  <c r="B46" i="3"/>
  <c r="N12" i="4"/>
  <c r="S11" i="4"/>
  <c r="X11" i="4"/>
  <c r="Q11" i="4"/>
  <c r="R10" i="2"/>
  <c r="V10" i="2"/>
  <c r="N11" i="2"/>
  <c r="AA57" i="2"/>
  <c r="AB58" i="2"/>
  <c r="B35" i="3"/>
  <c r="B44" i="3"/>
  <c r="X11" i="3" s="1"/>
  <c r="J31" i="4"/>
  <c r="R11" i="4" s="1"/>
  <c r="AG43" i="2"/>
  <c r="AF46" i="2"/>
  <c r="AG45" i="2"/>
  <c r="Q10" i="3"/>
  <c r="J31" i="3"/>
  <c r="R9" i="3" s="1"/>
  <c r="AF31" i="3"/>
  <c r="AA48" i="3"/>
  <c r="AB47" i="3"/>
  <c r="AA27" i="4"/>
  <c r="AB28" i="4"/>
  <c r="AA31" i="4"/>
  <c r="AF47" i="4"/>
  <c r="AG46" i="4"/>
  <c r="AA31" i="3"/>
  <c r="AG31" i="4"/>
  <c r="B33" i="4"/>
  <c r="X9" i="4"/>
  <c r="AA46" i="4"/>
  <c r="AB45" i="4"/>
  <c r="N12" i="5"/>
  <c r="V11" i="5"/>
  <c r="R11" i="5"/>
  <c r="Q11" i="5"/>
  <c r="Y11" i="5"/>
  <c r="T11" i="5"/>
  <c r="Q10" i="4"/>
  <c r="X10" i="4"/>
  <c r="AG43" i="5"/>
  <c r="AF42" i="5"/>
  <c r="S10" i="4"/>
  <c r="Q10" i="5"/>
  <c r="AA27" i="5"/>
  <c r="AF32" i="5"/>
  <c r="AG31" i="5"/>
  <c r="AA31" i="5"/>
  <c r="AA31" i="6"/>
  <c r="AB30" i="6"/>
  <c r="AA41" i="5"/>
  <c r="AB61" i="5"/>
  <c r="AA62" i="5"/>
  <c r="AB47" i="5"/>
  <c r="AA27" i="6"/>
  <c r="AB28" i="6"/>
  <c r="S10" i="6"/>
  <c r="N11" i="6"/>
  <c r="AG31" i="6"/>
  <c r="AA47" i="6"/>
  <c r="AB46" i="6"/>
  <c r="AG32" i="6"/>
  <c r="AF33" i="6"/>
  <c r="AF42" i="6"/>
  <c r="AG43" i="6"/>
  <c r="AF47" i="6"/>
  <c r="AG46" i="6"/>
  <c r="B33" i="6"/>
  <c r="B45" i="6" s="1"/>
  <c r="B47" i="6" s="1"/>
  <c r="Q10" i="6" l="1"/>
  <c r="AG27" i="3"/>
  <c r="AG57" i="2"/>
  <c r="AF25" i="2"/>
  <c r="AF55" i="2"/>
  <c r="AA55" i="5"/>
  <c r="AF26" i="4"/>
  <c r="AF41" i="3"/>
  <c r="AB42" i="4"/>
  <c r="B52" i="2"/>
  <c r="F31" i="2" s="1"/>
  <c r="O8" i="2" s="1"/>
  <c r="W8" i="2" s="1"/>
  <c r="AF55" i="1"/>
  <c r="AG56" i="1"/>
  <c r="U10" i="2"/>
  <c r="U11" i="1"/>
  <c r="AF63" i="5"/>
  <c r="AG62" i="5"/>
  <c r="AF56" i="5"/>
  <c r="AG57" i="5"/>
  <c r="AG62" i="2"/>
  <c r="AF63" i="2"/>
  <c r="AF54" i="2"/>
  <c r="AG54" i="2" s="1"/>
  <c r="AG55" i="2"/>
  <c r="U12" i="1"/>
  <c r="U9" i="5"/>
  <c r="U11" i="5"/>
  <c r="U10" i="5"/>
  <c r="AA26" i="3"/>
  <c r="AG46" i="5"/>
  <c r="AB61" i="2"/>
  <c r="X10" i="3"/>
  <c r="U10" i="1"/>
  <c r="R10" i="6"/>
  <c r="B52" i="5"/>
  <c r="F31" i="5" s="1"/>
  <c r="O8" i="5" s="1"/>
  <c r="B52" i="1"/>
  <c r="AB10" i="1" s="1"/>
  <c r="AB46" i="5"/>
  <c r="AG27" i="1"/>
  <c r="AF26" i="1"/>
  <c r="AF25" i="5"/>
  <c r="AG26" i="5"/>
  <c r="AB27" i="2"/>
  <c r="AA26" i="2"/>
  <c r="AG27" i="6"/>
  <c r="AF26" i="6"/>
  <c r="AB26" i="1"/>
  <c r="AA25" i="1"/>
  <c r="AA41" i="6"/>
  <c r="AB42" i="6"/>
  <c r="AF24" i="2"/>
  <c r="AG24" i="2" s="1"/>
  <c r="AG25" i="2"/>
  <c r="AG41" i="4"/>
  <c r="AF40" i="4"/>
  <c r="AG31" i="1"/>
  <c r="AF32" i="1"/>
  <c r="B45" i="4"/>
  <c r="B47" i="4" s="1"/>
  <c r="F31" i="4" s="1"/>
  <c r="O8" i="4" s="1"/>
  <c r="S11" i="5"/>
  <c r="S9" i="5"/>
  <c r="S10" i="2"/>
  <c r="S10" i="1"/>
  <c r="S11" i="1"/>
  <c r="S12" i="1"/>
  <c r="F31" i="6"/>
  <c r="O8" i="6" s="1"/>
  <c r="AB9" i="6"/>
  <c r="AG33" i="6"/>
  <c r="AF34" i="6"/>
  <c r="AG34" i="6" s="1"/>
  <c r="AA40" i="5"/>
  <c r="AB41" i="5"/>
  <c r="AB48" i="3"/>
  <c r="AA49" i="3"/>
  <c r="AB49" i="3" s="1"/>
  <c r="AA56" i="1"/>
  <c r="AB57" i="1"/>
  <c r="AG46" i="3"/>
  <c r="AF47" i="3"/>
  <c r="AA49" i="5"/>
  <c r="AB49" i="5" s="1"/>
  <c r="AB48" i="5"/>
  <c r="AF48" i="5"/>
  <c r="AG47" i="5"/>
  <c r="AB9" i="4"/>
  <c r="AB31" i="3"/>
  <c r="AA32" i="3"/>
  <c r="AG31" i="3"/>
  <c r="AF32" i="3"/>
  <c r="R10" i="3"/>
  <c r="AF25" i="3"/>
  <c r="AG26" i="3"/>
  <c r="AF33" i="2"/>
  <c r="AG32" i="2"/>
  <c r="AB62" i="5"/>
  <c r="AA63" i="5"/>
  <c r="AA32" i="6"/>
  <c r="AB31" i="6"/>
  <c r="AB31" i="5"/>
  <c r="AA32" i="5"/>
  <c r="AA54" i="5"/>
  <c r="AB54" i="5" s="1"/>
  <c r="AB55" i="5"/>
  <c r="AA40" i="4"/>
  <c r="AB41" i="4"/>
  <c r="AA26" i="4"/>
  <c r="AB27" i="4"/>
  <c r="R10" i="4"/>
  <c r="R9" i="4"/>
  <c r="Y11" i="2"/>
  <c r="T11" i="2"/>
  <c r="S11" i="2"/>
  <c r="N12" i="2"/>
  <c r="V11" i="2"/>
  <c r="R11" i="2"/>
  <c r="U11" i="2"/>
  <c r="Q11" i="2"/>
  <c r="S12" i="4"/>
  <c r="N13" i="4"/>
  <c r="R12" i="4"/>
  <c r="X12" i="4"/>
  <c r="Q12" i="4"/>
  <c r="AA41" i="2"/>
  <c r="AB42" i="2"/>
  <c r="AF41" i="1"/>
  <c r="AG42" i="1"/>
  <c r="AB42" i="3"/>
  <c r="AA41" i="3"/>
  <c r="AA32" i="2"/>
  <c r="AB31" i="2"/>
  <c r="N13" i="3"/>
  <c r="R12" i="3"/>
  <c r="X12" i="3"/>
  <c r="Q12" i="3"/>
  <c r="S12" i="3"/>
  <c r="AA48" i="2"/>
  <c r="AB47" i="2"/>
  <c r="Y13" i="1"/>
  <c r="T13" i="1"/>
  <c r="V13" i="1"/>
  <c r="N14" i="1"/>
  <c r="Q13" i="1"/>
  <c r="S13" i="1"/>
  <c r="R13" i="1"/>
  <c r="U13" i="1"/>
  <c r="AF33" i="5"/>
  <c r="AG32" i="5"/>
  <c r="AF41" i="5"/>
  <c r="AG42" i="5"/>
  <c r="AB31" i="4"/>
  <c r="AA32" i="4"/>
  <c r="AG42" i="6"/>
  <c r="AF41" i="6"/>
  <c r="N12" i="6"/>
  <c r="S11" i="6"/>
  <c r="R11" i="6"/>
  <c r="X11" i="6"/>
  <c r="Q11" i="6"/>
  <c r="AB27" i="5"/>
  <c r="AA26" i="5"/>
  <c r="S12" i="5"/>
  <c r="N13" i="5"/>
  <c r="V12" i="5"/>
  <c r="R12" i="5"/>
  <c r="U12" i="5"/>
  <c r="Q12" i="5"/>
  <c r="Y12" i="5"/>
  <c r="T12" i="5"/>
  <c r="AA56" i="2"/>
  <c r="AB57" i="2"/>
  <c r="AA63" i="1"/>
  <c r="AB62" i="1"/>
  <c r="AF48" i="6"/>
  <c r="AG47" i="6"/>
  <c r="AA48" i="6"/>
  <c r="AB47" i="6"/>
  <c r="AA26" i="6"/>
  <c r="AB27" i="6"/>
  <c r="AG26" i="4"/>
  <c r="AF25" i="4"/>
  <c r="AB46" i="4"/>
  <c r="AA47" i="4"/>
  <c r="AF48" i="4"/>
  <c r="AG47" i="4"/>
  <c r="AF47" i="2"/>
  <c r="AG46" i="2"/>
  <c r="X9" i="3"/>
  <c r="B33" i="3"/>
  <c r="B45" i="3" s="1"/>
  <c r="B47" i="3" s="1"/>
  <c r="AA63" i="2"/>
  <c r="AB62" i="2"/>
  <c r="AG48" i="1"/>
  <c r="AF49" i="1"/>
  <c r="AG49" i="1" s="1"/>
  <c r="R11" i="3"/>
  <c r="AA40" i="1"/>
  <c r="AB41" i="1"/>
  <c r="AA33" i="1"/>
  <c r="AB32" i="1"/>
  <c r="AB48" i="1"/>
  <c r="AA49" i="1"/>
  <c r="AB49" i="1" s="1"/>
  <c r="AF40" i="3" l="1"/>
  <c r="AG41" i="3"/>
  <c r="O49" i="2"/>
  <c r="F32" i="2"/>
  <c r="F33" i="2" s="1"/>
  <c r="P10" i="2" s="1"/>
  <c r="W10" i="2" s="1"/>
  <c r="AB10" i="2"/>
  <c r="AF54" i="1"/>
  <c r="AG54" i="1" s="1"/>
  <c r="AG55" i="1"/>
  <c r="AF64" i="5"/>
  <c r="AG64" i="5" s="1"/>
  <c r="AG63" i="5"/>
  <c r="AG56" i="5"/>
  <c r="AF55" i="5"/>
  <c r="AF64" i="2"/>
  <c r="AG64" i="2" s="1"/>
  <c r="AG63" i="2"/>
  <c r="AB26" i="3"/>
  <c r="AA25" i="3"/>
  <c r="AB10" i="5"/>
  <c r="F32" i="5"/>
  <c r="F33" i="5" s="1"/>
  <c r="P9" i="5" s="1"/>
  <c r="F31" i="1"/>
  <c r="O8" i="1" s="1"/>
  <c r="W8" i="1" s="1"/>
  <c r="AB41" i="6"/>
  <c r="AA40" i="6"/>
  <c r="AG25" i="5"/>
  <c r="AF24" i="5"/>
  <c r="AG24" i="5" s="1"/>
  <c r="AG32" i="1"/>
  <c r="AF33" i="1"/>
  <c r="AB25" i="1"/>
  <c r="AA24" i="1"/>
  <c r="AB24" i="1" s="1"/>
  <c r="AG26" i="1"/>
  <c r="AF25" i="1"/>
  <c r="AF39" i="4"/>
  <c r="AG39" i="4" s="1"/>
  <c r="AG40" i="4"/>
  <c r="AG26" i="6"/>
  <c r="AF25" i="6"/>
  <c r="AB26" i="2"/>
  <c r="AA25" i="2"/>
  <c r="AB9" i="3"/>
  <c r="F31" i="3"/>
  <c r="O8" i="3" s="1"/>
  <c r="AB63" i="2"/>
  <c r="AA64" i="2"/>
  <c r="AB64" i="2" s="1"/>
  <c r="AA48" i="4"/>
  <c r="AB47" i="4"/>
  <c r="AA40" i="3"/>
  <c r="AB41" i="3"/>
  <c r="U12" i="2"/>
  <c r="Q12" i="2"/>
  <c r="Y12" i="2"/>
  <c r="T12" i="2"/>
  <c r="S12" i="2"/>
  <c r="R12" i="2"/>
  <c r="V12" i="2"/>
  <c r="N13" i="2"/>
  <c r="AF34" i="2"/>
  <c r="AG34" i="2" s="1"/>
  <c r="AG33" i="2"/>
  <c r="AF48" i="3"/>
  <c r="AG47" i="3"/>
  <c r="AB26" i="5"/>
  <c r="AA25" i="5"/>
  <c r="AF40" i="6"/>
  <c r="AG41" i="6"/>
  <c r="V14" i="1"/>
  <c r="R14" i="1"/>
  <c r="T14" i="1"/>
  <c r="S14" i="1"/>
  <c r="N15" i="1"/>
  <c r="U14" i="1"/>
  <c r="Q14" i="1"/>
  <c r="Y14" i="1"/>
  <c r="P14" i="1"/>
  <c r="S13" i="3"/>
  <c r="N14" i="3"/>
  <c r="R13" i="3"/>
  <c r="X13" i="3"/>
  <c r="Q13" i="3"/>
  <c r="AA40" i="2"/>
  <c r="AB41" i="2"/>
  <c r="AA33" i="5"/>
  <c r="AB32" i="5"/>
  <c r="AA64" i="5"/>
  <c r="AB64" i="5" s="1"/>
  <c r="AB63" i="5"/>
  <c r="O49" i="6"/>
  <c r="T8" i="6"/>
  <c r="AF24" i="4"/>
  <c r="AG24" i="4" s="1"/>
  <c r="AG25" i="4"/>
  <c r="O49" i="5"/>
  <c r="W8" i="5"/>
  <c r="AB48" i="6"/>
  <c r="AA49" i="6"/>
  <c r="AB49" i="6" s="1"/>
  <c r="AB56" i="2"/>
  <c r="AA55" i="2"/>
  <c r="AF40" i="5"/>
  <c r="AG41" i="5"/>
  <c r="AB48" i="2"/>
  <c r="AA49" i="2"/>
  <c r="AB49" i="2" s="1"/>
  <c r="S13" i="4"/>
  <c r="N14" i="4"/>
  <c r="R13" i="4"/>
  <c r="X13" i="4"/>
  <c r="Q13" i="4"/>
  <c r="AA39" i="4"/>
  <c r="AB39" i="4" s="1"/>
  <c r="AB40" i="4"/>
  <c r="AG25" i="3"/>
  <c r="AF24" i="3"/>
  <c r="AG24" i="3" s="1"/>
  <c r="AB32" i="3"/>
  <c r="AA33" i="3"/>
  <c r="F32" i="4"/>
  <c r="F32" i="6"/>
  <c r="AB26" i="6"/>
  <c r="AA25" i="6"/>
  <c r="AF49" i="6"/>
  <c r="AG49" i="6" s="1"/>
  <c r="AG48" i="6"/>
  <c r="AB63" i="1"/>
  <c r="AA64" i="1"/>
  <c r="AB64" i="1" s="1"/>
  <c r="AF34" i="5"/>
  <c r="AG34" i="5" s="1"/>
  <c r="AG33" i="5"/>
  <c r="AB26" i="4"/>
  <c r="AA25" i="4"/>
  <c r="AA33" i="6"/>
  <c r="AB32" i="6"/>
  <c r="AG32" i="3"/>
  <c r="AF33" i="3"/>
  <c r="AG48" i="5"/>
  <c r="AF49" i="5"/>
  <c r="AG49" i="5" s="1"/>
  <c r="AA34" i="1"/>
  <c r="AB34" i="1" s="1"/>
  <c r="AB33" i="1"/>
  <c r="AF48" i="2"/>
  <c r="AG47" i="2"/>
  <c r="O49" i="4"/>
  <c r="T8" i="4"/>
  <c r="AB40" i="5"/>
  <c r="AA39" i="5"/>
  <c r="AB39" i="5" s="1"/>
  <c r="AA39" i="1"/>
  <c r="AB39" i="1" s="1"/>
  <c r="AB40" i="1"/>
  <c r="AG48" i="4"/>
  <c r="AF49" i="4"/>
  <c r="AG49" i="4" s="1"/>
  <c r="Y13" i="5"/>
  <c r="T13" i="5"/>
  <c r="S13" i="5"/>
  <c r="V13" i="5"/>
  <c r="R13" i="5"/>
  <c r="Q13" i="5"/>
  <c r="N14" i="5"/>
  <c r="U13" i="5"/>
  <c r="S12" i="6"/>
  <c r="N13" i="6"/>
  <c r="R12" i="6"/>
  <c r="Q12" i="6"/>
  <c r="X12" i="6"/>
  <c r="AB32" i="4"/>
  <c r="AA33" i="4"/>
  <c r="AB32" i="2"/>
  <c r="AA33" i="2"/>
  <c r="AG41" i="1"/>
  <c r="AF40" i="1"/>
  <c r="AB56" i="1"/>
  <c r="AA55" i="1"/>
  <c r="AG40" i="3" l="1"/>
  <c r="AF39" i="3"/>
  <c r="AG39" i="3" s="1"/>
  <c r="P9" i="2"/>
  <c r="W9" i="2" s="1"/>
  <c r="P12" i="2"/>
  <c r="W12" i="2" s="1"/>
  <c r="P11" i="2"/>
  <c r="W11" i="2" s="1"/>
  <c r="AG55" i="5"/>
  <c r="AF54" i="5"/>
  <c r="AG54" i="5" s="1"/>
  <c r="AB25" i="3"/>
  <c r="AA24" i="3"/>
  <c r="AB24" i="3" s="1"/>
  <c r="O49" i="1"/>
  <c r="F32" i="1"/>
  <c r="F33" i="1" s="1"/>
  <c r="P13" i="1" s="1"/>
  <c r="W13" i="1" s="1"/>
  <c r="AB25" i="2"/>
  <c r="AA24" i="2"/>
  <c r="AB24" i="2" s="1"/>
  <c r="AF24" i="6"/>
  <c r="AG24" i="6" s="1"/>
  <c r="AG25" i="6"/>
  <c r="AG33" i="1"/>
  <c r="AF34" i="1"/>
  <c r="AG34" i="1" s="1"/>
  <c r="P13" i="5"/>
  <c r="W13" i="5" s="1"/>
  <c r="AG25" i="1"/>
  <c r="AF24" i="1"/>
  <c r="AG24" i="1" s="1"/>
  <c r="AB40" i="6"/>
  <c r="AA39" i="6"/>
  <c r="AB39" i="6" s="1"/>
  <c r="W9" i="5"/>
  <c r="AB55" i="1"/>
  <c r="AA54" i="1"/>
  <c r="AB54" i="1" s="1"/>
  <c r="AF39" i="1"/>
  <c r="AG39" i="1" s="1"/>
  <c r="AG40" i="1"/>
  <c r="AA39" i="2"/>
  <c r="AB39" i="2" s="1"/>
  <c r="AB40" i="2"/>
  <c r="P11" i="5"/>
  <c r="W11" i="5" s="1"/>
  <c r="AB33" i="5"/>
  <c r="AA34" i="5"/>
  <c r="AB34" i="5" s="1"/>
  <c r="AA39" i="3"/>
  <c r="AB39" i="3" s="1"/>
  <c r="AB40" i="3"/>
  <c r="AA34" i="2"/>
  <c r="AB34" i="2" s="1"/>
  <c r="AB33" i="2"/>
  <c r="X13" i="6"/>
  <c r="Q13" i="6"/>
  <c r="S13" i="6"/>
  <c r="N14" i="6"/>
  <c r="R13" i="6"/>
  <c r="AF49" i="2"/>
  <c r="AG49" i="2" s="1"/>
  <c r="AG48" i="2"/>
  <c r="AA34" i="6"/>
  <c r="AB34" i="6" s="1"/>
  <c r="AB33" i="6"/>
  <c r="P10" i="5"/>
  <c r="W10" i="5" s="1"/>
  <c r="F33" i="4"/>
  <c r="P10" i="4" s="1"/>
  <c r="T10" i="4" s="1"/>
  <c r="AB25" i="5"/>
  <c r="AA24" i="5"/>
  <c r="AB24" i="5" s="1"/>
  <c r="AG48" i="3"/>
  <c r="AF49" i="3"/>
  <c r="AG49" i="3" s="1"/>
  <c r="AB48" i="4"/>
  <c r="AA49" i="4"/>
  <c r="AB49" i="4" s="1"/>
  <c r="T8" i="3"/>
  <c r="O49" i="3"/>
  <c r="AA34" i="4"/>
  <c r="AB34" i="4" s="1"/>
  <c r="AB33" i="4"/>
  <c r="F33" i="6"/>
  <c r="P12" i="6" s="1"/>
  <c r="T12" i="6" s="1"/>
  <c r="X14" i="4"/>
  <c r="Q14" i="4"/>
  <c r="P14" i="4"/>
  <c r="S14" i="4"/>
  <c r="N15" i="4"/>
  <c r="R14" i="4"/>
  <c r="AF39" i="5"/>
  <c r="AG39" i="5" s="1"/>
  <c r="AG40" i="5"/>
  <c r="P14" i="3"/>
  <c r="S14" i="3"/>
  <c r="N15" i="3"/>
  <c r="R14" i="3"/>
  <c r="X14" i="3"/>
  <c r="Q14" i="3"/>
  <c r="AF39" i="6"/>
  <c r="AG39" i="6" s="1"/>
  <c r="AG40" i="6"/>
  <c r="P12" i="5"/>
  <c r="W12" i="5" s="1"/>
  <c r="V14" i="5"/>
  <c r="R14" i="5"/>
  <c r="N15" i="5"/>
  <c r="U14" i="5"/>
  <c r="Q14" i="5"/>
  <c r="Y14" i="5"/>
  <c r="T14" i="5"/>
  <c r="P14" i="5"/>
  <c r="S14" i="5"/>
  <c r="AG33" i="3"/>
  <c r="AF34" i="3"/>
  <c r="AG34" i="3" s="1"/>
  <c r="AB25" i="4"/>
  <c r="AA24" i="4"/>
  <c r="AB24" i="4" s="1"/>
  <c r="AB25" i="6"/>
  <c r="AA24" i="6"/>
  <c r="AB24" i="6" s="1"/>
  <c r="AB33" i="3"/>
  <c r="AA34" i="3"/>
  <c r="AB34" i="3" s="1"/>
  <c r="AB55" i="2"/>
  <c r="AA54" i="2"/>
  <c r="AB54" i="2" s="1"/>
  <c r="W14" i="1"/>
  <c r="Y15" i="1"/>
  <c r="T15" i="1"/>
  <c r="P15" i="1"/>
  <c r="R15" i="1"/>
  <c r="N16" i="1"/>
  <c r="Q15" i="1"/>
  <c r="S15" i="1"/>
  <c r="V15" i="1"/>
  <c r="U15" i="1"/>
  <c r="V13" i="2"/>
  <c r="R13" i="2"/>
  <c r="N14" i="2"/>
  <c r="U13" i="2"/>
  <c r="Q13" i="2"/>
  <c r="Y13" i="2"/>
  <c r="T13" i="2"/>
  <c r="P13" i="2"/>
  <c r="S13" i="2"/>
  <c r="F32" i="3"/>
  <c r="P12" i="4" l="1"/>
  <c r="T12" i="4" s="1"/>
  <c r="P10" i="1"/>
  <c r="W10" i="1" s="1"/>
  <c r="P12" i="1"/>
  <c r="W12" i="1" s="1"/>
  <c r="P11" i="1"/>
  <c r="W11" i="1" s="1"/>
  <c r="P9" i="1"/>
  <c r="W9" i="1" s="1"/>
  <c r="P11" i="6"/>
  <c r="T11" i="6" s="1"/>
  <c r="P10" i="6"/>
  <c r="T10" i="6" s="1"/>
  <c r="W14" i="5"/>
  <c r="T14" i="4"/>
  <c r="P13" i="6"/>
  <c r="T13" i="6" s="1"/>
  <c r="P9" i="6"/>
  <c r="T9" i="6" s="1"/>
  <c r="P11" i="4"/>
  <c r="T11" i="4" s="1"/>
  <c r="P9" i="4"/>
  <c r="T9" i="4" s="1"/>
  <c r="P13" i="4"/>
  <c r="T13" i="4" s="1"/>
  <c r="F33" i="3"/>
  <c r="P9" i="3" s="1"/>
  <c r="Y14" i="2"/>
  <c r="T14" i="2"/>
  <c r="P14" i="2"/>
  <c r="S14" i="2"/>
  <c r="V14" i="2"/>
  <c r="R14" i="2"/>
  <c r="Q14" i="2"/>
  <c r="N15" i="2"/>
  <c r="U14" i="2"/>
  <c r="Y15" i="5"/>
  <c r="T15" i="5"/>
  <c r="P15" i="5"/>
  <c r="S15" i="5"/>
  <c r="V15" i="5"/>
  <c r="R15" i="5"/>
  <c r="N16" i="5"/>
  <c r="U15" i="5"/>
  <c r="Q15" i="5"/>
  <c r="W15" i="1"/>
  <c r="N16" i="4"/>
  <c r="R15" i="4"/>
  <c r="X15" i="4"/>
  <c r="Q15" i="4"/>
  <c r="P15" i="4"/>
  <c r="S15" i="4"/>
  <c r="N17" i="1"/>
  <c r="V16" i="1"/>
  <c r="R16" i="1"/>
  <c r="Y16" i="1"/>
  <c r="P16" i="1"/>
  <c r="S16" i="1"/>
  <c r="U16" i="1"/>
  <c r="Q16" i="1"/>
  <c r="T16" i="1"/>
  <c r="T14" i="3"/>
  <c r="W13" i="2"/>
  <c r="X15" i="3"/>
  <c r="Q15" i="3"/>
  <c r="P15" i="3"/>
  <c r="N16" i="3"/>
  <c r="S15" i="3"/>
  <c r="R15" i="3"/>
  <c r="N15" i="6"/>
  <c r="R14" i="6"/>
  <c r="X14" i="6"/>
  <c r="Q14" i="6"/>
  <c r="P14" i="6"/>
  <c r="S14" i="6"/>
  <c r="T14" i="6" l="1"/>
  <c r="T15" i="3"/>
  <c r="P12" i="3"/>
  <c r="T12" i="3" s="1"/>
  <c r="T9" i="3"/>
  <c r="S17" i="1"/>
  <c r="U17" i="1"/>
  <c r="Y17" i="1"/>
  <c r="P17" i="1"/>
  <c r="V17" i="1"/>
  <c r="R17" i="1"/>
  <c r="N18" i="1"/>
  <c r="Q17" i="1"/>
  <c r="T17" i="1"/>
  <c r="S16" i="4"/>
  <c r="N17" i="4"/>
  <c r="R16" i="4"/>
  <c r="X16" i="4"/>
  <c r="Q16" i="4"/>
  <c r="P16" i="4"/>
  <c r="P10" i="3"/>
  <c r="T10" i="3" s="1"/>
  <c r="V16" i="5"/>
  <c r="R16" i="5"/>
  <c r="N17" i="5"/>
  <c r="U16" i="5"/>
  <c r="Q16" i="5"/>
  <c r="Y16" i="5"/>
  <c r="T16" i="5"/>
  <c r="P16" i="5"/>
  <c r="S16" i="5"/>
  <c r="W15" i="5"/>
  <c r="P11" i="3"/>
  <c r="T11" i="3" s="1"/>
  <c r="S15" i="6"/>
  <c r="N16" i="6"/>
  <c r="R15" i="6"/>
  <c r="X15" i="6"/>
  <c r="Q15" i="6"/>
  <c r="P15" i="6"/>
  <c r="W14" i="2"/>
  <c r="W16" i="1"/>
  <c r="T15" i="4"/>
  <c r="X16" i="3"/>
  <c r="Q16" i="3"/>
  <c r="P16" i="3"/>
  <c r="S16" i="3"/>
  <c r="N17" i="3"/>
  <c r="R16" i="3"/>
  <c r="V15" i="2"/>
  <c r="R15" i="2"/>
  <c r="N16" i="2"/>
  <c r="U15" i="2"/>
  <c r="Q15" i="2"/>
  <c r="Y15" i="2"/>
  <c r="T15" i="2"/>
  <c r="P15" i="2"/>
  <c r="S15" i="2"/>
  <c r="P13" i="3"/>
  <c r="T13" i="3" s="1"/>
  <c r="T16" i="4" l="1"/>
  <c r="N19" i="1"/>
  <c r="U18" i="1"/>
  <c r="Q18" i="1"/>
  <c r="S18" i="1"/>
  <c r="V18" i="1"/>
  <c r="Y18" i="1"/>
  <c r="T18" i="1"/>
  <c r="P18" i="1"/>
  <c r="R18" i="1"/>
  <c r="S16" i="6"/>
  <c r="X16" i="6"/>
  <c r="P16" i="6"/>
  <c r="R16" i="6"/>
  <c r="N17" i="6"/>
  <c r="Q16" i="6"/>
  <c r="W16" i="5"/>
  <c r="Y16" i="2"/>
  <c r="T16" i="2"/>
  <c r="P16" i="2"/>
  <c r="S16" i="2"/>
  <c r="V16" i="2"/>
  <c r="R16" i="2"/>
  <c r="Q16" i="2"/>
  <c r="N17" i="2"/>
  <c r="U16" i="2"/>
  <c r="P17" i="4"/>
  <c r="S17" i="4"/>
  <c r="N18" i="4"/>
  <c r="R17" i="4"/>
  <c r="Q17" i="4"/>
  <c r="X17" i="4"/>
  <c r="T16" i="3"/>
  <c r="T15" i="6"/>
  <c r="W15" i="2"/>
  <c r="N18" i="3"/>
  <c r="R17" i="3"/>
  <c r="X17" i="3"/>
  <c r="Q17" i="3"/>
  <c r="P17" i="3"/>
  <c r="S17" i="3"/>
  <c r="Y17" i="5"/>
  <c r="T17" i="5"/>
  <c r="P17" i="5"/>
  <c r="S17" i="5"/>
  <c r="V17" i="5"/>
  <c r="R17" i="5"/>
  <c r="N18" i="5"/>
  <c r="U17" i="5"/>
  <c r="Q17" i="5"/>
  <c r="W17" i="1"/>
  <c r="T17" i="4" l="1"/>
  <c r="S19" i="1"/>
  <c r="U19" i="1"/>
  <c r="Q19" i="1"/>
  <c r="T19" i="1"/>
  <c r="V19" i="1"/>
  <c r="R19" i="1"/>
  <c r="N20" i="1"/>
  <c r="Y19" i="1"/>
  <c r="P19" i="1"/>
  <c r="V18" i="5"/>
  <c r="R18" i="5"/>
  <c r="N19" i="5"/>
  <c r="U18" i="5"/>
  <c r="Q18" i="5"/>
  <c r="Y18" i="5"/>
  <c r="T18" i="5"/>
  <c r="P18" i="5"/>
  <c r="S18" i="5"/>
  <c r="W17" i="5"/>
  <c r="T17" i="3"/>
  <c r="S18" i="3"/>
  <c r="N19" i="3"/>
  <c r="R18" i="3"/>
  <c r="X18" i="3"/>
  <c r="Q18" i="3"/>
  <c r="P18" i="3"/>
  <c r="X18" i="4"/>
  <c r="Q18" i="4"/>
  <c r="P18" i="4"/>
  <c r="S18" i="4"/>
  <c r="N19" i="4"/>
  <c r="R18" i="4"/>
  <c r="V17" i="2"/>
  <c r="R17" i="2"/>
  <c r="N18" i="2"/>
  <c r="U17" i="2"/>
  <c r="Q17" i="2"/>
  <c r="Y17" i="2"/>
  <c r="T17" i="2"/>
  <c r="P17" i="2"/>
  <c r="S17" i="2"/>
  <c r="T16" i="6"/>
  <c r="W18" i="1"/>
  <c r="P17" i="6"/>
  <c r="S17" i="6"/>
  <c r="X17" i="6"/>
  <c r="R17" i="6"/>
  <c r="Q17" i="6"/>
  <c r="N18" i="6"/>
  <c r="W16" i="2"/>
  <c r="W17" i="2" l="1"/>
  <c r="W19" i="1"/>
  <c r="Y18" i="2"/>
  <c r="T18" i="2"/>
  <c r="P18" i="2"/>
  <c r="S18" i="2"/>
  <c r="V18" i="2"/>
  <c r="R18" i="2"/>
  <c r="N19" i="2"/>
  <c r="U18" i="2"/>
  <c r="Q18" i="2"/>
  <c r="T17" i="6"/>
  <c r="T18" i="3"/>
  <c r="P19" i="3"/>
  <c r="S19" i="3"/>
  <c r="N20" i="3"/>
  <c r="R19" i="3"/>
  <c r="X19" i="3"/>
  <c r="Q19" i="3"/>
  <c r="N21" i="1"/>
  <c r="U20" i="1"/>
  <c r="Q20" i="1"/>
  <c r="S20" i="1"/>
  <c r="R20" i="1"/>
  <c r="Y20" i="1"/>
  <c r="T20" i="1"/>
  <c r="P20" i="1"/>
  <c r="V20" i="1"/>
  <c r="Y19" i="5"/>
  <c r="T19" i="5"/>
  <c r="P19" i="5"/>
  <c r="S19" i="5"/>
  <c r="V19" i="5"/>
  <c r="R19" i="5"/>
  <c r="U19" i="5"/>
  <c r="Q19" i="5"/>
  <c r="N20" i="5"/>
  <c r="X18" i="6"/>
  <c r="Q18" i="6"/>
  <c r="P18" i="6"/>
  <c r="N19" i="6"/>
  <c r="S18" i="6"/>
  <c r="R18" i="6"/>
  <c r="N20" i="4"/>
  <c r="R19" i="4"/>
  <c r="X19" i="4"/>
  <c r="Q19" i="4"/>
  <c r="P19" i="4"/>
  <c r="S19" i="4"/>
  <c r="T18" i="4"/>
  <c r="W18" i="5"/>
  <c r="T18" i="6" l="1"/>
  <c r="N20" i="6"/>
  <c r="R19" i="6"/>
  <c r="X19" i="6"/>
  <c r="Q19" i="6"/>
  <c r="S19" i="6"/>
  <c r="P19" i="6"/>
  <c r="T19" i="4"/>
  <c r="S21" i="1"/>
  <c r="N22" i="1"/>
  <c r="Q21" i="1"/>
  <c r="Y21" i="1"/>
  <c r="P21" i="1"/>
  <c r="V21" i="1"/>
  <c r="R21" i="1"/>
  <c r="U21" i="1"/>
  <c r="T21" i="1"/>
  <c r="W18" i="2"/>
  <c r="W19" i="5"/>
  <c r="W20" i="1"/>
  <c r="Y20" i="5"/>
  <c r="V20" i="5"/>
  <c r="R20" i="5"/>
  <c r="U20" i="5"/>
  <c r="Q20" i="5"/>
  <c r="N21" i="5"/>
  <c r="T20" i="5"/>
  <c r="P20" i="5"/>
  <c r="S20" i="5"/>
  <c r="S20" i="4"/>
  <c r="N21" i="4"/>
  <c r="R20" i="4"/>
  <c r="X20" i="4"/>
  <c r="Q20" i="4"/>
  <c r="P20" i="4"/>
  <c r="X20" i="3"/>
  <c r="Q20" i="3"/>
  <c r="P20" i="3"/>
  <c r="S20" i="3"/>
  <c r="N21" i="3"/>
  <c r="R20" i="3"/>
  <c r="V19" i="2"/>
  <c r="R19" i="2"/>
  <c r="N20" i="2"/>
  <c r="U19" i="2"/>
  <c r="Q19" i="2"/>
  <c r="Y19" i="2"/>
  <c r="T19" i="2"/>
  <c r="P19" i="2"/>
  <c r="S19" i="2"/>
  <c r="T19" i="3"/>
  <c r="T20" i="4" l="1"/>
  <c r="P21" i="4"/>
  <c r="S21" i="4"/>
  <c r="N22" i="4"/>
  <c r="R21" i="4"/>
  <c r="X21" i="4"/>
  <c r="Q21" i="4"/>
  <c r="T20" i="3"/>
  <c r="W19" i="2"/>
  <c r="T19" i="6"/>
  <c r="W21" i="1"/>
  <c r="Y21" i="5"/>
  <c r="T21" i="5"/>
  <c r="V21" i="5"/>
  <c r="R21" i="5"/>
  <c r="Q21" i="5"/>
  <c r="N22" i="5"/>
  <c r="P21" i="5"/>
  <c r="U21" i="5"/>
  <c r="S21" i="5"/>
  <c r="Y20" i="2"/>
  <c r="T20" i="2"/>
  <c r="P20" i="2"/>
  <c r="S20" i="2"/>
  <c r="V20" i="2"/>
  <c r="R20" i="2"/>
  <c r="U20" i="2"/>
  <c r="Q20" i="2"/>
  <c r="N21" i="2"/>
  <c r="N22" i="3"/>
  <c r="R21" i="3"/>
  <c r="X21" i="3"/>
  <c r="Q21" i="3"/>
  <c r="P21" i="3"/>
  <c r="S21" i="3"/>
  <c r="W20" i="5"/>
  <c r="N23" i="1"/>
  <c r="U22" i="1"/>
  <c r="Q22" i="1"/>
  <c r="S22" i="1"/>
  <c r="V22" i="1"/>
  <c r="Y22" i="1"/>
  <c r="T22" i="1"/>
  <c r="P22" i="1"/>
  <c r="R22" i="1"/>
  <c r="S20" i="6"/>
  <c r="N21" i="6"/>
  <c r="R20" i="6"/>
  <c r="P20" i="6"/>
  <c r="X20" i="6"/>
  <c r="Q20" i="6"/>
  <c r="W22" i="1" l="1"/>
  <c r="W20" i="2"/>
  <c r="X22" i="4"/>
  <c r="Q22" i="4"/>
  <c r="P22" i="4"/>
  <c r="S22" i="4"/>
  <c r="N23" i="4"/>
  <c r="R22" i="4"/>
  <c r="T21" i="3"/>
  <c r="S22" i="3"/>
  <c r="N23" i="3"/>
  <c r="R22" i="3"/>
  <c r="X22" i="3"/>
  <c r="Q22" i="3"/>
  <c r="P22" i="3"/>
  <c r="V22" i="5"/>
  <c r="R22" i="5"/>
  <c r="N23" i="5"/>
  <c r="U22" i="5"/>
  <c r="Q22" i="5"/>
  <c r="Y22" i="5"/>
  <c r="T22" i="5"/>
  <c r="P22" i="5"/>
  <c r="S22" i="5"/>
  <c r="P21" i="6"/>
  <c r="S21" i="6"/>
  <c r="Q21" i="6"/>
  <c r="N22" i="6"/>
  <c r="X21" i="6"/>
  <c r="R21" i="6"/>
  <c r="T20" i="6"/>
  <c r="N24" i="1"/>
  <c r="S23" i="1"/>
  <c r="Q23" i="1"/>
  <c r="T23" i="1"/>
  <c r="V23" i="1"/>
  <c r="R23" i="1"/>
  <c r="U23" i="1"/>
  <c r="Y23" i="1"/>
  <c r="P23" i="1"/>
  <c r="V21" i="2"/>
  <c r="R21" i="2"/>
  <c r="N22" i="2"/>
  <c r="U21" i="2"/>
  <c r="Q21" i="2"/>
  <c r="Y21" i="2"/>
  <c r="T21" i="2"/>
  <c r="P21" i="2"/>
  <c r="S21" i="2"/>
  <c r="W21" i="5"/>
  <c r="T21" i="4"/>
  <c r="T21" i="6" l="1"/>
  <c r="T22" i="4"/>
  <c r="W21" i="2"/>
  <c r="X22" i="6"/>
  <c r="Q22" i="6"/>
  <c r="P22" i="6"/>
  <c r="R22" i="6"/>
  <c r="N23" i="6"/>
  <c r="S22" i="6"/>
  <c r="Y22" i="2"/>
  <c r="T22" i="2"/>
  <c r="P22" i="2"/>
  <c r="S22" i="2"/>
  <c r="V22" i="2"/>
  <c r="R22" i="2"/>
  <c r="Q22" i="2"/>
  <c r="N23" i="2"/>
  <c r="U22" i="2"/>
  <c r="W22" i="5"/>
  <c r="T22" i="3"/>
  <c r="N24" i="3"/>
  <c r="P23" i="3"/>
  <c r="S23" i="3"/>
  <c r="R23" i="3"/>
  <c r="X23" i="3"/>
  <c r="Q23" i="3"/>
  <c r="R23" i="4"/>
  <c r="X23" i="4"/>
  <c r="Q23" i="4"/>
  <c r="N24" i="4"/>
  <c r="P23" i="4"/>
  <c r="S23" i="4"/>
  <c r="W23" i="1"/>
  <c r="N25" i="1"/>
  <c r="S24" i="1"/>
  <c r="U24" i="1"/>
  <c r="P24" i="1"/>
  <c r="V24" i="1"/>
  <c r="R24" i="1"/>
  <c r="Q24" i="1"/>
  <c r="Y24" i="1"/>
  <c r="T24" i="1"/>
  <c r="Y23" i="5"/>
  <c r="T23" i="5"/>
  <c r="P23" i="5"/>
  <c r="N24" i="5"/>
  <c r="S23" i="5"/>
  <c r="V23" i="5"/>
  <c r="R23" i="5"/>
  <c r="U23" i="5"/>
  <c r="Q23" i="5"/>
  <c r="T22" i="6" l="1"/>
  <c r="N26" i="1"/>
  <c r="S25" i="1"/>
  <c r="U25" i="1"/>
  <c r="Y25" i="1"/>
  <c r="P25" i="1"/>
  <c r="V25" i="1"/>
  <c r="R25" i="1"/>
  <c r="Q25" i="1"/>
  <c r="T25" i="1"/>
  <c r="W24" i="1"/>
  <c r="S24" i="3"/>
  <c r="R24" i="3"/>
  <c r="X24" i="3"/>
  <c r="Q24" i="3"/>
  <c r="N25" i="3"/>
  <c r="P24" i="3"/>
  <c r="W22" i="2"/>
  <c r="R23" i="6"/>
  <c r="X23" i="6"/>
  <c r="Q23" i="6"/>
  <c r="S23" i="6"/>
  <c r="N24" i="6"/>
  <c r="P23" i="6"/>
  <c r="Y24" i="5"/>
  <c r="T24" i="5"/>
  <c r="P24" i="5"/>
  <c r="N25" i="5"/>
  <c r="S24" i="5"/>
  <c r="V24" i="5"/>
  <c r="R24" i="5"/>
  <c r="U24" i="5"/>
  <c r="Q24" i="5"/>
  <c r="X24" i="4"/>
  <c r="Q24" i="4"/>
  <c r="N25" i="4"/>
  <c r="P24" i="4"/>
  <c r="S24" i="4"/>
  <c r="R24" i="4"/>
  <c r="T23" i="3"/>
  <c r="W23" i="5"/>
  <c r="V23" i="2"/>
  <c r="R23" i="2"/>
  <c r="U23" i="2"/>
  <c r="Q23" i="2"/>
  <c r="Y23" i="2"/>
  <c r="T23" i="2"/>
  <c r="P23" i="2"/>
  <c r="N24" i="2"/>
  <c r="S23" i="2"/>
  <c r="T23" i="4"/>
  <c r="T24" i="3" l="1"/>
  <c r="T24" i="4"/>
  <c r="N26" i="4"/>
  <c r="P25" i="4"/>
  <c r="S25" i="4"/>
  <c r="R25" i="4"/>
  <c r="X25" i="4"/>
  <c r="Q25" i="4"/>
  <c r="Y25" i="5"/>
  <c r="T25" i="5"/>
  <c r="P25" i="5"/>
  <c r="N26" i="5"/>
  <c r="S25" i="5"/>
  <c r="V25" i="5"/>
  <c r="R25" i="5"/>
  <c r="Q25" i="5"/>
  <c r="U25" i="5"/>
  <c r="W24" i="5"/>
  <c r="X24" i="6"/>
  <c r="Q24" i="6"/>
  <c r="N25" i="6"/>
  <c r="P24" i="6"/>
  <c r="R24" i="6"/>
  <c r="S24" i="6"/>
  <c r="V24" i="2"/>
  <c r="R24" i="2"/>
  <c r="U24" i="2"/>
  <c r="Q24" i="2"/>
  <c r="Y24" i="2"/>
  <c r="T24" i="2"/>
  <c r="P24" i="2"/>
  <c r="S24" i="2"/>
  <c r="N25" i="2"/>
  <c r="W23" i="2"/>
  <c r="T23" i="6"/>
  <c r="R25" i="3"/>
  <c r="X25" i="3"/>
  <c r="Q25" i="3"/>
  <c r="N26" i="3"/>
  <c r="P25" i="3"/>
  <c r="S25" i="3"/>
  <c r="W25" i="1"/>
  <c r="N27" i="1"/>
  <c r="S26" i="1"/>
  <c r="Y26" i="1"/>
  <c r="P26" i="1"/>
  <c r="V26" i="1"/>
  <c r="R26" i="1"/>
  <c r="U26" i="1"/>
  <c r="Q26" i="1"/>
  <c r="T26" i="1"/>
  <c r="T24" i="6" l="1"/>
  <c r="V25" i="2"/>
  <c r="R25" i="2"/>
  <c r="U25" i="2"/>
  <c r="Q25" i="2"/>
  <c r="Y25" i="2"/>
  <c r="T25" i="2"/>
  <c r="P25" i="2"/>
  <c r="S25" i="2"/>
  <c r="N26" i="2"/>
  <c r="N26" i="6"/>
  <c r="P25" i="6"/>
  <c r="S25" i="6"/>
  <c r="R25" i="6"/>
  <c r="Q25" i="6"/>
  <c r="X25" i="6"/>
  <c r="T25" i="3"/>
  <c r="Y26" i="5"/>
  <c r="T26" i="5"/>
  <c r="P26" i="5"/>
  <c r="N27" i="5"/>
  <c r="S26" i="5"/>
  <c r="V26" i="5"/>
  <c r="R26" i="5"/>
  <c r="U26" i="5"/>
  <c r="Q26" i="5"/>
  <c r="T25" i="4"/>
  <c r="W26" i="1"/>
  <c r="N28" i="1"/>
  <c r="S27" i="1"/>
  <c r="U27" i="1"/>
  <c r="Q27" i="1"/>
  <c r="Y27" i="1"/>
  <c r="P27" i="1"/>
  <c r="V27" i="1"/>
  <c r="R27" i="1"/>
  <c r="T27" i="1"/>
  <c r="X26" i="3"/>
  <c r="Q26" i="3"/>
  <c r="N27" i="3"/>
  <c r="P26" i="3"/>
  <c r="S26" i="3"/>
  <c r="R26" i="3"/>
  <c r="W24" i="2"/>
  <c r="W25" i="5"/>
  <c r="S26" i="4"/>
  <c r="R26" i="4"/>
  <c r="X26" i="4"/>
  <c r="Q26" i="4"/>
  <c r="N27" i="4"/>
  <c r="P26" i="4"/>
  <c r="T26" i="3" l="1"/>
  <c r="Y27" i="5"/>
  <c r="T27" i="5"/>
  <c r="P27" i="5"/>
  <c r="N28" i="5"/>
  <c r="S27" i="5"/>
  <c r="V27" i="5"/>
  <c r="R27" i="5"/>
  <c r="U27" i="5"/>
  <c r="Q27" i="5"/>
  <c r="W25" i="2"/>
  <c r="T26" i="4"/>
  <c r="S26" i="6"/>
  <c r="R26" i="6"/>
  <c r="Q26" i="6"/>
  <c r="P26" i="6"/>
  <c r="N27" i="6"/>
  <c r="X26" i="6"/>
  <c r="N29" i="1"/>
  <c r="S28" i="1"/>
  <c r="Y28" i="1"/>
  <c r="P28" i="1"/>
  <c r="V28" i="1"/>
  <c r="R28" i="1"/>
  <c r="U28" i="1"/>
  <c r="Q28" i="1"/>
  <c r="T28" i="1"/>
  <c r="N28" i="3"/>
  <c r="P27" i="3"/>
  <c r="S27" i="3"/>
  <c r="R27" i="3"/>
  <c r="X27" i="3"/>
  <c r="Q27" i="3"/>
  <c r="W26" i="5"/>
  <c r="T25" i="6"/>
  <c r="R27" i="4"/>
  <c r="X27" i="4"/>
  <c r="Q27" i="4"/>
  <c r="N28" i="4"/>
  <c r="P27" i="4"/>
  <c r="S27" i="4"/>
  <c r="W27" i="1"/>
  <c r="V26" i="2"/>
  <c r="R26" i="2"/>
  <c r="U26" i="2"/>
  <c r="Q26" i="2"/>
  <c r="Y26" i="2"/>
  <c r="T26" i="2"/>
  <c r="P26" i="2"/>
  <c r="S26" i="2"/>
  <c r="N27" i="2"/>
  <c r="W26" i="2" l="1"/>
  <c r="T27" i="3"/>
  <c r="T26" i="6"/>
  <c r="W27" i="5"/>
  <c r="X28" i="4"/>
  <c r="Q28" i="4"/>
  <c r="N29" i="4"/>
  <c r="P28" i="4"/>
  <c r="S28" i="4"/>
  <c r="R28" i="4"/>
  <c r="S29" i="1"/>
  <c r="N30" i="1"/>
  <c r="U29" i="1"/>
  <c r="Q29" i="1"/>
  <c r="P29" i="1"/>
  <c r="V29" i="1"/>
  <c r="R29" i="1"/>
  <c r="Y29" i="1"/>
  <c r="T29" i="1"/>
  <c r="R27" i="6"/>
  <c r="X27" i="6"/>
  <c r="Q27" i="6"/>
  <c r="S27" i="6"/>
  <c r="P27" i="6"/>
  <c r="N28" i="6"/>
  <c r="Y28" i="5"/>
  <c r="T28" i="5"/>
  <c r="P28" i="5"/>
  <c r="N29" i="5"/>
  <c r="S28" i="5"/>
  <c r="V28" i="5"/>
  <c r="R28" i="5"/>
  <c r="U28" i="5"/>
  <c r="Q28" i="5"/>
  <c r="T27" i="4"/>
  <c r="S28" i="3"/>
  <c r="R28" i="3"/>
  <c r="X28" i="3"/>
  <c r="Q28" i="3"/>
  <c r="P28" i="3"/>
  <c r="N29" i="3"/>
  <c r="V27" i="2"/>
  <c r="R27" i="2"/>
  <c r="U27" i="2"/>
  <c r="Q27" i="2"/>
  <c r="Y27" i="2"/>
  <c r="T27" i="2"/>
  <c r="P27" i="2"/>
  <c r="S27" i="2"/>
  <c r="N28" i="2"/>
  <c r="W28" i="1"/>
  <c r="V28" i="2" l="1"/>
  <c r="R28" i="2"/>
  <c r="U28" i="2"/>
  <c r="Q28" i="2"/>
  <c r="Y28" i="2"/>
  <c r="T28" i="2"/>
  <c r="P28" i="2"/>
  <c r="N29" i="2"/>
  <c r="S28" i="2"/>
  <c r="N30" i="3"/>
  <c r="R29" i="3"/>
  <c r="X29" i="3"/>
  <c r="Q29" i="3"/>
  <c r="P29" i="3"/>
  <c r="S29" i="3"/>
  <c r="Y29" i="5"/>
  <c r="T29" i="5"/>
  <c r="P29" i="5"/>
  <c r="S29" i="5"/>
  <c r="V29" i="5"/>
  <c r="R29" i="5"/>
  <c r="Q29" i="5"/>
  <c r="N30" i="5"/>
  <c r="U29" i="5"/>
  <c r="W27" i="2"/>
  <c r="T28" i="3"/>
  <c r="W28" i="5"/>
  <c r="T27" i="6"/>
  <c r="U30" i="1"/>
  <c r="Q30" i="1"/>
  <c r="S30" i="1"/>
  <c r="V30" i="1"/>
  <c r="Y30" i="1"/>
  <c r="T30" i="1"/>
  <c r="P30" i="1"/>
  <c r="N31" i="1"/>
  <c r="R30" i="1"/>
  <c r="T28" i="4"/>
  <c r="X28" i="6"/>
  <c r="Q28" i="6"/>
  <c r="N29" i="6"/>
  <c r="P28" i="6"/>
  <c r="S28" i="6"/>
  <c r="R28" i="6"/>
  <c r="W29" i="1"/>
  <c r="P29" i="4"/>
  <c r="S29" i="4"/>
  <c r="N30" i="4"/>
  <c r="R29" i="4"/>
  <c r="X29" i="4"/>
  <c r="Q29" i="4"/>
  <c r="X30" i="4" l="1"/>
  <c r="Q30" i="4"/>
  <c r="P30" i="4"/>
  <c r="N31" i="4"/>
  <c r="S30" i="4"/>
  <c r="R30" i="4"/>
  <c r="V29" i="2"/>
  <c r="R29" i="2"/>
  <c r="N30" i="2"/>
  <c r="U29" i="2"/>
  <c r="Q29" i="2"/>
  <c r="Y29" i="2"/>
  <c r="T29" i="2"/>
  <c r="P29" i="2"/>
  <c r="S29" i="2"/>
  <c r="W30" i="1"/>
  <c r="N31" i="5"/>
  <c r="V30" i="5"/>
  <c r="R30" i="5"/>
  <c r="U30" i="5"/>
  <c r="Q30" i="5"/>
  <c r="Y30" i="5"/>
  <c r="T30" i="5"/>
  <c r="P30" i="5"/>
  <c r="S30" i="5"/>
  <c r="T28" i="6"/>
  <c r="W29" i="5"/>
  <c r="T29" i="3"/>
  <c r="N31" i="3"/>
  <c r="S30" i="3"/>
  <c r="R30" i="3"/>
  <c r="X30" i="3"/>
  <c r="Q30" i="3"/>
  <c r="P30" i="3"/>
  <c r="N32" i="1"/>
  <c r="V31" i="1"/>
  <c r="R31" i="1"/>
  <c r="Y31" i="1"/>
  <c r="P31" i="1"/>
  <c r="U31" i="1"/>
  <c r="Q31" i="1"/>
  <c r="T31" i="1"/>
  <c r="S31" i="1"/>
  <c r="W28" i="2"/>
  <c r="T29" i="4"/>
  <c r="P29" i="6"/>
  <c r="S29" i="6"/>
  <c r="R29" i="6"/>
  <c r="Q29" i="6"/>
  <c r="N30" i="6"/>
  <c r="X29" i="6"/>
  <c r="W30" i="5" l="1"/>
  <c r="T30" i="4"/>
  <c r="S32" i="1"/>
  <c r="U32" i="1"/>
  <c r="T32" i="1"/>
  <c r="V32" i="1"/>
  <c r="R32" i="1"/>
  <c r="N33" i="1"/>
  <c r="Q32" i="1"/>
  <c r="Y32" i="1"/>
  <c r="P32" i="1"/>
  <c r="X30" i="6"/>
  <c r="Q30" i="6"/>
  <c r="P30" i="6"/>
  <c r="S30" i="6"/>
  <c r="R30" i="6"/>
  <c r="N31" i="6"/>
  <c r="T29" i="6"/>
  <c r="T30" i="3"/>
  <c r="W29" i="2"/>
  <c r="X31" i="4"/>
  <c r="Q31" i="4"/>
  <c r="P31" i="4"/>
  <c r="N32" i="4"/>
  <c r="S31" i="4"/>
  <c r="R31" i="4"/>
  <c r="W31" i="1"/>
  <c r="N32" i="3"/>
  <c r="S31" i="3"/>
  <c r="R31" i="3"/>
  <c r="X31" i="3"/>
  <c r="Q31" i="3"/>
  <c r="P31" i="3"/>
  <c r="S31" i="5"/>
  <c r="N32" i="5"/>
  <c r="V31" i="5"/>
  <c r="R31" i="5"/>
  <c r="U31" i="5"/>
  <c r="Q31" i="5"/>
  <c r="P31" i="5"/>
  <c r="Y31" i="5"/>
  <c r="T31" i="5"/>
  <c r="Y30" i="2"/>
  <c r="T30" i="2"/>
  <c r="P30" i="2"/>
  <c r="S30" i="2"/>
  <c r="N31" i="2"/>
  <c r="V30" i="2"/>
  <c r="R30" i="2"/>
  <c r="Q30" i="2"/>
  <c r="U30" i="2"/>
  <c r="T30" i="6" l="1"/>
  <c r="W30" i="2"/>
  <c r="T31" i="3"/>
  <c r="X31" i="6"/>
  <c r="Q31" i="6"/>
  <c r="P31" i="6"/>
  <c r="N32" i="6"/>
  <c r="S31" i="6"/>
  <c r="R31" i="6"/>
  <c r="N33" i="3"/>
  <c r="S32" i="3"/>
  <c r="R32" i="3"/>
  <c r="X32" i="3"/>
  <c r="Q32" i="3"/>
  <c r="P32" i="3"/>
  <c r="X32" i="4"/>
  <c r="Q32" i="4"/>
  <c r="P32" i="4"/>
  <c r="N33" i="4"/>
  <c r="S32" i="4"/>
  <c r="R32" i="4"/>
  <c r="N34" i="1"/>
  <c r="U33" i="1"/>
  <c r="Q33" i="1"/>
  <c r="R33" i="1"/>
  <c r="Y33" i="1"/>
  <c r="T33" i="1"/>
  <c r="P33" i="1"/>
  <c r="S33" i="1"/>
  <c r="V33" i="1"/>
  <c r="W31" i="5"/>
  <c r="U31" i="2"/>
  <c r="Q31" i="2"/>
  <c r="Y31" i="2"/>
  <c r="T31" i="2"/>
  <c r="P31" i="2"/>
  <c r="S31" i="2"/>
  <c r="N32" i="2"/>
  <c r="V31" i="2"/>
  <c r="R31" i="2"/>
  <c r="Y32" i="5"/>
  <c r="T32" i="5"/>
  <c r="P32" i="5"/>
  <c r="S32" i="5"/>
  <c r="V32" i="5"/>
  <c r="R32" i="5"/>
  <c r="N33" i="5"/>
  <c r="U32" i="5"/>
  <c r="Q32" i="5"/>
  <c r="T31" i="4"/>
  <c r="W32" i="1"/>
  <c r="W31" i="2" l="1"/>
  <c r="W33" i="1"/>
  <c r="V33" i="5"/>
  <c r="R33" i="5"/>
  <c r="N34" i="5"/>
  <c r="U33" i="5"/>
  <c r="Q33" i="5"/>
  <c r="Y33" i="5"/>
  <c r="T33" i="5"/>
  <c r="P33" i="5"/>
  <c r="S33" i="5"/>
  <c r="W32" i="5"/>
  <c r="X33" i="4"/>
  <c r="Q33" i="4"/>
  <c r="P33" i="4"/>
  <c r="S33" i="4"/>
  <c r="R33" i="4"/>
  <c r="N34" i="4"/>
  <c r="T32" i="3"/>
  <c r="X32" i="6"/>
  <c r="Q32" i="6"/>
  <c r="P32" i="6"/>
  <c r="R32" i="6"/>
  <c r="N33" i="6"/>
  <c r="S32" i="6"/>
  <c r="V32" i="2"/>
  <c r="R32" i="2"/>
  <c r="N33" i="2"/>
  <c r="U32" i="2"/>
  <c r="Q32" i="2"/>
  <c r="Y32" i="2"/>
  <c r="T32" i="2"/>
  <c r="P32" i="2"/>
  <c r="S32" i="2"/>
  <c r="S34" i="1"/>
  <c r="U34" i="1"/>
  <c r="T34" i="1"/>
  <c r="V34" i="1"/>
  <c r="R34" i="1"/>
  <c r="Q34" i="1"/>
  <c r="N35" i="1"/>
  <c r="Y34" i="1"/>
  <c r="P34" i="1"/>
  <c r="T32" i="4"/>
  <c r="S33" i="3"/>
  <c r="N34" i="3"/>
  <c r="R33" i="3"/>
  <c r="X33" i="3"/>
  <c r="Q33" i="3"/>
  <c r="P33" i="3"/>
  <c r="T31" i="6"/>
  <c r="T32" i="6" l="1"/>
  <c r="T33" i="3"/>
  <c r="Y33" i="2"/>
  <c r="T33" i="2"/>
  <c r="P33" i="2"/>
  <c r="S33" i="2"/>
  <c r="V33" i="2"/>
  <c r="R33" i="2"/>
  <c r="N34" i="2"/>
  <c r="Q33" i="2"/>
  <c r="U33" i="2"/>
  <c r="W34" i="1"/>
  <c r="T33" i="4"/>
  <c r="N35" i="4"/>
  <c r="R34" i="4"/>
  <c r="X34" i="4"/>
  <c r="Q34" i="4"/>
  <c r="P34" i="4"/>
  <c r="S34" i="4"/>
  <c r="W33" i="5"/>
  <c r="N34" i="6"/>
  <c r="R33" i="6"/>
  <c r="X33" i="6"/>
  <c r="Q33" i="6"/>
  <c r="P33" i="6"/>
  <c r="S33" i="6"/>
  <c r="P34" i="3"/>
  <c r="S34" i="3"/>
  <c r="N35" i="3"/>
  <c r="R34" i="3"/>
  <c r="X34" i="3"/>
  <c r="Q34" i="3"/>
  <c r="V35" i="1"/>
  <c r="R35" i="1"/>
  <c r="N36" i="1"/>
  <c r="S35" i="1"/>
  <c r="U35" i="1"/>
  <c r="Q35" i="1"/>
  <c r="Y35" i="1"/>
  <c r="T35" i="1"/>
  <c r="P35" i="1"/>
  <c r="W32" i="2"/>
  <c r="N35" i="5"/>
  <c r="Y34" i="5"/>
  <c r="T34" i="5"/>
  <c r="P34" i="5"/>
  <c r="S34" i="5"/>
  <c r="V34" i="5"/>
  <c r="R34" i="5"/>
  <c r="U34" i="5"/>
  <c r="Q34" i="5"/>
  <c r="W34" i="5" l="1"/>
  <c r="T34" i="4"/>
  <c r="W35" i="1"/>
  <c r="N36" i="3"/>
  <c r="X35" i="3"/>
  <c r="Q35" i="3"/>
  <c r="P35" i="3"/>
  <c r="S35" i="3"/>
  <c r="R35" i="3"/>
  <c r="T33" i="6"/>
  <c r="S34" i="6"/>
  <c r="N35" i="6"/>
  <c r="R34" i="6"/>
  <c r="X34" i="6"/>
  <c r="Q34" i="6"/>
  <c r="P34" i="6"/>
  <c r="V34" i="2"/>
  <c r="R34" i="2"/>
  <c r="U34" i="2"/>
  <c r="Q34" i="2"/>
  <c r="N35" i="2"/>
  <c r="Y34" i="2"/>
  <c r="T34" i="2"/>
  <c r="P34" i="2"/>
  <c r="S34" i="2"/>
  <c r="W33" i="2"/>
  <c r="S35" i="4"/>
  <c r="R35" i="4"/>
  <c r="N36" i="4"/>
  <c r="X35" i="4"/>
  <c r="Q35" i="4"/>
  <c r="P35" i="4"/>
  <c r="N36" i="5"/>
  <c r="S35" i="5"/>
  <c r="V35" i="5"/>
  <c r="R35" i="5"/>
  <c r="U35" i="5"/>
  <c r="Q35" i="5"/>
  <c r="Y35" i="5"/>
  <c r="T35" i="5"/>
  <c r="P35" i="5"/>
  <c r="S36" i="1"/>
  <c r="Y36" i="1"/>
  <c r="R36" i="1"/>
  <c r="T36" i="1"/>
  <c r="N37" i="1"/>
  <c r="V36" i="1"/>
  <c r="Q36" i="1"/>
  <c r="U36" i="1"/>
  <c r="P36" i="1"/>
  <c r="T34" i="3"/>
  <c r="T35" i="4" l="1"/>
  <c r="W36" i="1"/>
  <c r="T34" i="6"/>
  <c r="W35" i="5"/>
  <c r="S36" i="5"/>
  <c r="V36" i="5"/>
  <c r="R36" i="5"/>
  <c r="U36" i="5"/>
  <c r="Q36" i="5"/>
  <c r="Y36" i="5"/>
  <c r="N37" i="5"/>
  <c r="T36" i="5"/>
  <c r="P36" i="5"/>
  <c r="N37" i="4"/>
  <c r="X36" i="4"/>
  <c r="Q36" i="4"/>
  <c r="P36" i="4"/>
  <c r="S36" i="4"/>
  <c r="R36" i="4"/>
  <c r="U35" i="2"/>
  <c r="Q35" i="2"/>
  <c r="Y35" i="2"/>
  <c r="T35" i="2"/>
  <c r="P35" i="2"/>
  <c r="N36" i="2"/>
  <c r="S35" i="2"/>
  <c r="R35" i="2"/>
  <c r="V35" i="2"/>
  <c r="V37" i="1"/>
  <c r="R37" i="1"/>
  <c r="U37" i="1"/>
  <c r="P37" i="1"/>
  <c r="Y37" i="1"/>
  <c r="T37" i="1"/>
  <c r="S37" i="1"/>
  <c r="N38" i="1"/>
  <c r="Q37" i="1"/>
  <c r="W34" i="2"/>
  <c r="P35" i="6"/>
  <c r="S35" i="6"/>
  <c r="R35" i="6"/>
  <c r="N36" i="6"/>
  <c r="X35" i="6"/>
  <c r="Q35" i="6"/>
  <c r="S36" i="3"/>
  <c r="R36" i="3"/>
  <c r="N37" i="3"/>
  <c r="X36" i="3"/>
  <c r="Q36" i="3"/>
  <c r="P36" i="3"/>
  <c r="T35" i="3"/>
  <c r="T36" i="3" l="1"/>
  <c r="T35" i="6"/>
  <c r="N38" i="3"/>
  <c r="X37" i="3"/>
  <c r="Q37" i="3"/>
  <c r="P37" i="3"/>
  <c r="S37" i="3"/>
  <c r="R37" i="3"/>
  <c r="V37" i="5"/>
  <c r="R37" i="5"/>
  <c r="U37" i="5"/>
  <c r="Q37" i="5"/>
  <c r="N38" i="5"/>
  <c r="Y37" i="5"/>
  <c r="T37" i="5"/>
  <c r="P37" i="5"/>
  <c r="S37" i="5"/>
  <c r="R36" i="6"/>
  <c r="N37" i="6"/>
  <c r="X36" i="6"/>
  <c r="Q36" i="6"/>
  <c r="P36" i="6"/>
  <c r="S36" i="6"/>
  <c r="S37" i="4"/>
  <c r="R37" i="4"/>
  <c r="N38" i="4"/>
  <c r="X37" i="4"/>
  <c r="Q37" i="4"/>
  <c r="P37" i="4"/>
  <c r="N37" i="2"/>
  <c r="U36" i="2"/>
  <c r="Q36" i="2"/>
  <c r="Y36" i="2"/>
  <c r="T36" i="2"/>
  <c r="P36" i="2"/>
  <c r="S36" i="2"/>
  <c r="R36" i="2"/>
  <c r="V36" i="2"/>
  <c r="T36" i="4"/>
  <c r="W36" i="5"/>
  <c r="N39" i="1"/>
  <c r="U38" i="1"/>
  <c r="Q38" i="1"/>
  <c r="Y38" i="1"/>
  <c r="S38" i="1"/>
  <c r="V38" i="1"/>
  <c r="T38" i="1"/>
  <c r="R38" i="1"/>
  <c r="P38" i="1"/>
  <c r="W37" i="1"/>
  <c r="W35" i="2"/>
  <c r="T37" i="4" l="1"/>
  <c r="T37" i="3"/>
  <c r="T36" i="6"/>
  <c r="N38" i="2"/>
  <c r="Y37" i="2"/>
  <c r="S37" i="2"/>
  <c r="V37" i="2"/>
  <c r="Q37" i="2"/>
  <c r="U37" i="2"/>
  <c r="P37" i="2"/>
  <c r="T37" i="2"/>
  <c r="R37" i="2"/>
  <c r="N40" i="1"/>
  <c r="U39" i="1"/>
  <c r="Q39" i="1"/>
  <c r="Y39" i="1"/>
  <c r="T39" i="1"/>
  <c r="P39" i="1"/>
  <c r="S39" i="1"/>
  <c r="R39" i="1"/>
  <c r="V39" i="1"/>
  <c r="N39" i="5"/>
  <c r="U38" i="5"/>
  <c r="Q38" i="5"/>
  <c r="Y38" i="5"/>
  <c r="T38" i="5"/>
  <c r="P38" i="5"/>
  <c r="S38" i="5"/>
  <c r="V38" i="5"/>
  <c r="R38" i="5"/>
  <c r="X38" i="4"/>
  <c r="Q38" i="4"/>
  <c r="P38" i="4"/>
  <c r="S38" i="4"/>
  <c r="N39" i="4"/>
  <c r="R38" i="4"/>
  <c r="W38" i="1"/>
  <c r="W37" i="5"/>
  <c r="W36" i="2"/>
  <c r="P37" i="6"/>
  <c r="S37" i="6"/>
  <c r="R37" i="6"/>
  <c r="X37" i="6"/>
  <c r="Q37" i="6"/>
  <c r="N38" i="6"/>
  <c r="S38" i="3"/>
  <c r="N39" i="3"/>
  <c r="R38" i="3"/>
  <c r="X38" i="3"/>
  <c r="Q38" i="3"/>
  <c r="P38" i="3"/>
  <c r="W38" i="5" l="1"/>
  <c r="T38" i="3"/>
  <c r="P39" i="3"/>
  <c r="S39" i="3"/>
  <c r="R39" i="3"/>
  <c r="N40" i="3"/>
  <c r="X39" i="3"/>
  <c r="Q39" i="3"/>
  <c r="N40" i="5"/>
  <c r="S39" i="5"/>
  <c r="V39" i="5"/>
  <c r="R39" i="5"/>
  <c r="U39" i="5"/>
  <c r="Q39" i="5"/>
  <c r="Y39" i="5"/>
  <c r="T39" i="5"/>
  <c r="P39" i="5"/>
  <c r="W39" i="1"/>
  <c r="W37" i="2"/>
  <c r="T38" i="4"/>
  <c r="S40" i="1"/>
  <c r="V40" i="1"/>
  <c r="R40" i="1"/>
  <c r="N41" i="1"/>
  <c r="U40" i="1"/>
  <c r="Q40" i="1"/>
  <c r="Y40" i="1"/>
  <c r="T40" i="1"/>
  <c r="P40" i="1"/>
  <c r="R39" i="4"/>
  <c r="N40" i="4"/>
  <c r="X39" i="4"/>
  <c r="Q39" i="4"/>
  <c r="P39" i="4"/>
  <c r="S39" i="4"/>
  <c r="N39" i="6"/>
  <c r="R38" i="6"/>
  <c r="X38" i="6"/>
  <c r="Q38" i="6"/>
  <c r="P38" i="6"/>
  <c r="S38" i="6"/>
  <c r="T37" i="6"/>
  <c r="S38" i="2"/>
  <c r="V38" i="2"/>
  <c r="R38" i="2"/>
  <c r="N39" i="2"/>
  <c r="Y38" i="2"/>
  <c r="P38" i="2"/>
  <c r="U38" i="2"/>
  <c r="T38" i="2"/>
  <c r="Q38" i="2"/>
  <c r="T39" i="4" l="1"/>
  <c r="T39" i="3"/>
  <c r="R40" i="3"/>
  <c r="N41" i="3"/>
  <c r="X40" i="3"/>
  <c r="Q40" i="3"/>
  <c r="P40" i="3"/>
  <c r="S40" i="3"/>
  <c r="W40" i="1"/>
  <c r="W39" i="5"/>
  <c r="V40" i="5"/>
  <c r="R40" i="5"/>
  <c r="N41" i="5"/>
  <c r="U40" i="5"/>
  <c r="Q40" i="5"/>
  <c r="T40" i="5"/>
  <c r="S40" i="5"/>
  <c r="Y40" i="5"/>
  <c r="P40" i="5"/>
  <c r="N40" i="2"/>
  <c r="U39" i="2"/>
  <c r="Q39" i="2"/>
  <c r="Y39" i="2"/>
  <c r="T39" i="2"/>
  <c r="P39" i="2"/>
  <c r="V39" i="2"/>
  <c r="S39" i="2"/>
  <c r="R39" i="2"/>
  <c r="W38" i="2"/>
  <c r="T38" i="6"/>
  <c r="S39" i="6"/>
  <c r="R39" i="6"/>
  <c r="N40" i="6"/>
  <c r="X39" i="6"/>
  <c r="Q39" i="6"/>
  <c r="P39" i="6"/>
  <c r="U41" i="1"/>
  <c r="Q41" i="1"/>
  <c r="N42" i="1"/>
  <c r="Y41" i="1"/>
  <c r="T41" i="1"/>
  <c r="P41" i="1"/>
  <c r="S41" i="1"/>
  <c r="V41" i="1"/>
  <c r="R41" i="1"/>
  <c r="P40" i="4"/>
  <c r="S40" i="4"/>
  <c r="R40" i="4"/>
  <c r="N41" i="4"/>
  <c r="X40" i="4"/>
  <c r="Q40" i="4"/>
  <c r="T39" i="6" l="1"/>
  <c r="T40" i="4"/>
  <c r="W41" i="1"/>
  <c r="R41" i="4"/>
  <c r="X41" i="4"/>
  <c r="Q41" i="4"/>
  <c r="N42" i="4"/>
  <c r="P41" i="4"/>
  <c r="S41" i="4"/>
  <c r="N41" i="6"/>
  <c r="X40" i="6"/>
  <c r="Q40" i="6"/>
  <c r="P40" i="6"/>
  <c r="S40" i="6"/>
  <c r="R40" i="6"/>
  <c r="W39" i="2"/>
  <c r="N42" i="5"/>
  <c r="Y41" i="5"/>
  <c r="T41" i="5"/>
  <c r="P41" i="5"/>
  <c r="S41" i="5"/>
  <c r="R41" i="5"/>
  <c r="Q41" i="5"/>
  <c r="V41" i="5"/>
  <c r="U41" i="5"/>
  <c r="S40" i="2"/>
  <c r="V40" i="2"/>
  <c r="R40" i="2"/>
  <c r="T40" i="2"/>
  <c r="Q40" i="2"/>
  <c r="Y40" i="2"/>
  <c r="P40" i="2"/>
  <c r="U40" i="2"/>
  <c r="N41" i="2"/>
  <c r="N42" i="3"/>
  <c r="P41" i="3"/>
  <c r="S41" i="3"/>
  <c r="R41" i="3"/>
  <c r="X41" i="3"/>
  <c r="Q41" i="3"/>
  <c r="N43" i="1"/>
  <c r="Y42" i="1"/>
  <c r="T42" i="1"/>
  <c r="P42" i="1"/>
  <c r="S42" i="1"/>
  <c r="V42" i="1"/>
  <c r="R42" i="1"/>
  <c r="U42" i="1"/>
  <c r="Q42" i="1"/>
  <c r="W40" i="5"/>
  <c r="T40" i="3"/>
  <c r="N43" i="4" l="1"/>
  <c r="X42" i="4"/>
  <c r="Q42" i="4"/>
  <c r="P42" i="4"/>
  <c r="S42" i="4"/>
  <c r="R42" i="4"/>
  <c r="U41" i="2"/>
  <c r="Q41" i="2"/>
  <c r="N42" i="2"/>
  <c r="Y41" i="2"/>
  <c r="T41" i="2"/>
  <c r="P41" i="2"/>
  <c r="V41" i="2"/>
  <c r="S41" i="2"/>
  <c r="R41" i="2"/>
  <c r="S41" i="6"/>
  <c r="R41" i="6"/>
  <c r="X41" i="6"/>
  <c r="Q41" i="6"/>
  <c r="P41" i="6"/>
  <c r="N42" i="6"/>
  <c r="S43" i="1"/>
  <c r="V43" i="1"/>
  <c r="R43" i="1"/>
  <c r="U43" i="1"/>
  <c r="Q43" i="1"/>
  <c r="Y43" i="1"/>
  <c r="N44" i="1"/>
  <c r="T43" i="1"/>
  <c r="P43" i="1"/>
  <c r="S42" i="5"/>
  <c r="V42" i="5"/>
  <c r="R42" i="5"/>
  <c r="N43" i="5"/>
  <c r="U42" i="5"/>
  <c r="T42" i="5"/>
  <c r="Q42" i="5"/>
  <c r="Y42" i="5"/>
  <c r="P42" i="5"/>
  <c r="T40" i="6"/>
  <c r="S42" i="3"/>
  <c r="R42" i="3"/>
  <c r="N43" i="3"/>
  <c r="X42" i="3"/>
  <c r="Q42" i="3"/>
  <c r="P42" i="3"/>
  <c r="W42" i="1"/>
  <c r="T41" i="3"/>
  <c r="W40" i="2"/>
  <c r="W41" i="5"/>
  <c r="T41" i="4"/>
  <c r="T41" i="6" l="1"/>
  <c r="W41" i="2"/>
  <c r="T42" i="4"/>
  <c r="N44" i="3"/>
  <c r="X43" i="3"/>
  <c r="Q43" i="3"/>
  <c r="P43" i="3"/>
  <c r="S43" i="3"/>
  <c r="R43" i="3"/>
  <c r="W42" i="5"/>
  <c r="V44" i="1"/>
  <c r="R44" i="1"/>
  <c r="U44" i="1"/>
  <c r="Q44" i="1"/>
  <c r="Y44" i="1"/>
  <c r="T44" i="1"/>
  <c r="P44" i="1"/>
  <c r="S44" i="1"/>
  <c r="N45" i="1"/>
  <c r="T42" i="3"/>
  <c r="V43" i="5"/>
  <c r="R43" i="5"/>
  <c r="U43" i="5"/>
  <c r="Q43" i="5"/>
  <c r="N44" i="5"/>
  <c r="T43" i="5"/>
  <c r="S43" i="5"/>
  <c r="Y43" i="5"/>
  <c r="P43" i="5"/>
  <c r="W43" i="1"/>
  <c r="R42" i="6"/>
  <c r="N43" i="6"/>
  <c r="X42" i="6"/>
  <c r="Q42" i="6"/>
  <c r="P42" i="6"/>
  <c r="S42" i="6"/>
  <c r="N43" i="2"/>
  <c r="Y42" i="2"/>
  <c r="T42" i="2"/>
  <c r="P42" i="2"/>
  <c r="S42" i="2"/>
  <c r="U42" i="2"/>
  <c r="R42" i="2"/>
  <c r="Q42" i="2"/>
  <c r="V42" i="2"/>
  <c r="S43" i="4"/>
  <c r="R43" i="4"/>
  <c r="N44" i="4"/>
  <c r="X43" i="4"/>
  <c r="Q43" i="4"/>
  <c r="P43" i="4"/>
  <c r="T42" i="6" l="1"/>
  <c r="T43" i="4"/>
  <c r="T43" i="3"/>
  <c r="V45" i="1"/>
  <c r="R45" i="1"/>
  <c r="U45" i="1"/>
  <c r="Q45" i="1"/>
  <c r="N46" i="1"/>
  <c r="Y45" i="1"/>
  <c r="T45" i="1"/>
  <c r="P45" i="1"/>
  <c r="S45" i="1"/>
  <c r="S43" i="2"/>
  <c r="V43" i="2"/>
  <c r="R43" i="2"/>
  <c r="Y43" i="2"/>
  <c r="P43" i="2"/>
  <c r="N44" i="2"/>
  <c r="U43" i="2"/>
  <c r="T43" i="2"/>
  <c r="Q43" i="2"/>
  <c r="W43" i="5"/>
  <c r="U44" i="5"/>
  <c r="Q44" i="5"/>
  <c r="Y44" i="5"/>
  <c r="T44" i="5"/>
  <c r="P44" i="5"/>
  <c r="N45" i="5"/>
  <c r="V44" i="5"/>
  <c r="S44" i="5"/>
  <c r="R44" i="5"/>
  <c r="W44" i="1"/>
  <c r="X44" i="4"/>
  <c r="Q44" i="4"/>
  <c r="P44" i="4"/>
  <c r="N45" i="4"/>
  <c r="S44" i="4"/>
  <c r="R44" i="4"/>
  <c r="W42" i="2"/>
  <c r="P43" i="6"/>
  <c r="S43" i="6"/>
  <c r="R43" i="6"/>
  <c r="Q43" i="6"/>
  <c r="N44" i="6"/>
  <c r="X43" i="6"/>
  <c r="N45" i="3"/>
  <c r="S44" i="3"/>
  <c r="R44" i="3"/>
  <c r="X44" i="3"/>
  <c r="Q44" i="3"/>
  <c r="P44" i="3"/>
  <c r="T43" i="6" l="1"/>
  <c r="T44" i="4"/>
  <c r="W44" i="5"/>
  <c r="W45" i="1"/>
  <c r="R44" i="6"/>
  <c r="X44" i="6"/>
  <c r="Q44" i="6"/>
  <c r="P44" i="6"/>
  <c r="S44" i="6"/>
  <c r="N45" i="6"/>
  <c r="T44" i="3"/>
  <c r="V44" i="2"/>
  <c r="R44" i="2"/>
  <c r="U44" i="2"/>
  <c r="Q44" i="2"/>
  <c r="Y44" i="2"/>
  <c r="P44" i="2"/>
  <c r="N45" i="2"/>
  <c r="T44" i="2"/>
  <c r="S44" i="2"/>
  <c r="R45" i="3"/>
  <c r="N46" i="3"/>
  <c r="S45" i="3"/>
  <c r="Q45" i="3"/>
  <c r="P45" i="3"/>
  <c r="X45" i="3"/>
  <c r="W43" i="2"/>
  <c r="N46" i="4"/>
  <c r="X45" i="4"/>
  <c r="Q45" i="4"/>
  <c r="P45" i="4"/>
  <c r="S45" i="4"/>
  <c r="R45" i="4"/>
  <c r="N46" i="5"/>
  <c r="U45" i="5"/>
  <c r="Q45" i="5"/>
  <c r="Y45" i="5"/>
  <c r="T45" i="5"/>
  <c r="P45" i="5"/>
  <c r="R45" i="5"/>
  <c r="V45" i="5"/>
  <c r="S45" i="5"/>
  <c r="U46" i="1"/>
  <c r="Q46" i="1"/>
  <c r="N47" i="1"/>
  <c r="Y46" i="1"/>
  <c r="T46" i="1"/>
  <c r="P46" i="1"/>
  <c r="S46" i="1"/>
  <c r="V46" i="1"/>
  <c r="R46" i="1"/>
  <c r="T44" i="6" l="1"/>
  <c r="W46" i="1"/>
  <c r="T45" i="4"/>
  <c r="S46" i="4"/>
  <c r="R46" i="4"/>
  <c r="N47" i="4"/>
  <c r="X46" i="4"/>
  <c r="Q46" i="4"/>
  <c r="P46" i="4"/>
  <c r="W45" i="5"/>
  <c r="S46" i="5"/>
  <c r="V46" i="5"/>
  <c r="R46" i="5"/>
  <c r="U46" i="5"/>
  <c r="N47" i="5"/>
  <c r="P46" i="5"/>
  <c r="Y46" i="5"/>
  <c r="T46" i="5"/>
  <c r="Q46" i="5"/>
  <c r="R46" i="3"/>
  <c r="N47" i="3"/>
  <c r="X46" i="3"/>
  <c r="Q46" i="3"/>
  <c r="P46" i="3"/>
  <c r="S46" i="3"/>
  <c r="V45" i="2"/>
  <c r="R45" i="2"/>
  <c r="U45" i="2"/>
  <c r="Q45" i="2"/>
  <c r="Y45" i="2"/>
  <c r="P45" i="2"/>
  <c r="N46" i="2"/>
  <c r="T45" i="2"/>
  <c r="S45" i="2"/>
  <c r="R45" i="6"/>
  <c r="N46" i="6"/>
  <c r="X45" i="6"/>
  <c r="Q45" i="6"/>
  <c r="P45" i="6"/>
  <c r="S45" i="6"/>
  <c r="N48" i="1"/>
  <c r="Y47" i="1"/>
  <c r="T47" i="1"/>
  <c r="P47" i="1"/>
  <c r="S47" i="1"/>
  <c r="V47" i="1"/>
  <c r="R47" i="1"/>
  <c r="Q47" i="1"/>
  <c r="U47" i="1"/>
  <c r="T45" i="3"/>
  <c r="W44" i="2"/>
  <c r="T46" i="4" l="1"/>
  <c r="S48" i="1"/>
  <c r="S49" i="1" s="1"/>
  <c r="P57" i="1" s="1"/>
  <c r="R57" i="1" s="1"/>
  <c r="V48" i="1"/>
  <c r="V49" i="1" s="1"/>
  <c r="P59" i="1" s="1"/>
  <c r="R59" i="1" s="1"/>
  <c r="R48" i="1"/>
  <c r="R49" i="1" s="1"/>
  <c r="U48" i="1"/>
  <c r="U49" i="1" s="1"/>
  <c r="Q48" i="1"/>
  <c r="Q49" i="1" s="1"/>
  <c r="Y48" i="1"/>
  <c r="T48" i="1"/>
  <c r="T49" i="1" s="1"/>
  <c r="P48" i="1"/>
  <c r="N48" i="3"/>
  <c r="P47" i="3"/>
  <c r="S47" i="3"/>
  <c r="R47" i="3"/>
  <c r="Q47" i="3"/>
  <c r="X47" i="3"/>
  <c r="X47" i="4"/>
  <c r="Q47" i="4"/>
  <c r="N48" i="4"/>
  <c r="P47" i="4"/>
  <c r="S47" i="4"/>
  <c r="R47" i="4"/>
  <c r="W47" i="1"/>
  <c r="P46" i="6"/>
  <c r="S46" i="6"/>
  <c r="R46" i="6"/>
  <c r="N47" i="6"/>
  <c r="X46" i="6"/>
  <c r="Q46" i="6"/>
  <c r="U46" i="2"/>
  <c r="Q46" i="2"/>
  <c r="N47" i="2"/>
  <c r="Y46" i="2"/>
  <c r="T46" i="2"/>
  <c r="P46" i="2"/>
  <c r="R46" i="2"/>
  <c r="V46" i="2"/>
  <c r="S46" i="2"/>
  <c r="T46" i="3"/>
  <c r="W46" i="5"/>
  <c r="T45" i="6"/>
  <c r="W45" i="2"/>
  <c r="V47" i="5"/>
  <c r="R47" i="5"/>
  <c r="U47" i="5"/>
  <c r="Q47" i="5"/>
  <c r="N48" i="5"/>
  <c r="Y47" i="5"/>
  <c r="T47" i="5"/>
  <c r="P47" i="5"/>
  <c r="S47" i="5"/>
  <c r="W47" i="5" l="1"/>
  <c r="W48" i="1"/>
  <c r="W49" i="1" s="1"/>
  <c r="P49" i="1"/>
  <c r="P55" i="1" s="1"/>
  <c r="P58" i="1"/>
  <c r="R58" i="1" s="1"/>
  <c r="N48" i="2"/>
  <c r="Y47" i="2"/>
  <c r="T47" i="2"/>
  <c r="P47" i="2"/>
  <c r="S47" i="2"/>
  <c r="Q47" i="2"/>
  <c r="V47" i="2"/>
  <c r="U47" i="2"/>
  <c r="R47" i="2"/>
  <c r="T46" i="6"/>
  <c r="T47" i="4"/>
  <c r="T47" i="3"/>
  <c r="U48" i="5"/>
  <c r="U49" i="5" s="1"/>
  <c r="Q48" i="5"/>
  <c r="Q49" i="5" s="1"/>
  <c r="Y48" i="5"/>
  <c r="T48" i="5"/>
  <c r="T49" i="5" s="1"/>
  <c r="P48" i="5"/>
  <c r="S48" i="5"/>
  <c r="S49" i="5" s="1"/>
  <c r="P57" i="5" s="1"/>
  <c r="R57" i="5" s="1"/>
  <c r="V48" i="5"/>
  <c r="V49" i="5" s="1"/>
  <c r="P59" i="5" s="1"/>
  <c r="R59" i="5" s="1"/>
  <c r="R48" i="5"/>
  <c r="R49" i="5" s="1"/>
  <c r="W46" i="2"/>
  <c r="R47" i="6"/>
  <c r="X47" i="6"/>
  <c r="Q47" i="6"/>
  <c r="N48" i="6"/>
  <c r="P47" i="6"/>
  <c r="S47" i="6"/>
  <c r="P48" i="4"/>
  <c r="S48" i="4"/>
  <c r="S49" i="4" s="1"/>
  <c r="P58" i="4" s="1"/>
  <c r="R58" i="4" s="1"/>
  <c r="R48" i="4"/>
  <c r="R49" i="4" s="1"/>
  <c r="P57" i="4" s="1"/>
  <c r="R57" i="4" s="1"/>
  <c r="X48" i="4"/>
  <c r="Q48" i="4"/>
  <c r="Q49" i="4" s="1"/>
  <c r="P56" i="4" s="1"/>
  <c r="R56" i="4" s="1"/>
  <c r="S48" i="3"/>
  <c r="S49" i="3" s="1"/>
  <c r="P58" i="3" s="1"/>
  <c r="R58" i="3" s="1"/>
  <c r="R48" i="3"/>
  <c r="R49" i="3" s="1"/>
  <c r="P57" i="3" s="1"/>
  <c r="R57" i="3" s="1"/>
  <c r="X48" i="3"/>
  <c r="Q48" i="3"/>
  <c r="Q49" i="3" s="1"/>
  <c r="P56" i="3" s="1"/>
  <c r="R56" i="3" s="1"/>
  <c r="P48" i="3"/>
  <c r="P56" i="1"/>
  <c r="R56" i="1" s="1"/>
  <c r="AH53" i="1" l="1"/>
  <c r="AC68" i="1"/>
  <c r="T47" i="6"/>
  <c r="W48" i="5"/>
  <c r="W49" i="5" s="1"/>
  <c r="AC68" i="5" s="1"/>
  <c r="P49" i="5"/>
  <c r="P55" i="5" s="1"/>
  <c r="S48" i="2"/>
  <c r="S49" i="2" s="1"/>
  <c r="P57" i="2" s="1"/>
  <c r="R57" i="2" s="1"/>
  <c r="V48" i="2"/>
  <c r="V49" i="2" s="1"/>
  <c r="P59" i="2" s="1"/>
  <c r="R59" i="2" s="1"/>
  <c r="R48" i="2"/>
  <c r="R49" i="2" s="1"/>
  <c r="U48" i="2"/>
  <c r="U49" i="2" s="1"/>
  <c r="T48" i="2"/>
  <c r="T49" i="2" s="1"/>
  <c r="Q48" i="2"/>
  <c r="Q49" i="2" s="1"/>
  <c r="Y48" i="2"/>
  <c r="P48" i="2"/>
  <c r="T48" i="4"/>
  <c r="T49" i="4" s="1"/>
  <c r="AC53" i="4" s="1"/>
  <c r="P49" i="4"/>
  <c r="P55" i="4" s="1"/>
  <c r="P58" i="5"/>
  <c r="R58" i="5" s="1"/>
  <c r="W47" i="2"/>
  <c r="X48" i="6"/>
  <c r="Q48" i="6"/>
  <c r="Q49" i="6" s="1"/>
  <c r="P56" i="6" s="1"/>
  <c r="R56" i="6" s="1"/>
  <c r="P48" i="6"/>
  <c r="S48" i="6"/>
  <c r="S49" i="6" s="1"/>
  <c r="P58" i="6" s="1"/>
  <c r="R58" i="6" s="1"/>
  <c r="R48" i="6"/>
  <c r="R49" i="6" s="1"/>
  <c r="P57" i="6" s="1"/>
  <c r="R57" i="6" s="1"/>
  <c r="P60" i="1"/>
  <c r="R55" i="1"/>
  <c r="R60" i="1" s="1"/>
  <c r="T48" i="3"/>
  <c r="T49" i="3" s="1"/>
  <c r="AC53" i="3" s="1"/>
  <c r="P49" i="3"/>
  <c r="P55" i="3" s="1"/>
  <c r="P56" i="5"/>
  <c r="R56" i="5" s="1"/>
  <c r="AC53" i="1"/>
  <c r="AC38" i="1"/>
  <c r="AC23" i="1"/>
  <c r="AH23" i="1"/>
  <c r="B2" i="1"/>
  <c r="B3" i="1" s="1"/>
  <c r="AH38" i="1"/>
  <c r="AH53" i="5" l="1"/>
  <c r="P58" i="2"/>
  <c r="R58" i="2" s="1"/>
  <c r="P56" i="2"/>
  <c r="R56" i="2" s="1"/>
  <c r="R55" i="4"/>
  <c r="R60" i="4" s="1"/>
  <c r="P60" i="4"/>
  <c r="AC23" i="4"/>
  <c r="B2" i="4"/>
  <c r="B3" i="4" s="1"/>
  <c r="AH38" i="4"/>
  <c r="AH23" i="4"/>
  <c r="AC38" i="4"/>
  <c r="R55" i="3"/>
  <c r="R60" i="3" s="1"/>
  <c r="P60" i="3"/>
  <c r="AH38" i="3"/>
  <c r="AC38" i="3"/>
  <c r="AH23" i="3"/>
  <c r="AC23" i="3"/>
  <c r="B2" i="3"/>
  <c r="B3" i="3" s="1"/>
  <c r="W48" i="2"/>
  <c r="W49" i="2" s="1"/>
  <c r="AC68" i="2" s="1"/>
  <c r="P49" i="2"/>
  <c r="P55" i="2" s="1"/>
  <c r="R55" i="5"/>
  <c r="R60" i="5" s="1"/>
  <c r="P60" i="5"/>
  <c r="T48" i="6"/>
  <c r="T49" i="6" s="1"/>
  <c r="AC53" i="6" s="1"/>
  <c r="P49" i="6"/>
  <c r="P55" i="6" s="1"/>
  <c r="AC53" i="5"/>
  <c r="AC38" i="5"/>
  <c r="AH23" i="5"/>
  <c r="AC23" i="5"/>
  <c r="AH38" i="5"/>
  <c r="B2" i="5"/>
  <c r="B3" i="5" s="1"/>
  <c r="AH53" i="2" l="1"/>
  <c r="P60" i="2"/>
  <c r="R55" i="2"/>
  <c r="R60" i="2" s="1"/>
  <c r="AC53" i="2"/>
  <c r="AH38" i="2"/>
  <c r="AH23" i="2"/>
  <c r="AC23" i="2"/>
  <c r="AC38" i="2"/>
  <c r="B2" i="2"/>
  <c r="B3" i="2" s="1"/>
  <c r="P60" i="6"/>
  <c r="R55" i="6"/>
  <c r="R60" i="6" s="1"/>
  <c r="AC38" i="6"/>
  <c r="AC23" i="6"/>
  <c r="AH38" i="6"/>
  <c r="B2" i="6"/>
  <c r="B3" i="6" s="1"/>
  <c r="AH2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ID#AAABMjS4mPA
tc={D4CEFC3C-7325-4E34-A64D-30E52256CE03}    (2024-04-30 01:43:52)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T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ID#AAABMjS4mOI
tc={928E7189-DF96-4AF8-901E-1C3117C12B69}    (2024-04-30 01:43:52)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U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ID#AAABMjS4mQI
tc={928E7189-DF96-4AF9-901E-1C3117C12B69}    (2024-04-30 01:43:52)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J8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ID#AAABMjS4mPc
tc={447949BB-2DA8-4C13-8345-CA567717F5C4}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katalog DFSK Indonesia (Gelora E)
https://www.dfskmotors.co.id/id/cars/gelora-electric</t>
        </r>
      </text>
    </comment>
    <comment ref="Q9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ID#AAABMjS4mL8
tc={BEE3DC45-D192-48E4-B051-DA830092375D}    (2024-04-30 01:43:52)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ID#AAABMjS4mOg
tc={F2DB11B4-C1EA-4124-BA56-5F48EB7330B3}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ID#AAABMjS4mNY
tc={1441CF6E-179D-48AC-8E2D-BEBA291509B8}    (2024-04-30 01:43:52)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F1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ID#AAABMjS4mNI
tc={E41ACF69-01B3-4294-ABBC-3CDD6864AE75}    (2024-04-30 01:43:52)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ID#AAABMjS4mPg
tc={29BDE6A8-9592-4FCE-892F-B153CE563AAF}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F4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ID#AAABMjS4mP4
tc={004D7F3F-C5C1-4610-A019-7D9E4061B6F1}    (2024-04-30 01:43:52)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ID#AAABMjS4mNg
tc={C56CAB35-0F73-4DA9-9E08-15FB1529777D}    (2024-04-30 01:43:52)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3CpjD2OWbFsvrqKcBgHCTZer9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ID#AAABMjS4mOo
tc={0DAE8D89-86E1-4540-B1AD-5EC6262507B9}    (2024-04-30 01:43:52)
[Threaded comment]
Your version of Excel allows you to read this threaded comment; however, any edits to it will get removed if the file is opened in a newer version of Excel. Learn more: https://go.microsoft.com/fwlink/?linkid=870924
Comment:
    https://www.dfskmotors.co.id/id</t>
        </r>
      </text>
    </comment>
    <comment ref="Q9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ID#AAABMjS4mOk
tc={BEE3DC45-D192-48E5-B051-DA830092375D}    (2024-04-30 01:43:52)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ID#AAABMjS4mOE
tc={E41ACF69-01B3-4294-ABBC-3CDD6864AE75}    (2024-04-30 01:43:52)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3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ID#AAABMjS4mN0
tc={B9FFE933-F41C-43D7-8130-8FBE2BD04A9B}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B15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ID#AAABMjS4mP8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ID#AAABMjS4mOs
tc={7833DF23-FE90-4F19-9FD0-611220B2E488}    (2024-04-30 01:43:52)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ID#AAABMjS4mOw
tc={D9C5510D-2743-4CFB-AA85-6930EEE936C2}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B3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ID#AAABMjS4mPM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6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======
ID#AAABMjS4mMY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ID#AAABMjS4mMg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8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======
ID#AAABMjS4mMc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38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ID#AAABMjS4mNQ
tc={004D7F3F-C5C1-4611-A019-7D9E4061B6F1}    (2024-04-30 01:43:52)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39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ID#AAABMjS4mO8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h1Tz115vPFBnAX2cabBgi7B1pg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======
ID#AAABMjS4mMs
tc={D4CEFC3C-7325-4E34-A64D-30E52256CE03}    (2024-04-30 01:43:52)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T7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======
ID#AAABMjS4mM4
tc={928E7189-DF96-4AF8-901E-1C3117C12B69}    (2024-04-30 01:43:52)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U7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======
ID#AAABMjS4mMw
tc={928E7189-DF96-4AF9-901E-1C3117C12B69}    (2024-04-30 01:43:52)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ID#AAABMjS4mOM
tc={BEE3DC45-D192-48E4-B051-DA830092375D}    (2024-04-30 01:43:52)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======
ID#AAABMjS4mMk
tc={E992383A-DDF7-479A-807A-377CA4907051}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ID#AAABMjS4mO4
tc={E992383A-DDF7-479A-807A-377CA4907051}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ID#AAABMjS4mQA
tc={E41ACF69-01B3-4294-ABBC-3CDD6864AE75}    (2024-04-30 01:43:52)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ID#AAABMjS4mPU
tc={29BDE6A8-9592-4FCE-892F-B153CE563AAF}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F4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ID#AAABMjS4mNE
tc={004D7F3F-C5C1-4610-A019-7D9E4061B6F1}    (2024-04-30 01:43:52)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ID#AAABMjS4mO0
tc={C56CAB35-0F73-4DA9-9E08-15FB1529777D}    (2024-04-30 01:43:52)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kmzdqgUVfP4m2q6ntltu+xTV0f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======
ID#AAABMjS4mNk
tc={0DAE8D89-86E1-4540-B1AD-5EC6262507B9}    (2024-04-30 01:43:52)
[Threaded comment]
Your version of Excel allows you to read this threaded comment; however, any edits to it will get removed if the file is opened in a newer version of Excel. Learn more: https://go.microsoft.com/fwlink/?linkid=870924
Comment:
    https://www.dfskmotors.co.id/id</t>
        </r>
      </text>
    </comment>
    <comment ref="Q9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>======
ID#AAABMjS4mNM
tc={BEE3DC45-D192-48E5-B051-DA830092375D}    (2024-04-30 01:43:52)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======
ID#AAABMjS4mNU
tc={E41ACF69-01B3-4294-ABBC-3CDD6864AE75}    (2024-04-30 01:43:52)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3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>======
ID#AAABMjS4mMA
tc={B9FFE933-F41C-43D7-8130-8FBE2BD04A9B}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B15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======
ID#AAABMjS4mNs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>======
ID#AAABMjS4mMQ
tc={7833DF23-FE90-4F19-9FD0-611220B2E488}    (2024-04-30 01:43:52)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ID#AAABMjS4mPE
tc={D9C5510D-2743-4CFB-AA85-6930EEE936C2}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B34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ID#AAABMjS4mN8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6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>======
ID#AAABMjS4mL0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7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ID#AAABMjS4mOY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8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ID#AAABMjS4mN4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38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ID#AAABMjS4mOQ
tc={004D7F3F-C5C1-4611-A019-7D9E4061B6F1}    (2024-04-30 01:43:52)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3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ID#AAABMjS4mPs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VVxmBjfRcjr0Szn5Tgw8/JJq0N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ID#AAABMjS4mM0
tc={D4CEFC3C-7325-4E34-A64D-30E52256CE03}    (2024-04-30 01:43:52)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T7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ID#AAABMjS4mPw
tc={928E7189-DF96-4AF8-901E-1C3117C12B69}    (2024-04-30 01:43:52)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U7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ID#AAABMjS4mNo
tc={928E7189-DF96-4AF9-901E-1C3117C12B69}    (2024-04-30 01:43:52)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ID#AAABMjS4mOU
tc={BEE3DC45-D192-48E4-B051-DA830092375D}    (2024-04-30 01:43:52)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ID#AAABMjS4mOA
tc={F2DB11B4-C1EA-4124-BA56-5F48EB7330B3}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ID#AAABMjS4mP0
tc={E41ACF69-01B3-4294-ABBC-3CDD6864AE75}    (2024-04-30 01:43:52)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ID#AAABMjS4mPI
tc={1441CF6E-179D-48AC-8E2D-BEBA291509B8}    (2024-04-30 01:43:52)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F13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ID#AAABMjS4mPQ
tc={29BDE6A8-9592-4FCE-892F-B153CE563AAF}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EV charging as the bottleneck for EV adoption: evaluating the current state of EV charging in Bangkok condominiums 21 July 2022 (gambar d bawah)</t>
        </r>
      </text>
    </comment>
    <comment ref="F4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ID#AAABMjS4mQE
tc={004D7F3F-C5C1-4610-A019-7D9E4061B6F1}    (2024-04-30 01:43:52)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ID#AAABMjS4mME
tc={C56CAB35-0F73-4DA9-9E08-15FB1529777D}    (2024-04-30 01:43:52)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lgY7ubsuLJK6gdAYIjQxJepAR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ID#AAABMjS4mPk
tc={0DAE8D89-86E1-4540-B1AD-5EC6262507B9}    (2024-04-30 01:43:52)
[Threaded comment]
Your version of Excel allows you to read this threaded comment; however, any edits to it will get removed if the file is opened in a newer version of Excel. Learn more: https://go.microsoft.com/fwlink/?linkid=870924
Comment:
    https://www.dfskmotors.co.id/id</t>
        </r>
      </text>
    </comment>
    <comment ref="Q9" authorId="0" shapeId="0" xr:uid="{00000000-0006-0000-0500-00000D000000}">
      <text>
        <r>
          <rPr>
            <sz val="11"/>
            <color theme="1"/>
            <rFont val="Calibri"/>
            <family val="2"/>
            <scheme val="minor"/>
          </rPr>
          <t>======
ID#AAABMjS4mL4
tc={BEE3DC45-D192-48E5-B051-DA830092375D}    (2024-04-30 01:43:52)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500-00000B000000}">
      <text>
        <r>
          <rPr>
            <sz val="11"/>
            <color theme="1"/>
            <rFont val="Calibri"/>
            <family val="2"/>
            <scheme val="minor"/>
          </rPr>
          <t>======
ID#AAABMjS4mMM
tc={E41ACF69-01B3-4294-ABBC-3CDD6864AE75}    (2024-04-30 01:43:52)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F13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======
ID#AAABMjS4mM8
tc={B9FFE933-F41C-43D7-8130-8FBE2BD04A9B}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https://www.globalpetrolprices.com/Thailand/</t>
        </r>
      </text>
    </comment>
    <comment ref="B15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======
ID#AAABMjS4mMo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22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ID#AAABMjS4mPY
tc={7833DF23-FE90-4F19-9FD0-611220B2E488}    (2024-04-30 01:43:52)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23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ID#AAABMjS4mPo
tc={D9C5510D-2743-4CFB-AA85-6930EEE936C2}    (2024-04-30 01:43:52)
[Threaded comment]
Your version of Excel allows you to read this threaded comment; however, any edits to it will get removed if the file is opened in a newer version of Excel. Learn more: https://go.microsoft.com/fwlink/?linkid=870924
Comment:
    Sumber : EV Policies in ASEAN Countries, ERIA, Maret 2023. Lihat gambar di bawah</t>
        </r>
      </text>
    </comment>
    <comment ref="B34" authorId="0" shapeId="0" xr:uid="{00000000-0006-0000-0500-00000A000000}">
      <text>
        <r>
          <rPr>
            <sz val="11"/>
            <color theme="1"/>
            <rFont val="Calibri"/>
            <family val="2"/>
            <scheme val="minor"/>
          </rPr>
          <t>======
ID#AAABMjS4mMU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6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ID#AAABMjS4mNc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7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ID#AAABMjS4mNw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B38" authorId="0" shapeId="0" xr:uid="{00000000-0006-0000-0500-00000C000000}">
      <text>
        <r>
          <rPr>
            <sz val="11"/>
            <color theme="1"/>
            <rFont val="Calibri"/>
            <family val="2"/>
            <scheme val="minor"/>
          </rPr>
          <t>======
ID#AAABMjS4mMI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  <comment ref="F38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======
ID#AAABMjS4mNA
tc={004D7F3F-C5C1-4611-A019-7D9E4061B6F1}    (2024-04-30 01:43:52)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39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ID#AAABMjS4mOc
tc={9A9FA5CC-E227-4B66-AD09-B395DB19CBD4}    (2024-04-30 01:43:52)
[Threaded comment]
Your version of Excel allows you to read this threaded comment; however, any edits to it will get removed if the file is opened in a newer version of Excel. Learn more: https://go.microsoft.com/fwlink/?linkid=870924
Comment:
    60%*12.5%
Reply:
    NOMOR 6 TAHUN 2019 TENTANG PERUBAHAN ATAS PERATURAN DAERAH NOMOR 9 TAHUN 2010 TENTANG BEA BALIK NAMA KENDARAAN BERMOTOR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k4MlznBkajj/ekF2pr55S4KTbA=="/>
    </ext>
  </extLst>
</comments>
</file>

<file path=xl/sharedStrings.xml><?xml version="1.0" encoding="utf-8"?>
<sst xmlns="http://schemas.openxmlformats.org/spreadsheetml/2006/main" count="1562" uniqueCount="184">
  <si>
    <t>Country name</t>
  </si>
  <si>
    <t>Singapore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</si>
  <si>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</si>
  <si>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</si>
  <si>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</si>
  <si>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</si>
  <si>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</si>
  <si>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</si>
  <si>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</si>
  <si>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</si>
  <si>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</si>
  <si>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</si>
  <si>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</si>
  <si>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</si>
  <si>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</si>
  <si>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</si>
  <si>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</si>
  <si>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</si>
  <si>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</si>
  <si>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Battery replacement costs (US$)</t>
  </si>
  <si>
    <t>Battery leasing costs (US$)</t>
  </si>
  <si>
    <t>Resale Value (US$)</t>
  </si>
  <si>
    <t>TCO (US$)</t>
  </si>
  <si>
    <t>Vehicle values (US$) for tax calculation</t>
  </si>
  <si>
    <t>Please copy paste following values (values only) to the formula value if there is update/ differences with reference values in tables</t>
  </si>
  <si>
    <t>Exchange rate</t>
  </si>
  <si>
    <t>SGD/US$</t>
  </si>
  <si>
    <t>Vehicle price</t>
  </si>
  <si>
    <t>SGD</t>
  </si>
  <si>
    <t>Electricity tariff</t>
  </si>
  <si>
    <t>US$/kWh</t>
  </si>
  <si>
    <t>Battery cost unit</t>
  </si>
  <si>
    <t>Battery cost</t>
  </si>
  <si>
    <t>One-time Costs</t>
  </si>
  <si>
    <t>Battery capacity</t>
  </si>
  <si>
    <t>kWh</t>
  </si>
  <si>
    <t>%</t>
  </si>
  <si>
    <t>Related to Yearly Costs</t>
  </si>
  <si>
    <t>Battery lifecycle</t>
  </si>
  <si>
    <t>cycles</t>
  </si>
  <si>
    <t>Annual kilometres travelled (AKT)</t>
  </si>
  <si>
    <t>km/year</t>
  </si>
  <si>
    <t>Retail discount</t>
  </si>
  <si>
    <t>Discount rate</t>
  </si>
  <si>
    <t>Battery range</t>
  </si>
  <si>
    <t>km/cycle</t>
  </si>
  <si>
    <t>Other O&amp;M costs</t>
  </si>
  <si>
    <t>US$/year</t>
  </si>
  <si>
    <t>VAT</t>
  </si>
  <si>
    <t>Annual kilometres traveled (AKT)</t>
  </si>
  <si>
    <t>Vehicle lifespan</t>
  </si>
  <si>
    <t>years</t>
  </si>
  <si>
    <t>Import tariff (VITAS)</t>
  </si>
  <si>
    <t>SGD/kWh</t>
  </si>
  <si>
    <t>SOC</t>
  </si>
  <si>
    <t>Registration fee</t>
  </si>
  <si>
    <t>Electricity tariff growth</t>
  </si>
  <si>
    <t>%/year</t>
  </si>
  <si>
    <t>Vehicle Depreciation</t>
  </si>
  <si>
    <t>%/ year</t>
  </si>
  <si>
    <t>Additional registration fee</t>
  </si>
  <si>
    <t>Battery leasing cost</t>
  </si>
  <si>
    <t>SGD/year</t>
  </si>
  <si>
    <t>Battery Depreciation</t>
  </si>
  <si>
    <t>Certified Entitlement</t>
  </si>
  <si>
    <t>Road tax</t>
  </si>
  <si>
    <t>Electricity consumption</t>
  </si>
  <si>
    <t>kWh/km</t>
  </si>
  <si>
    <t>Vehicular Emissions Scheme</t>
  </si>
  <si>
    <t>Initial/Surcharge Charging Cost</t>
  </si>
  <si>
    <t>SGD/times</t>
  </si>
  <si>
    <t>Processing Fee</t>
  </si>
  <si>
    <t>VRN (Vehicle Registration Number)</t>
  </si>
  <si>
    <t>Interest rate (flat)</t>
  </si>
  <si>
    <t>Electronic Road Pricing ERP</t>
  </si>
  <si>
    <t>VRN Replacement</t>
  </si>
  <si>
    <t>Financing costs</t>
  </si>
  <si>
    <t>Relative change (%)</t>
  </si>
  <si>
    <t>Electricity tariff (US$/kWh)</t>
  </si>
  <si>
    <t>TCO changes (%)</t>
  </si>
  <si>
    <t>Vehicle price (US$)</t>
  </si>
  <si>
    <t>Loan length</t>
  </si>
  <si>
    <t>Reference value</t>
  </si>
  <si>
    <t>Formula value</t>
  </si>
  <si>
    <t>Downpayment</t>
  </si>
  <si>
    <t>% of capital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</si>
  <si>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</si>
  <si>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</si>
  <si>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</si>
  <si>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</si>
  <si>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</si>
  <si>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</si>
  <si>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</si>
  <si>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</si>
  <si>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Registration Fee</t>
  </si>
  <si>
    <t>Total kilometres travelled during lifecycle</t>
  </si>
  <si>
    <t>km</t>
  </si>
  <si>
    <t>Energy costs</t>
  </si>
  <si>
    <t>Annual kilometres travelled</t>
  </si>
  <si>
    <t>Charging cost</t>
  </si>
  <si>
    <t>Yearly Operational Cost</t>
  </si>
  <si>
    <t>Battery cost (US$)</t>
  </si>
  <si>
    <t>AKT (km/year)</t>
  </si>
  <si>
    <t>Electricity cost per km</t>
  </si>
  <si>
    <t>Yearly charging surcharge cost</t>
  </si>
  <si>
    <t>Yearly charging cost</t>
  </si>
  <si>
    <t>Capital cost</t>
  </si>
  <si>
    <t>Battery price</t>
  </si>
  <si>
    <t>Vehicle price + import levy</t>
  </si>
  <si>
    <t>Battery Price + import levy</t>
  </si>
  <si>
    <t>Total</t>
  </si>
  <si>
    <t>Vehicle Price+taxes</t>
  </si>
  <si>
    <t>Cost component</t>
  </si>
  <si>
    <t>Capital costs</t>
  </si>
  <si>
    <t>Yearly Cost + Taxes</t>
  </si>
  <si>
    <t>Battery costs</t>
  </si>
  <si>
    <t>Resale value</t>
  </si>
  <si>
    <t>Fuel cost (US$)</t>
  </si>
  <si>
    <t>O&amp;M Cost  (US$)</t>
  </si>
  <si>
    <t>Fuel price</t>
  </si>
  <si>
    <t>US$/L</t>
  </si>
  <si>
    <t>Specific fuel consumption</t>
  </si>
  <si>
    <t>L/km</t>
  </si>
  <si>
    <t>SGD/liter</t>
  </si>
  <si>
    <t>Fuel price growth</t>
  </si>
  <si>
    <t>Emission test costs</t>
  </si>
  <si>
    <t>Additional Registration Fee</t>
  </si>
  <si>
    <t>Fuel price (US$/L)</t>
  </si>
  <si>
    <t>Other O&amp;M costs (US$/L)</t>
  </si>
  <si>
    <t>Yearly fuel cost</t>
  </si>
  <si>
    <t>Vehicle price + taxes/costs</t>
  </si>
  <si>
    <t>cycle</t>
  </si>
  <si>
    <t>AFC Road Tax</t>
  </si>
  <si>
    <t>SGD/km</t>
  </si>
  <si>
    <t>No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</si>
  <si>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</si>
  <si>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</si>
  <si>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</si>
  <si>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</si>
  <si>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</si>
  <si>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</si>
  <si>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Battery Leasing Model</t>
  </si>
  <si>
    <t>Battery price (plus taxes)</t>
  </si>
  <si>
    <t>Battery price (plus interests)</t>
  </si>
  <si>
    <t>Battery rental cost unit</t>
  </si>
  <si>
    <t>Minimum AKT</t>
  </si>
  <si>
    <t>Minimum battery rental cost</t>
  </si>
  <si>
    <t>Additional battery rental cost</t>
  </si>
  <si>
    <t>Mininum Kilometres traveled</t>
  </si>
  <si>
    <t>Mininum travelled (km)</t>
  </si>
  <si>
    <t>Net vehicle price</t>
  </si>
  <si>
    <t>Incentive</t>
  </si>
  <si>
    <t>Incentive &amp; discount</t>
  </si>
  <si>
    <t>Diesel price per L</t>
  </si>
  <si>
    <t>Diesel cost per km</t>
  </si>
  <si>
    <t>Diesel price</t>
  </si>
  <si>
    <t>Gasoline price</t>
  </si>
  <si>
    <t>Gasoline price per L</t>
  </si>
  <si>
    <t>Gasoline cost per km</t>
  </si>
  <si>
    <t>Insurance cost</t>
  </si>
  <si>
    <t xml:space="preserve">   CIF (Cost, Insurance cost, Freight)</t>
  </si>
  <si>
    <t>Inspection fee</t>
  </si>
  <si>
    <t>parking cost</t>
  </si>
  <si>
    <t xml:space="preserve">Parking cost </t>
  </si>
  <si>
    <t>Vehicle Parking Certificates (VPCs) cost</t>
  </si>
  <si>
    <t>New Registration Fee</t>
  </si>
  <si>
    <t>Yearly operational Cost</t>
  </si>
  <si>
    <t>E-bus</t>
  </si>
  <si>
    <t>ICE-bus</t>
  </si>
  <si>
    <t>Parameter change (%)</t>
  </si>
  <si>
    <t>Vehicle Price</t>
  </si>
  <si>
    <t>Electricity tarrif</t>
  </si>
  <si>
    <t>AKT</t>
  </si>
  <si>
    <t>O&amp;M costs</t>
  </si>
  <si>
    <t>E-truck</t>
  </si>
  <si>
    <t>ICE-truck</t>
  </si>
  <si>
    <t>SINGAPORE</t>
  </si>
  <si>
    <t>Fuel Price</t>
  </si>
  <si>
    <t>Energy Efficiency</t>
  </si>
  <si>
    <t>∆TCO (%)</t>
  </si>
  <si>
    <t>∆Parameter (%)</t>
  </si>
  <si>
    <t>ICE-van</t>
  </si>
  <si>
    <t>E-van</t>
  </si>
  <si>
    <t>Manufacturer’s Recommended Retail Price (MRRP)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</si>
</sst>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-* #,##0_-;_-* &quot;-&quot;??_-;_-@"/>
    <numFmt numFmtId="165" formatCode="_(* #,##0_);_(* \(#,##0\);_(* &quot;-&quot;??_);_(@_)"/>
    <numFmt numFmtId="166" formatCode="_-* #,##0_-;\-* #,##0_-;_-* &quot;-&quot;_-;_-@"/>
    <numFmt numFmtId="167" formatCode="_-* #,##0.00_-;\-* #,##0.00_-;_-* &quot;-&quot;_-;_-@"/>
    <numFmt numFmtId="168" formatCode="_-* #,##0.0000_-;\-* #,##0.0000_-;_-* &quot;-&quot;_-;_-@"/>
    <numFmt numFmtId="169" formatCode="_-* #,##0.00_-;\-* #,##0.00_-;_-* &quot;-&quot;??_-;_-@"/>
    <numFmt numFmtId="170" formatCode="_-* #,##0_-;\-* #,##0_-;_-* &quot;-&quot;_-;_-@_-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0" fontId="4" fillId="0" borderId="1"/>
    <xf numFmtId="43" fontId="4" fillId="0" borderId="1" applyFont="0" applyFill="0" applyBorder="0" applyAlignment="0" applyProtection="0"/>
    <xf numFmtId="170" fontId="4" fillId="0" borderId="1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1"/>
  </cellStyleXfs>
  <cellXfs count="114">
    <xf numFmtId="0" fontId="0" fillId="0" borderId="0" xfId="0"/>
    <xf numFmtId="0" fontId="5" fillId="2" borderId="1" xfId="0" applyFont="1" applyFill="1" applyBorder="1"/>
    <xf numFmtId="0" fontId="6" fillId="2" borderId="1" xfId="0" applyFont="1" applyFill="1" applyBorder="1"/>
    <xf numFmtId="164" fontId="5" fillId="2" borderId="1" xfId="0" applyNumberFormat="1" applyFont="1" applyFill="1" applyBorder="1"/>
    <xf numFmtId="2" fontId="5" fillId="2" borderId="1" xfId="0" applyNumberFormat="1" applyFont="1" applyFill="1" applyBorder="1"/>
    <xf numFmtId="165" fontId="6" fillId="2" borderId="1" xfId="0" applyNumberFormat="1" applyFont="1" applyFill="1" applyBorder="1"/>
    <xf numFmtId="166" fontId="6" fillId="2" borderId="1" xfId="0" applyNumberFormat="1" applyFont="1" applyFill="1" applyBorder="1"/>
    <xf numFmtId="0" fontId="5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5" fillId="2" borderId="3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6" fillId="2" borderId="5" xfId="0" applyFont="1" applyFill="1" applyBorder="1"/>
    <xf numFmtId="167" fontId="6" fillId="2" borderId="1" xfId="0" applyNumberFormat="1" applyFont="1" applyFill="1" applyBorder="1"/>
    <xf numFmtId="0" fontId="6" fillId="2" borderId="6" xfId="0" applyFont="1" applyFill="1" applyBorder="1"/>
    <xf numFmtId="0" fontId="6" fillId="2" borderId="1" xfId="0" applyFont="1" applyFill="1" applyBorder="1" applyAlignment="1">
      <alignment horizontal="left"/>
    </xf>
    <xf numFmtId="164" fontId="6" fillId="3" borderId="1" xfId="0" applyNumberFormat="1" applyFont="1" applyFill="1" applyBorder="1"/>
    <xf numFmtId="164" fontId="5" fillId="3" borderId="1" xfId="0" applyNumberFormat="1" applyFont="1" applyFill="1" applyBorder="1"/>
    <xf numFmtId="168" fontId="6" fillId="2" borderId="1" xfId="0" applyNumberFormat="1" applyFont="1" applyFill="1" applyBorder="1"/>
    <xf numFmtId="166" fontId="6" fillId="3" borderId="1" xfId="0" applyNumberFormat="1" applyFont="1" applyFill="1" applyBorder="1"/>
    <xf numFmtId="167" fontId="6" fillId="3" borderId="1" xfId="0" applyNumberFormat="1" applyFont="1" applyFill="1" applyBorder="1"/>
    <xf numFmtId="0" fontId="5" fillId="2" borderId="5" xfId="0" applyFont="1" applyFill="1" applyBorder="1"/>
    <xf numFmtId="164" fontId="6" fillId="2" borderId="1" xfId="0" applyNumberFormat="1" applyFont="1" applyFill="1" applyBorder="1"/>
    <xf numFmtId="0" fontId="6" fillId="2" borderId="5" xfId="0" applyFont="1" applyFill="1" applyBorder="1" applyAlignment="1">
      <alignment horizontal="left"/>
    </xf>
    <xf numFmtId="0" fontId="5" fillId="4" borderId="1" xfId="0" applyFont="1" applyFill="1" applyBorder="1"/>
    <xf numFmtId="0" fontId="6" fillId="4" borderId="1" xfId="0" applyFont="1" applyFill="1" applyBorder="1"/>
    <xf numFmtId="0" fontId="7" fillId="2" borderId="1" xfId="0" applyFont="1" applyFill="1" applyBorder="1"/>
    <xf numFmtId="169" fontId="6" fillId="4" borderId="1" xfId="0" applyNumberFormat="1" applyFont="1" applyFill="1" applyBorder="1"/>
    <xf numFmtId="166" fontId="6" fillId="4" borderId="1" xfId="0" applyNumberFormat="1" applyFont="1" applyFill="1" applyBorder="1"/>
    <xf numFmtId="164" fontId="6" fillId="4" borderId="1" xfId="0" applyNumberFormat="1" applyFont="1" applyFill="1" applyBorder="1"/>
    <xf numFmtId="169" fontId="7" fillId="2" borderId="1" xfId="0" applyNumberFormat="1" applyFont="1" applyFill="1" applyBorder="1"/>
    <xf numFmtId="166" fontId="7" fillId="2" borderId="1" xfId="0" applyNumberFormat="1" applyFont="1" applyFill="1" applyBorder="1"/>
    <xf numFmtId="43" fontId="6" fillId="2" borderId="1" xfId="0" applyNumberFormat="1" applyFont="1" applyFill="1" applyBorder="1"/>
    <xf numFmtId="1" fontId="6" fillId="4" borderId="1" xfId="0" applyNumberFormat="1" applyFont="1" applyFill="1" applyBorder="1"/>
    <xf numFmtId="1" fontId="7" fillId="2" borderId="1" xfId="0" applyNumberFormat="1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/>
    <xf numFmtId="0" fontId="6" fillId="5" borderId="1" xfId="0" applyFont="1" applyFill="1" applyBorder="1"/>
    <xf numFmtId="169" fontId="6" fillId="5" borderId="1" xfId="0" applyNumberFormat="1" applyFont="1" applyFill="1" applyBorder="1"/>
    <xf numFmtId="166" fontId="6" fillId="5" borderId="1" xfId="0" applyNumberFormat="1" applyFont="1" applyFill="1" applyBorder="1"/>
    <xf numFmtId="1" fontId="6" fillId="5" borderId="1" xfId="0" applyNumberFormat="1" applyFont="1" applyFill="1" applyBorder="1"/>
    <xf numFmtId="164" fontId="6" fillId="5" borderId="1" xfId="0" applyNumberFormat="1" applyFont="1" applyFill="1" applyBorder="1"/>
    <xf numFmtId="166" fontId="6" fillId="2" borderId="3" xfId="0" applyNumberFormat="1" applyFont="1" applyFill="1" applyBorder="1"/>
    <xf numFmtId="167" fontId="5" fillId="2" borderId="1" xfId="0" applyNumberFormat="1" applyFont="1" applyFill="1" applyBorder="1"/>
    <xf numFmtId="2" fontId="6" fillId="2" borderId="1" xfId="0" applyNumberFormat="1" applyFont="1" applyFill="1" applyBorder="1"/>
    <xf numFmtId="0" fontId="8" fillId="0" borderId="0" xfId="0" applyFont="1"/>
    <xf numFmtId="169" fontId="6" fillId="2" borderId="1" xfId="0" applyNumberFormat="1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/>
    <xf numFmtId="169" fontId="5" fillId="2" borderId="1" xfId="0" applyNumberFormat="1" applyFont="1" applyFill="1" applyBorder="1"/>
    <xf numFmtId="10" fontId="6" fillId="2" borderId="1" xfId="0" applyNumberFormat="1" applyFont="1" applyFill="1" applyBorder="1"/>
    <xf numFmtId="0" fontId="9" fillId="6" borderId="0" xfId="0" applyFont="1" applyFill="1"/>
    <xf numFmtId="0" fontId="0" fillId="6" borderId="0" xfId="0" applyFill="1"/>
    <xf numFmtId="0" fontId="10" fillId="7" borderId="6" xfId="0" applyFont="1" applyFill="1" applyBorder="1"/>
    <xf numFmtId="0" fontId="0" fillId="8" borderId="0" xfId="0" applyFill="1"/>
    <xf numFmtId="0" fontId="10" fillId="7" borderId="1" xfId="0" applyFont="1" applyFill="1" applyBorder="1"/>
    <xf numFmtId="0" fontId="10" fillId="2" borderId="8" xfId="0" applyFont="1" applyFill="1" applyBorder="1"/>
    <xf numFmtId="166" fontId="10" fillId="2" borderId="8" xfId="0" applyNumberFormat="1" applyFont="1" applyFill="1" applyBorder="1"/>
    <xf numFmtId="0" fontId="10" fillId="2" borderId="9" xfId="0" applyFont="1" applyFill="1" applyBorder="1"/>
    <xf numFmtId="0" fontId="0" fillId="9" borderId="0" xfId="0" applyFill="1"/>
    <xf numFmtId="0" fontId="10" fillId="2" borderId="6" xfId="0" applyFont="1" applyFill="1" applyBorder="1"/>
    <xf numFmtId="166" fontId="10" fillId="2" borderId="1" xfId="0" applyNumberFormat="1" applyFont="1" applyFill="1" applyBorder="1"/>
    <xf numFmtId="0" fontId="11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165" fontId="10" fillId="2" borderId="1" xfId="4" applyNumberFormat="1" applyFont="1" applyFill="1" applyBorder="1"/>
    <xf numFmtId="43" fontId="10" fillId="2" borderId="1" xfId="4" applyFont="1" applyFill="1" applyBorder="1"/>
    <xf numFmtId="165" fontId="10" fillId="2" borderId="1" xfId="0" applyNumberFormat="1" applyFont="1" applyFill="1" applyBorder="1"/>
    <xf numFmtId="0" fontId="3" fillId="9" borderId="0" xfId="0" applyFont="1" applyFill="1"/>
    <xf numFmtId="166" fontId="10" fillId="2" borderId="0" xfId="0" applyNumberFormat="1" applyFont="1" applyFill="1"/>
    <xf numFmtId="167" fontId="10" fillId="2" borderId="1" xfId="0" applyNumberFormat="1" applyFont="1" applyFill="1" applyBorder="1"/>
    <xf numFmtId="0" fontId="11" fillId="4" borderId="1" xfId="0" applyFont="1" applyFill="1" applyBorder="1"/>
    <xf numFmtId="0" fontId="10" fillId="4" borderId="1" xfId="0" applyFont="1" applyFill="1" applyBorder="1"/>
    <xf numFmtId="164" fontId="10" fillId="4" borderId="1" xfId="0" applyNumberFormat="1" applyFont="1" applyFill="1" applyBorder="1"/>
    <xf numFmtId="166" fontId="10" fillId="4" borderId="1" xfId="0" applyNumberFormat="1" applyFont="1" applyFill="1" applyBorder="1"/>
    <xf numFmtId="0" fontId="10" fillId="5" borderId="1" xfId="0" applyFont="1" applyFill="1" applyBorder="1"/>
    <xf numFmtId="1" fontId="6" fillId="10" borderId="1" xfId="0" applyNumberFormat="1" applyFont="1" applyFill="1" applyBorder="1"/>
    <xf numFmtId="164" fontId="6" fillId="10" borderId="1" xfId="0" applyNumberFormat="1" applyFont="1" applyFill="1" applyBorder="1"/>
    <xf numFmtId="0" fontId="12" fillId="0" borderId="1" xfId="5" applyFont="1"/>
    <xf numFmtId="0" fontId="8" fillId="0" borderId="1" xfId="5"/>
    <xf numFmtId="0" fontId="8" fillId="0" borderId="1" xfId="5" applyAlignment="1">
      <alignment wrapText="1"/>
    </xf>
    <xf numFmtId="0" fontId="2" fillId="0" borderId="1" xfId="5" applyFont="1"/>
    <xf numFmtId="0" fontId="9" fillId="11" borderId="1" xfId="5" applyFont="1" applyFill="1" applyAlignment="1">
      <alignment horizontal="center" vertical="center"/>
    </xf>
    <xf numFmtId="0" fontId="9" fillId="11" borderId="1" xfId="5" applyFont="1" applyFill="1" applyAlignment="1">
      <alignment horizontal="center" wrapText="1"/>
    </xf>
    <xf numFmtId="0" fontId="9" fillId="11" borderId="1" xfId="5" applyFont="1" applyFill="1" applyAlignment="1">
      <alignment horizontal="center" vertical="center" wrapText="1"/>
    </xf>
    <xf numFmtId="0" fontId="9" fillId="0" borderId="1" xfId="5" applyFont="1" applyAlignment="1">
      <alignment wrapText="1"/>
    </xf>
    <xf numFmtId="0" fontId="9" fillId="11" borderId="1" xfId="5" applyFont="1" applyFill="1"/>
    <xf numFmtId="1" fontId="8" fillId="9" borderId="1" xfId="5" applyNumberFormat="1" applyFill="1" applyAlignment="1">
      <alignment wrapText="1"/>
    </xf>
    <xf numFmtId="1" fontId="8" fillId="9" borderId="1" xfId="5" applyNumberFormat="1" applyFill="1"/>
    <xf numFmtId="0" fontId="8" fillId="11" borderId="1" xfId="5" applyFill="1"/>
    <xf numFmtId="0" fontId="13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69" fontId="10" fillId="4" borderId="1" xfId="0" applyNumberFormat="1" applyFont="1" applyFill="1" applyBorder="1"/>
    <xf numFmtId="1" fontId="10" fillId="4" borderId="1" xfId="0" applyNumberFormat="1" applyFont="1" applyFill="1" applyBorder="1"/>
    <xf numFmtId="169" fontId="10" fillId="10" borderId="1" xfId="0" applyNumberFormat="1" applyFont="1" applyFill="1" applyBorder="1"/>
    <xf numFmtId="166" fontId="10" fillId="5" borderId="1" xfId="0" applyNumberFormat="1" applyFont="1" applyFill="1" applyBorder="1"/>
    <xf numFmtId="1" fontId="10" fillId="10" borderId="1" xfId="0" applyNumberFormat="1" applyFont="1" applyFill="1" applyBorder="1"/>
    <xf numFmtId="0" fontId="11" fillId="12" borderId="1" xfId="0" applyFont="1" applyFill="1" applyBorder="1"/>
    <xf numFmtId="1" fontId="10" fillId="2" borderId="1" xfId="0" applyNumberFormat="1" applyFont="1" applyFill="1" applyBorder="1"/>
    <xf numFmtId="1" fontId="0" fillId="0" borderId="0" xfId="0" applyNumberFormat="1"/>
    <xf numFmtId="0" fontId="9" fillId="13" borderId="0" xfId="0" applyFont="1" applyFill="1"/>
    <xf numFmtId="1" fontId="0" fillId="9" borderId="0" xfId="0" applyNumberFormat="1" applyFill="1"/>
    <xf numFmtId="0" fontId="1" fillId="0" borderId="1" xfId="5" applyFont="1"/>
    <xf numFmtId="0" fontId="9" fillId="11" borderId="1" xfId="5" applyFont="1" applyFill="1" applyAlignment="1">
      <alignment horizontal="center" vertical="center"/>
    </xf>
    <xf numFmtId="0" fontId="9" fillId="11" borderId="1" xfId="5" applyFont="1" applyFill="1" applyAlignment="1">
      <alignment horizontal="center" wrapText="1"/>
    </xf>
    <xf numFmtId="0" fontId="9" fillId="11" borderId="1" xfId="5" applyFont="1" applyFill="1" applyAlignment="1">
      <alignment horizontal="center" vertical="center" wrapText="1"/>
    </xf>
  </cellXfs>
  <cellStyles count="6">
    <cellStyle name="Comma" xfId="4" builtinId="3"/>
    <cellStyle name="Comma [0] 2" xfId="3" xr:uid="{90952CA6-9B62-4CA1-BD23-F2E5E3B98DD0}"/>
    <cellStyle name="Comma 2" xfId="2" xr:uid="{34588020-8725-4C0A-862E-F1271EBE82C0}"/>
    <cellStyle name="Normal" xfId="0" builtinId="0"/>
    <cellStyle name="Normal 2" xfId="1" xr:uid="{39A6E4FD-0836-40DA-A07F-6EF05DDEC468}"/>
    <cellStyle name="Normal 2 2" xfId="5" xr:uid="{6B1E43A5-854C-4CEF-9795-EABFCFA5B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SG'!$P$55</c:f>
              <c:numCache>
                <c:formatCode>_-* #,##0_-;\-* #,##0_-;_-* "-"??_-;_-@</c:formatCode>
                <c:ptCount val="1"/>
                <c:pt idx="0">
                  <c:v>358323.02063307917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AA1-4313-A853-A6C55FE08E1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SG'!$P$56</c:f>
              <c:numCache>
                <c:formatCode>_-* #,##0_-;\-* #,##0_-;_-* "-"??_-;_-@</c:formatCode>
                <c:ptCount val="1"/>
                <c:pt idx="0">
                  <c:v>263625.1947792141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AA1-4313-A853-A6C55FE08E1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SG'!$P$57</c:f>
              <c:numCache>
                <c:formatCode>_-* #,##0_-;\-* #,##0_-;_-* "-"??_-;_-@</c:formatCode>
                <c:ptCount val="1"/>
                <c:pt idx="0">
                  <c:v>271292.0404136774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AA1-4313-A853-A6C55FE08E1D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AA1-4313-A853-A6C55FE08E1D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SG'!$P$59</c:f>
              <c:numCache>
                <c:formatCode>_-* #,##0_-;\-* #,##0_-;_-* "-"??_-;_-@</c:formatCode>
                <c:ptCount val="1"/>
                <c:pt idx="0">
                  <c:v>-78127.775896278603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AA1-4313-A853-A6C55FE08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1457512"/>
        <c:axId val="1347746835"/>
      </c:barChart>
      <c:catAx>
        <c:axId val="131145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47746835"/>
        <c:crosses val="autoZero"/>
        <c:auto val="1"/>
        <c:lblAlgn val="ctr"/>
        <c:lblOffset val="100"/>
        <c:noMultiLvlLbl val="1"/>
      </c:catAx>
      <c:valAx>
        <c:axId val="1347746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114575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SG'!$R$55</c:f>
              <c:numCache>
                <c:formatCode>0.00</c:formatCode>
                <c:ptCount val="1"/>
                <c:pt idx="0">
                  <c:v>0.42155649486244606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9C7-470C-8D23-237F4D14DA26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SG'!$R$56</c:f>
              <c:numCache>
                <c:formatCode>0.00</c:formatCode>
                <c:ptCount val="1"/>
                <c:pt idx="0">
                  <c:v>0.31014728797554603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9C7-470C-8D23-237F4D14DA26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SG'!$R$57</c:f>
              <c:numCache>
                <c:formatCode>0.00</c:formatCode>
                <c:ptCount val="1"/>
                <c:pt idx="0">
                  <c:v>0.31916710636903223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9C7-470C-8D23-237F4D14DA26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9C7-470C-8D23-237F4D14DA26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SG'!$R$59</c:f>
              <c:numCache>
                <c:formatCode>0.00</c:formatCode>
                <c:ptCount val="1"/>
                <c:pt idx="0">
                  <c:v>-9.1915030466210121E-2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9C7-470C-8D23-237F4D14D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1748212"/>
        <c:axId val="423575798"/>
      </c:barChart>
      <c:catAx>
        <c:axId val="1181748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23575798"/>
        <c:crosses val="autoZero"/>
        <c:auto val="1"/>
        <c:lblAlgn val="ctr"/>
        <c:lblOffset val="100"/>
        <c:noMultiLvlLbl val="1"/>
      </c:catAx>
      <c:valAx>
        <c:axId val="423575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817482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SG'!$P$55</c:f>
              <c:numCache>
                <c:formatCode>_-* #,##0_-;\-* #,##0_-;_-* "-"??_-;_-@</c:formatCode>
                <c:ptCount val="1"/>
                <c:pt idx="0">
                  <c:v>181775.66022787083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75A-474D-A78D-2242209F38A7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SG'!$P$56</c:f>
              <c:numCache>
                <c:formatCode>_-* #,##0_-;\-* #,##0_-;_-* "-"??_-;_-@</c:formatCode>
                <c:ptCount val="1"/>
                <c:pt idx="0">
                  <c:v>613261.43795609113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75A-474D-A78D-2242209F38A7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75A-474D-A78D-2242209F38A7}"/>
              </c:ext>
            </c:extLst>
          </c:dPt>
          <c:val>
            <c:numRef>
              <c:f>'ICE-Bus SG'!$P$57</c:f>
              <c:numCache>
                <c:formatCode>_-* #,##0_-;\-* #,##0_-;_-* "-"??_-;_-@</c:formatCode>
                <c:ptCount val="1"/>
                <c:pt idx="0">
                  <c:v>175356.96594256087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75A-474D-A78D-2242209F38A7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SG'!$P$58</c:f>
              <c:numCache>
                <c:formatCode>_-* #,##0_-;\-* #,##0_-;_-* "-"??_-;_-@</c:formatCode>
                <c:ptCount val="1"/>
                <c:pt idx="0">
                  <c:v>-33109.300806023391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375A-474D-A78D-2242209F3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4872183"/>
        <c:axId val="1036918690"/>
      </c:barChart>
      <c:catAx>
        <c:axId val="1854872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036918690"/>
        <c:crosses val="autoZero"/>
        <c:auto val="1"/>
        <c:lblAlgn val="ctr"/>
        <c:lblOffset val="100"/>
        <c:noMultiLvlLbl val="1"/>
      </c:catAx>
      <c:valAx>
        <c:axId val="1036918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5487218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7089484409971226"/>
          <c:y val="0.11942881952607484"/>
          <c:w val="0.79996257567005513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SG'!$R$55</c:f>
              <c:numCache>
                <c:formatCode>0.00</c:formatCode>
                <c:ptCount val="1"/>
                <c:pt idx="0">
                  <c:v>0.21385371791514216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D32-45E7-9DC5-F2F443AE897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SG'!$R$56</c:f>
              <c:numCache>
                <c:formatCode>0.00</c:formatCode>
                <c:ptCount val="1"/>
                <c:pt idx="0">
                  <c:v>0.72148404465422489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D32-45E7-9DC5-F2F443AE897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SG'!$R$57</c:f>
              <c:numCache>
                <c:formatCode>0.00</c:formatCode>
                <c:ptCount val="1"/>
                <c:pt idx="0">
                  <c:v>0.20630231287360101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D32-45E7-9DC5-F2F443AE8978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SG'!$R$58</c:f>
              <c:numCache>
                <c:formatCode>0.00</c:formatCode>
                <c:ptCount val="1"/>
                <c:pt idx="0">
                  <c:v>-3.895211859532164E-2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D32-45E7-9DC5-F2F443AE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5970333"/>
        <c:axId val="1292539872"/>
      </c:barChart>
      <c:catAx>
        <c:axId val="1265970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92539872"/>
        <c:crosses val="autoZero"/>
        <c:auto val="1"/>
        <c:lblAlgn val="ctr"/>
        <c:lblOffset val="100"/>
        <c:noMultiLvlLbl val="1"/>
      </c:catAx>
      <c:valAx>
        <c:axId val="1292539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6597033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SG'!$P$55</c:f>
              <c:numCache>
                <c:formatCode>_-* #,##0_-;\-* #,##0_-;_-* "-"??_-;_-@</c:formatCode>
                <c:ptCount val="1"/>
                <c:pt idx="0">
                  <c:v>122706.01009019215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41A-4A03-94C4-49EE8755B507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SG'!$P$56</c:f>
              <c:numCache>
                <c:formatCode>_-* #,##0_-;\-* #,##0_-;_-* "-"??_-;_-@</c:formatCode>
                <c:ptCount val="1"/>
                <c:pt idx="0">
                  <c:v>20833.125909468497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41A-4A03-94C4-49EE8755B507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SG'!$P$57</c:f>
              <c:numCache>
                <c:formatCode>_-* #,##0_-;\-* #,##0_-;_-* "-"??_-;_-@</c:formatCode>
                <c:ptCount val="1"/>
                <c:pt idx="0">
                  <c:v>42012.397392936829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41A-4A03-94C4-49EE8755B507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SG'!$P$58</c:f>
              <c:numCache>
                <c:formatCode>_-* #,##0_-;\-* #,##0_-;_-* "-"??_-;_-@</c:formatCode>
                <c:ptCount val="1"/>
                <c:pt idx="0">
                  <c:v>12736.163298851701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41A-4A03-94C4-49EE8755B507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SG'!$P$59</c:f>
              <c:numCache>
                <c:formatCode>_-* #,##0_-;\-* #,##0_-;_-* "-"??_-;_-@</c:formatCode>
                <c:ptCount val="1"/>
                <c:pt idx="0">
                  <c:v>-15703.332480964364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41A-4A03-94C4-49EE8755B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023334"/>
        <c:axId val="1353225183"/>
      </c:barChart>
      <c:catAx>
        <c:axId val="737023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53225183"/>
        <c:crosses val="autoZero"/>
        <c:auto val="1"/>
        <c:lblAlgn val="ctr"/>
        <c:lblOffset val="100"/>
        <c:noMultiLvlLbl val="1"/>
      </c:catAx>
      <c:valAx>
        <c:axId val="1353225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73702333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SG'!$R$55</c:f>
              <c:numCache>
                <c:formatCode>0.00</c:formatCode>
                <c:ptCount val="1"/>
                <c:pt idx="0">
                  <c:v>0.3505886002576919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815-4CB4-B72C-68A6B459502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SG'!$R$56</c:f>
              <c:numCache>
                <c:formatCode>0.00</c:formatCode>
                <c:ptCount val="1"/>
                <c:pt idx="0">
                  <c:v>5.9523216884195707E-2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815-4CB4-B72C-68A6B459502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SG'!$R$57</c:f>
              <c:numCache>
                <c:formatCode>0.00</c:formatCode>
                <c:ptCount val="1"/>
                <c:pt idx="0">
                  <c:v>0.12003542112267665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815-4CB4-B72C-68A6B4595020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SG'!$R$58</c:f>
              <c:numCache>
                <c:formatCode>0.00</c:formatCode>
                <c:ptCount val="1"/>
                <c:pt idx="0">
                  <c:v>3.6389037996719144E-2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815-4CB4-B72C-68A6B4595020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SG'!$R$59</c:f>
              <c:numCache>
                <c:formatCode>0.00</c:formatCode>
                <c:ptCount val="1"/>
                <c:pt idx="0">
                  <c:v>-4.486666423132675E-2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815-4CB4-B72C-68A6B4595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7344634"/>
        <c:axId val="1353176403"/>
      </c:barChart>
      <c:catAx>
        <c:axId val="1657344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53176403"/>
        <c:crosses val="autoZero"/>
        <c:auto val="1"/>
        <c:lblAlgn val="ctr"/>
        <c:lblOffset val="100"/>
        <c:noMultiLvlLbl val="1"/>
      </c:catAx>
      <c:valAx>
        <c:axId val="1353176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65734463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SG'!$P$55</c:f>
              <c:numCache>
                <c:formatCode>_-* #,##0_-;\-* #,##0_-;_-* "-"??_-;_-@</c:formatCode>
                <c:ptCount val="1"/>
                <c:pt idx="0">
                  <c:v>71710.8626572254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AF1-4B17-9AC5-286FD283134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SG'!$P$56</c:f>
              <c:numCache>
                <c:formatCode>_-* #,##0_-;\-* #,##0_-;_-* "-"??_-;_-@</c:formatCode>
                <c:ptCount val="1"/>
                <c:pt idx="0">
                  <c:v>82455.319389054261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AF1-4B17-9AC5-286FD283134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CAF1-4B17-9AC5-286FD283134B}"/>
              </c:ext>
            </c:extLst>
          </c:dPt>
          <c:val>
            <c:numRef>
              <c:f>'ICE-Truck SG'!$P$57</c:f>
              <c:numCache>
                <c:formatCode>_-* #,##0_-;\-* #,##0_-;_-* "-"??_-;_-@</c:formatCode>
                <c:ptCount val="1"/>
                <c:pt idx="0">
                  <c:v>54032.744937940966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AF1-4B17-9AC5-286FD283134B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SG'!$P$58</c:f>
              <c:numCache>
                <c:formatCode>_-* #,##0_-;\-* #,##0_-;_-* "-"??_-;_-@</c:formatCode>
                <c:ptCount val="1"/>
                <c:pt idx="0">
                  <c:v>-3202.9820728920831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AF1-4B17-9AC5-286FD283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2792302"/>
        <c:axId val="1962661360"/>
      </c:barChart>
      <c:catAx>
        <c:axId val="2227923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62661360"/>
        <c:crosses val="autoZero"/>
        <c:auto val="1"/>
        <c:lblAlgn val="ctr"/>
        <c:lblOffset val="100"/>
        <c:noMultiLvlLbl val="1"/>
      </c:catAx>
      <c:valAx>
        <c:axId val="196266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2279230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SG'!$R$55</c:f>
              <c:numCache>
                <c:formatCode>0.00</c:formatCode>
                <c:ptCount val="1"/>
                <c:pt idx="0">
                  <c:v>0.20488817902064399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049-4DC5-8463-EAC609E08F5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SG'!$R$56</c:f>
              <c:numCache>
                <c:formatCode>0.00</c:formatCode>
                <c:ptCount val="1"/>
                <c:pt idx="0">
                  <c:v>0.23558662682586931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049-4DC5-8463-EAC609E08F5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SG'!$R$57</c:f>
              <c:numCache>
                <c:formatCode>0.00</c:formatCode>
                <c:ptCount val="1"/>
                <c:pt idx="0">
                  <c:v>0.15437927125125991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049-4DC5-8463-EAC609E08F50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SG'!$R$58</c:f>
              <c:numCache>
                <c:formatCode>0.00</c:formatCode>
                <c:ptCount val="1"/>
                <c:pt idx="0">
                  <c:v>-9.1513773511202375E-3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049-4DC5-8463-EAC609E0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0077316"/>
        <c:axId val="2085264859"/>
      </c:barChart>
      <c:catAx>
        <c:axId val="1760077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85264859"/>
        <c:crosses val="autoZero"/>
        <c:auto val="1"/>
        <c:lblAlgn val="ctr"/>
        <c:lblOffset val="100"/>
        <c:noMultiLvlLbl val="1"/>
      </c:catAx>
      <c:valAx>
        <c:axId val="2085264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7600773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SG'!$P$55</c:f>
              <c:numCache>
                <c:formatCode>_-* #,##0_-;\-* #,##0_-;_-* "-"??_-;_-@</c:formatCode>
                <c:ptCount val="1"/>
                <c:pt idx="0">
                  <c:v>67555.938099288804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D74-4ECB-8E76-2336B491BE38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SG'!$P$56</c:f>
              <c:numCache>
                <c:formatCode>_-* #,##0_-;\-* #,##0_-;_-* "-"??_-;_-@</c:formatCode>
                <c:ptCount val="1"/>
                <c:pt idx="0">
                  <c:v>15570.020416550136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D74-4ECB-8E76-2336B491BE38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SG'!$P$57</c:f>
              <c:numCache>
                <c:formatCode>_-* #,##0_-;\-* #,##0_-;_-* "-"??_-;_-@</c:formatCode>
                <c:ptCount val="1"/>
                <c:pt idx="0">
                  <c:v>31687.737751848432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D74-4ECB-8E76-2336B491BE38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SG'!$P$58</c:f>
              <c:numCache>
                <c:formatCode>_-* #,##0_-;\-* #,##0_-;_-* "-"??_-;_-@</c:formatCode>
                <c:ptCount val="1"/>
                <c:pt idx="0">
                  <c:v>6992.0302864998393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D74-4ECB-8E76-2336B491BE38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SG'!$P$59</c:f>
              <c:numCache>
                <c:formatCode>_-* #,##0_-;\-* #,##0_-;_-* "-"??_-;_-@</c:formatCode>
                <c:ptCount val="1"/>
                <c:pt idx="0">
                  <c:v>-4844.0527920955838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D74-4ECB-8E76-2336B491B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9064315"/>
        <c:axId val="1908125319"/>
      </c:barChart>
      <c:catAx>
        <c:axId val="1229064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908125319"/>
        <c:crosses val="autoZero"/>
        <c:auto val="1"/>
        <c:lblAlgn val="ctr"/>
        <c:lblOffset val="100"/>
        <c:noMultiLvlLbl val="1"/>
      </c:catAx>
      <c:valAx>
        <c:axId val="1908125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2906431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SG'!$R$55</c:f>
              <c:numCache>
                <c:formatCode>0.00</c:formatCode>
                <c:ptCount val="1"/>
                <c:pt idx="0">
                  <c:v>0.193016965997968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EF3-4D1E-8203-3FB5DBAF9233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SG'!$R$56</c:f>
              <c:numCache>
                <c:formatCode>0.00</c:formatCode>
                <c:ptCount val="1"/>
                <c:pt idx="0">
                  <c:v>4.4485772618714677E-2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EF3-4D1E-8203-3FB5DBAF9233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SG'!$R$57</c:f>
              <c:numCache>
                <c:formatCode>0.00</c:formatCode>
                <c:ptCount val="1"/>
                <c:pt idx="0">
                  <c:v>9.0536393576709812E-2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EF3-4D1E-8203-3FB5DBAF9233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SG'!$R$58</c:f>
              <c:numCache>
                <c:formatCode>0.00</c:formatCode>
                <c:ptCount val="1"/>
                <c:pt idx="0">
                  <c:v>1.9977229389999542E-2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EF3-4D1E-8203-3FB5DBAF9233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SG'!$R$59</c:f>
              <c:numCache>
                <c:formatCode>0.00</c:formatCode>
                <c:ptCount val="1"/>
                <c:pt idx="0">
                  <c:v>-1.384015083455881E-2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EF3-4D1E-8203-3FB5DBAF9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7110021"/>
        <c:axId val="1606259611"/>
      </c:barChart>
      <c:catAx>
        <c:axId val="557110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606259611"/>
        <c:crosses val="autoZero"/>
        <c:auto val="1"/>
        <c:lblAlgn val="ctr"/>
        <c:lblOffset val="100"/>
        <c:noMultiLvlLbl val="1"/>
      </c:catAx>
      <c:valAx>
        <c:axId val="1606259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571100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SG'!$P$55</c:f>
              <c:numCache>
                <c:formatCode>_-* #,##0_-;\-* #,##0_-;_-* "-"??_-;_-@</c:formatCode>
                <c:ptCount val="1"/>
                <c:pt idx="0">
                  <c:v>61431.926453505897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CFA-4C2E-B635-990B43E87929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SG'!$P$56</c:f>
              <c:numCache>
                <c:formatCode>_-* #,##0_-;\-* #,##0_-;_-* "-"??_-;_-@</c:formatCode>
                <c:ptCount val="1"/>
                <c:pt idx="0">
                  <c:v>45948.007433488288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CFA-4C2E-B635-990B43E87929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ACFA-4C2E-B635-990B43E87929}"/>
              </c:ext>
            </c:extLst>
          </c:dPt>
          <c:val>
            <c:numRef>
              <c:f>'ICE-Cargo SG'!$P$57</c:f>
              <c:numCache>
                <c:formatCode>_-* #,##0_-;\-* #,##0_-;_-* "-"??_-;_-@</c:formatCode>
                <c:ptCount val="1"/>
                <c:pt idx="0">
                  <c:v>32494.050913380539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CFA-4C2E-B635-990B43E87929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SG'!$P$58</c:f>
              <c:numCache>
                <c:formatCode>_-* #,##0_-;\-* #,##0_-;_-* "-"??_-;_-@</c:formatCode>
                <c:ptCount val="1"/>
                <c:pt idx="0">
                  <c:v>-1571.728323812182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ACFA-4C2E-B635-990B43E87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2802615"/>
        <c:axId val="1884060289"/>
      </c:barChart>
      <c:catAx>
        <c:axId val="642802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84060289"/>
        <c:crosses val="autoZero"/>
        <c:auto val="1"/>
        <c:lblAlgn val="ctr"/>
        <c:lblOffset val="100"/>
        <c:noMultiLvlLbl val="1"/>
      </c:catAx>
      <c:valAx>
        <c:axId val="1884060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4280261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SG'!$R$55</c:f>
              <c:numCache>
                <c:formatCode>0.00</c:formatCode>
                <c:ptCount val="1"/>
                <c:pt idx="0">
                  <c:v>0.17551978986715971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B14-4309-9244-ED5BAAE316B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SG'!$R$56</c:f>
              <c:numCache>
                <c:formatCode>0.00</c:formatCode>
                <c:ptCount val="1"/>
                <c:pt idx="0">
                  <c:v>0.13128002123853796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B14-4309-9244-ED5BAAE316B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SG'!$R$57</c:f>
              <c:numCache>
                <c:formatCode>0.00</c:formatCode>
                <c:ptCount val="1"/>
                <c:pt idx="0">
                  <c:v>9.2840145466801541E-2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B14-4309-9244-ED5BAAE316BB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SG'!$R$58</c:f>
              <c:numCache>
                <c:formatCode>0.00</c:formatCode>
                <c:ptCount val="1"/>
                <c:pt idx="0">
                  <c:v>-4.4906523537490911E-3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B14-4309-9244-ED5BAAE3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415375"/>
        <c:axId val="682285036"/>
      </c:barChart>
      <c:catAx>
        <c:axId val="93415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82285036"/>
        <c:crosses val="autoZero"/>
        <c:auto val="1"/>
        <c:lblAlgn val="ctr"/>
        <c:lblOffset val="100"/>
        <c:noMultiLvlLbl val="1"/>
      </c:catAx>
      <c:valAx>
        <c:axId val="682285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341537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-21.979973896607881</c:v>
                </c:pt>
                <c:pt idx="1">
                  <c:v>-17.583979117286308</c:v>
                </c:pt>
                <c:pt idx="2">
                  <c:v>-13.187984337964725</c:v>
                </c:pt>
                <c:pt idx="3">
                  <c:v>-8.7919895586431398</c:v>
                </c:pt>
                <c:pt idx="4">
                  <c:v>-4.3959947793215566</c:v>
                </c:pt>
                <c:pt idx="5">
                  <c:v>0</c:v>
                </c:pt>
                <c:pt idx="6">
                  <c:v>4.395994779321585</c:v>
                </c:pt>
                <c:pt idx="7">
                  <c:v>8.7919895586431966</c:v>
                </c:pt>
                <c:pt idx="8">
                  <c:v>13.187984337964725</c:v>
                </c:pt>
                <c:pt idx="9">
                  <c:v>17.58397911728634</c:v>
                </c:pt>
                <c:pt idx="10">
                  <c:v>21.97997389660792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6-4C15-AF37-D1195C4FCE62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-16.171093025219836</c:v>
                </c:pt>
                <c:pt idx="1">
                  <c:v>-12.936874420175851</c:v>
                </c:pt>
                <c:pt idx="2">
                  <c:v>-9.7026558151319051</c:v>
                </c:pt>
                <c:pt idx="3">
                  <c:v>-6.4684372100879326</c:v>
                </c:pt>
                <c:pt idx="4">
                  <c:v>-3.2342186050439592</c:v>
                </c:pt>
                <c:pt idx="5">
                  <c:v>0</c:v>
                </c:pt>
                <c:pt idx="6">
                  <c:v>3.2342186050440023</c:v>
                </c:pt>
                <c:pt idx="7">
                  <c:v>6.468437210087961</c:v>
                </c:pt>
                <c:pt idx="8">
                  <c:v>9.7026558151319211</c:v>
                </c:pt>
                <c:pt idx="9">
                  <c:v>12.936874420175922</c:v>
                </c:pt>
                <c:pt idx="10">
                  <c:v>16.171093025219896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6-4C15-AF37-D1195C4FCE62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-2.0271101967389393</c:v>
                </c:pt>
                <c:pt idx="1">
                  <c:v>-1.6216881573911202</c:v>
                </c:pt>
                <c:pt idx="2">
                  <c:v>-1.2162661180433723</c:v>
                </c:pt>
                <c:pt idx="3">
                  <c:v>-0.81084407869553865</c:v>
                </c:pt>
                <c:pt idx="4">
                  <c:v>-0.40542203934777649</c:v>
                </c:pt>
                <c:pt idx="5">
                  <c:v>0</c:v>
                </c:pt>
                <c:pt idx="6">
                  <c:v>0.40542203934781934</c:v>
                </c:pt>
                <c:pt idx="7">
                  <c:v>0.81084407869556718</c:v>
                </c:pt>
                <c:pt idx="8">
                  <c:v>1.2162661180433723</c:v>
                </c:pt>
                <c:pt idx="9">
                  <c:v>1.621688157391163</c:v>
                </c:pt>
                <c:pt idx="10">
                  <c:v>2.0271101967389393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E6-4C15-AF37-D1195C4FCE62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-30.989595124043539</c:v>
                </c:pt>
                <c:pt idx="1">
                  <c:v>-24.79167609923481</c:v>
                </c:pt>
                <c:pt idx="2">
                  <c:v>-18.59375707442609</c:v>
                </c:pt>
                <c:pt idx="3">
                  <c:v>-12.395838049617405</c:v>
                </c:pt>
                <c:pt idx="4">
                  <c:v>-6.1979190248087024</c:v>
                </c:pt>
                <c:pt idx="5">
                  <c:v>0</c:v>
                </c:pt>
                <c:pt idx="6">
                  <c:v>9.000087450689092</c:v>
                </c:pt>
                <c:pt idx="7">
                  <c:v>15.310093212532999</c:v>
                </c:pt>
                <c:pt idx="8">
                  <c:v>21.624582443858348</c:v>
                </c:pt>
                <c:pt idx="9">
                  <c:v>27.943734483444338</c:v>
                </c:pt>
                <c:pt idx="10">
                  <c:v>34.141653508253057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E6-4C15-AF37-D1195C4FCE62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-14.818502098823627</c:v>
                </c:pt>
                <c:pt idx="1">
                  <c:v>-11.854801679058914</c:v>
                </c:pt>
                <c:pt idx="2">
                  <c:v>-8.8911012592941994</c:v>
                </c:pt>
                <c:pt idx="3">
                  <c:v>-5.9274008395294713</c:v>
                </c:pt>
                <c:pt idx="4">
                  <c:v>-2.9637004197646997</c:v>
                </c:pt>
                <c:pt idx="5">
                  <c:v>0</c:v>
                </c:pt>
                <c:pt idx="6">
                  <c:v>2.963700419764757</c:v>
                </c:pt>
                <c:pt idx="7">
                  <c:v>5.9274008395294713</c:v>
                </c:pt>
                <c:pt idx="8">
                  <c:v>8.8911012592942278</c:v>
                </c:pt>
                <c:pt idx="9">
                  <c:v>11.854801679058943</c:v>
                </c:pt>
                <c:pt idx="10">
                  <c:v>14.818502098823672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E6-4C15-AF37-D1195C4FCE62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16.17109302521985</c:v>
                </c:pt>
                <c:pt idx="1">
                  <c:v>12.936874420175922</c:v>
                </c:pt>
                <c:pt idx="2">
                  <c:v>9.7026558151319211</c:v>
                </c:pt>
                <c:pt idx="3">
                  <c:v>6.468437210087961</c:v>
                </c:pt>
                <c:pt idx="4">
                  <c:v>3.2342186050440023</c:v>
                </c:pt>
                <c:pt idx="5">
                  <c:v>0</c:v>
                </c:pt>
                <c:pt idx="6">
                  <c:v>-3.2342186050439592</c:v>
                </c:pt>
                <c:pt idx="7">
                  <c:v>-6.4684372100879326</c:v>
                </c:pt>
                <c:pt idx="8">
                  <c:v>-9.7026558151319051</c:v>
                </c:pt>
                <c:pt idx="9">
                  <c:v>-12.936874420175851</c:v>
                </c:pt>
                <c:pt idx="10">
                  <c:v>-16.171093025219836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E6-4C15-AF37-D1195C4FC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-33.602551516606212</c:v>
                </c:pt>
                <c:pt idx="1">
                  <c:v>-26.882041213284968</c:v>
                </c:pt>
                <c:pt idx="2">
                  <c:v>-20.161530909963744</c:v>
                </c:pt>
                <c:pt idx="3">
                  <c:v>-13.441020606642484</c:v>
                </c:pt>
                <c:pt idx="4">
                  <c:v>-6.720510303321257</c:v>
                </c:pt>
                <c:pt idx="5">
                  <c:v>0</c:v>
                </c:pt>
                <c:pt idx="6">
                  <c:v>6.720510303321257</c:v>
                </c:pt>
                <c:pt idx="7">
                  <c:v>13.441020606642484</c:v>
                </c:pt>
                <c:pt idx="8">
                  <c:v>20.161530909963709</c:v>
                </c:pt>
                <c:pt idx="9">
                  <c:v>26.882041213284968</c:v>
                </c:pt>
                <c:pt idx="10">
                  <c:v>33.602551516606191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8-4578-A077-5BCA22F67CDC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-5.7050684486465242</c:v>
                </c:pt>
                <c:pt idx="1">
                  <c:v>-4.5640547589172158</c:v>
                </c:pt>
                <c:pt idx="2">
                  <c:v>-3.4230410691879238</c:v>
                </c:pt>
                <c:pt idx="3">
                  <c:v>-2.2820273794585999</c:v>
                </c:pt>
                <c:pt idx="4">
                  <c:v>-1.141013689729292</c:v>
                </c:pt>
                <c:pt idx="5">
                  <c:v>0</c:v>
                </c:pt>
                <c:pt idx="6">
                  <c:v>1.141013689729292</c:v>
                </c:pt>
                <c:pt idx="7">
                  <c:v>2.2820273794586319</c:v>
                </c:pt>
                <c:pt idx="8">
                  <c:v>3.4230410691879558</c:v>
                </c:pt>
                <c:pt idx="9">
                  <c:v>4.5640547589172318</c:v>
                </c:pt>
                <c:pt idx="10">
                  <c:v>5.7050684486465402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8-4578-A077-5BCA22F67CDC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-2.3169790843337736</c:v>
                </c:pt>
                <c:pt idx="1">
                  <c:v>-1.8535832674670156</c:v>
                </c:pt>
                <c:pt idx="2">
                  <c:v>-1.3901874506002576</c:v>
                </c:pt>
                <c:pt idx="3">
                  <c:v>-0.92679163373354767</c:v>
                </c:pt>
                <c:pt idx="4">
                  <c:v>-0.46339581686675785</c:v>
                </c:pt>
                <c:pt idx="5">
                  <c:v>0</c:v>
                </c:pt>
                <c:pt idx="6">
                  <c:v>0.46339581686675785</c:v>
                </c:pt>
                <c:pt idx="7">
                  <c:v>0.9267916337335157</c:v>
                </c:pt>
                <c:pt idx="8">
                  <c:v>1.3901874506002736</c:v>
                </c:pt>
                <c:pt idx="9">
                  <c:v>1.8535832674669996</c:v>
                </c:pt>
                <c:pt idx="10">
                  <c:v>2.3169790843337896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8-4578-A077-5BCA22F67CDC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-14.198090662440544</c:v>
                </c:pt>
                <c:pt idx="1">
                  <c:v>-11.867415929863693</c:v>
                </c:pt>
                <c:pt idx="2">
                  <c:v>-9.6573791998284477</c:v>
                </c:pt>
                <c:pt idx="3">
                  <c:v>-7.4418966407635887</c:v>
                </c:pt>
                <c:pt idx="4">
                  <c:v>-2.0738910042955259</c:v>
                </c:pt>
                <c:pt idx="5">
                  <c:v>0</c:v>
                </c:pt>
                <c:pt idx="6">
                  <c:v>2.4838201582153623</c:v>
                </c:pt>
                <c:pt idx="7">
                  <c:v>4.5577111625108566</c:v>
                </c:pt>
                <c:pt idx="8">
                  <c:v>10.341344481800508</c:v>
                </c:pt>
                <c:pt idx="9">
                  <c:v>12.415235486096002</c:v>
                </c:pt>
                <c:pt idx="10">
                  <c:v>14.489126490391513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F8-4578-A077-5BCA22F67CDC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-4.6643865728310265</c:v>
                </c:pt>
                <c:pt idx="1">
                  <c:v>-3.7315092582648242</c:v>
                </c:pt>
                <c:pt idx="2">
                  <c:v>-2.7986319436985907</c:v>
                </c:pt>
                <c:pt idx="3">
                  <c:v>-1.8657546291324201</c:v>
                </c:pt>
                <c:pt idx="4">
                  <c:v>-0.93287731456620204</c:v>
                </c:pt>
                <c:pt idx="5">
                  <c:v>0</c:v>
                </c:pt>
                <c:pt idx="6">
                  <c:v>0.93287731456621803</c:v>
                </c:pt>
                <c:pt idx="7">
                  <c:v>1.8657546291324041</c:v>
                </c:pt>
                <c:pt idx="8">
                  <c:v>2.7986319436986062</c:v>
                </c:pt>
                <c:pt idx="9">
                  <c:v>3.7315092582648401</c:v>
                </c:pt>
                <c:pt idx="10">
                  <c:v>4.6643865728310265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F8-4578-A077-5BCA22F67CDC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5.7050684486465402</c:v>
                </c:pt>
                <c:pt idx="1">
                  <c:v>4.5640547589172318</c:v>
                </c:pt>
                <c:pt idx="2">
                  <c:v>3.4230410691879558</c:v>
                </c:pt>
                <c:pt idx="3">
                  <c:v>2.2820273794586319</c:v>
                </c:pt>
                <c:pt idx="4">
                  <c:v>1.141013689729292</c:v>
                </c:pt>
                <c:pt idx="5">
                  <c:v>0</c:v>
                </c:pt>
                <c:pt idx="6">
                  <c:v>-1.141013689729292</c:v>
                </c:pt>
                <c:pt idx="7">
                  <c:v>-2.2820273794585999</c:v>
                </c:pt>
                <c:pt idx="8">
                  <c:v>-3.4230410691879238</c:v>
                </c:pt>
                <c:pt idx="9">
                  <c:v>-4.5640547589172158</c:v>
                </c:pt>
                <c:pt idx="10">
                  <c:v>-5.7050684486465242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F8-4578-A077-5BCA22F67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-28.879519216141848</c:v>
                </c:pt>
                <c:pt idx="1">
                  <c:v>-23.103615372913463</c:v>
                </c:pt>
                <c:pt idx="2">
                  <c:v>-17.327711529685104</c:v>
                </c:pt>
                <c:pt idx="3">
                  <c:v>-11.551807686456725</c:v>
                </c:pt>
                <c:pt idx="4">
                  <c:v>-5.775903843228356</c:v>
                </c:pt>
                <c:pt idx="5">
                  <c:v>0</c:v>
                </c:pt>
                <c:pt idx="6">
                  <c:v>5.7759038432283933</c:v>
                </c:pt>
                <c:pt idx="7">
                  <c:v>11.551807686456774</c:v>
                </c:pt>
                <c:pt idx="8">
                  <c:v>17.327711529685143</c:v>
                </c:pt>
                <c:pt idx="9">
                  <c:v>23.103615372913499</c:v>
                </c:pt>
                <c:pt idx="10">
                  <c:v>28.879519216141858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4-4625-BD28-7BA3677253F8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-6.6560352274971022</c:v>
                </c:pt>
                <c:pt idx="1">
                  <c:v>-5.3248281819976695</c:v>
                </c:pt>
                <c:pt idx="2">
                  <c:v>-3.9936211364982612</c:v>
                </c:pt>
                <c:pt idx="3">
                  <c:v>-2.662414090998841</c:v>
                </c:pt>
                <c:pt idx="4">
                  <c:v>-1.3312070454994329</c:v>
                </c:pt>
                <c:pt idx="5">
                  <c:v>0</c:v>
                </c:pt>
                <c:pt idx="6">
                  <c:v>1.3312070454994205</c:v>
                </c:pt>
                <c:pt idx="7">
                  <c:v>2.6624140909988658</c:v>
                </c:pt>
                <c:pt idx="8">
                  <c:v>3.9936211364982861</c:v>
                </c:pt>
                <c:pt idx="9">
                  <c:v>5.3248281819977068</c:v>
                </c:pt>
                <c:pt idx="10">
                  <c:v>6.6560352274971271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4-4625-BD28-7BA3677253F8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-1.916142552930034</c:v>
                </c:pt>
                <c:pt idx="1">
                  <c:v>-1.5329140423440371</c:v>
                </c:pt>
                <c:pt idx="2">
                  <c:v>-1.1496855317580279</c:v>
                </c:pt>
                <c:pt idx="3">
                  <c:v>-0.76645702117201853</c:v>
                </c:pt>
                <c:pt idx="4">
                  <c:v>-0.38322851058600926</c:v>
                </c:pt>
                <c:pt idx="5">
                  <c:v>0</c:v>
                </c:pt>
                <c:pt idx="6">
                  <c:v>0.3832285105860217</c:v>
                </c:pt>
                <c:pt idx="7">
                  <c:v>0.7664570211720434</c:v>
                </c:pt>
                <c:pt idx="8">
                  <c:v>1.1496855317580528</c:v>
                </c:pt>
                <c:pt idx="9">
                  <c:v>1.5329140423440746</c:v>
                </c:pt>
                <c:pt idx="10">
                  <c:v>1.916142552930084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4-4625-BD28-7BA3677253F8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-13.006787041771013</c:v>
                </c:pt>
                <c:pt idx="1">
                  <c:v>-10.85505940296909</c:v>
                </c:pt>
                <c:pt idx="2">
                  <c:v>-8.8048868687146911</c:v>
                </c:pt>
                <c:pt idx="3">
                  <c:v>-4.2029382965398199</c:v>
                </c:pt>
                <c:pt idx="4">
                  <c:v>-2.267375529687945</c:v>
                </c:pt>
                <c:pt idx="5">
                  <c:v>0</c:v>
                </c:pt>
                <c:pt idx="6">
                  <c:v>1.9355627668518744</c:v>
                </c:pt>
                <c:pt idx="7">
                  <c:v>6.8739367150446036</c:v>
                </c:pt>
                <c:pt idx="8">
                  <c:v>8.8094994818964913</c:v>
                </c:pt>
                <c:pt idx="9">
                  <c:v>10.745062248748367</c:v>
                </c:pt>
                <c:pt idx="10">
                  <c:v>12.680625015600253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D4-4625-BD28-7BA3677253F8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-3.0217786067622328</c:v>
                </c:pt>
                <c:pt idx="1">
                  <c:v>-2.4174228854097914</c:v>
                </c:pt>
                <c:pt idx="2">
                  <c:v>-1.8130671640573373</c:v>
                </c:pt>
                <c:pt idx="3">
                  <c:v>-1.2087114427048957</c:v>
                </c:pt>
                <c:pt idx="4">
                  <c:v>-0.60435572135244153</c:v>
                </c:pt>
                <c:pt idx="5">
                  <c:v>0</c:v>
                </c:pt>
                <c:pt idx="6">
                  <c:v>0.60435572135246651</c:v>
                </c:pt>
                <c:pt idx="7">
                  <c:v>1.2087114427049082</c:v>
                </c:pt>
                <c:pt idx="8">
                  <c:v>1.813067164057387</c:v>
                </c:pt>
                <c:pt idx="9">
                  <c:v>2.4174228854098287</c:v>
                </c:pt>
                <c:pt idx="10">
                  <c:v>3.0217786067622576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D4-4625-BD28-7BA3677253F8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6.6560352274971271</c:v>
                </c:pt>
                <c:pt idx="1">
                  <c:v>5.3248281819977068</c:v>
                </c:pt>
                <c:pt idx="2">
                  <c:v>3.9936211364982861</c:v>
                </c:pt>
                <c:pt idx="3">
                  <c:v>2.6624140909988658</c:v>
                </c:pt>
                <c:pt idx="4">
                  <c:v>1.3312070454994205</c:v>
                </c:pt>
                <c:pt idx="5">
                  <c:v>0</c:v>
                </c:pt>
                <c:pt idx="6">
                  <c:v>-1.3312070454994329</c:v>
                </c:pt>
                <c:pt idx="7">
                  <c:v>-2.662414090998841</c:v>
                </c:pt>
                <c:pt idx="8">
                  <c:v>-3.9936211364982612</c:v>
                </c:pt>
                <c:pt idx="9">
                  <c:v>-5.3248281819976695</c:v>
                </c:pt>
                <c:pt idx="10">
                  <c:v>-6.6560352274971022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D4-4625-BD28-7BA367725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-17.490800290767698</c:v>
                </c:pt>
                <c:pt idx="1">
                  <c:v>-13.992640232614177</c:v>
                </c:pt>
                <c:pt idx="2">
                  <c:v>-10.494480174460639</c:v>
                </c:pt>
                <c:pt idx="3">
                  <c:v>-6.9963201163070883</c:v>
                </c:pt>
                <c:pt idx="4">
                  <c:v>-3.498160058153537</c:v>
                </c:pt>
                <c:pt idx="5">
                  <c:v>0</c:v>
                </c:pt>
                <c:pt idx="6">
                  <c:v>3.4981600581535508</c:v>
                </c:pt>
                <c:pt idx="7">
                  <c:v>6.9963201163070883</c:v>
                </c:pt>
                <c:pt idx="8">
                  <c:v>10.494480174460653</c:v>
                </c:pt>
                <c:pt idx="9">
                  <c:v>13.992640232614189</c:v>
                </c:pt>
                <c:pt idx="10">
                  <c:v>17.490800290767741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5-4B2A-A1A6-1D484D22269A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-20.111451332542334</c:v>
                </c:pt>
                <c:pt idx="1">
                  <c:v>-16.089161066033856</c:v>
                </c:pt>
                <c:pt idx="2">
                  <c:v>-12.066870799525379</c:v>
                </c:pt>
                <c:pt idx="3">
                  <c:v>-8.0445805330169424</c:v>
                </c:pt>
                <c:pt idx="4">
                  <c:v>-4.0222902665084783</c:v>
                </c:pt>
                <c:pt idx="5">
                  <c:v>0</c:v>
                </c:pt>
                <c:pt idx="6">
                  <c:v>4.0222902665084641</c:v>
                </c:pt>
                <c:pt idx="7">
                  <c:v>8.0445805330169708</c:v>
                </c:pt>
                <c:pt idx="8">
                  <c:v>12.066870799525406</c:v>
                </c:pt>
                <c:pt idx="9">
                  <c:v>16.089161066033871</c:v>
                </c:pt>
                <c:pt idx="10">
                  <c:v>20.111451332542362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5-4B2A-A1A6-1D484D22269A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-6.924072385924962</c:v>
                </c:pt>
                <c:pt idx="1">
                  <c:v>-5.5392579087399776</c:v>
                </c:pt>
                <c:pt idx="2">
                  <c:v>-4.1544434315549941</c:v>
                </c:pt>
                <c:pt idx="3">
                  <c:v>-2.7696289543699675</c:v>
                </c:pt>
                <c:pt idx="4">
                  <c:v>-1.3848144771849979</c:v>
                </c:pt>
                <c:pt idx="5">
                  <c:v>0</c:v>
                </c:pt>
                <c:pt idx="6">
                  <c:v>1.3848144771849979</c:v>
                </c:pt>
                <c:pt idx="7">
                  <c:v>2.7696289543700101</c:v>
                </c:pt>
                <c:pt idx="8">
                  <c:v>4.1544434315549941</c:v>
                </c:pt>
                <c:pt idx="9">
                  <c:v>5.539257908740006</c:v>
                </c:pt>
                <c:pt idx="10">
                  <c:v>6.9240723859249895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5-4B2A-A1A6-1D484D22269A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-27.035523718467307</c:v>
                </c:pt>
                <c:pt idx="1">
                  <c:v>-21.628418974773847</c:v>
                </c:pt>
                <c:pt idx="2">
                  <c:v>-16.221314231080385</c:v>
                </c:pt>
                <c:pt idx="3">
                  <c:v>-10.814209487386909</c:v>
                </c:pt>
                <c:pt idx="4">
                  <c:v>-5.4071047436934476</c:v>
                </c:pt>
                <c:pt idx="5">
                  <c:v>0</c:v>
                </c:pt>
                <c:pt idx="6">
                  <c:v>5.4071047436935045</c:v>
                </c:pt>
                <c:pt idx="7">
                  <c:v>10.81420948738694</c:v>
                </c:pt>
                <c:pt idx="8">
                  <c:v>16.221314231080399</c:v>
                </c:pt>
                <c:pt idx="9">
                  <c:v>21.62841897477389</c:v>
                </c:pt>
                <c:pt idx="10">
                  <c:v>27.035523718467324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65-4B2A-A1A6-1D484D22269A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20.111451332542362</c:v>
                </c:pt>
                <c:pt idx="1">
                  <c:v>16.089161066033871</c:v>
                </c:pt>
                <c:pt idx="2">
                  <c:v>12.066870799525406</c:v>
                </c:pt>
                <c:pt idx="3">
                  <c:v>8.0445805330169708</c:v>
                </c:pt>
                <c:pt idx="4">
                  <c:v>4.0222902665084641</c:v>
                </c:pt>
                <c:pt idx="5">
                  <c:v>0</c:v>
                </c:pt>
                <c:pt idx="6">
                  <c:v>-4.0222902665084641</c:v>
                </c:pt>
                <c:pt idx="7">
                  <c:v>-8.0445805330169424</c:v>
                </c:pt>
                <c:pt idx="8">
                  <c:v>-12.066870799525379</c:v>
                </c:pt>
                <c:pt idx="9">
                  <c:v>-16.089161066033856</c:v>
                </c:pt>
                <c:pt idx="10">
                  <c:v>-20.111451332542334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65-4B2A-A1A6-1D484D222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-9.6969281557452263</c:v>
                </c:pt>
                <c:pt idx="1">
                  <c:v>-7.7575425245961904</c:v>
                </c:pt>
                <c:pt idx="2">
                  <c:v>-5.8181568934471306</c:v>
                </c:pt>
                <c:pt idx="3">
                  <c:v>-3.8787712622980952</c:v>
                </c:pt>
                <c:pt idx="4">
                  <c:v>-1.9393856311490603</c:v>
                </c:pt>
                <c:pt idx="5">
                  <c:v>0</c:v>
                </c:pt>
                <c:pt idx="6">
                  <c:v>1.9393856311490352</c:v>
                </c:pt>
                <c:pt idx="7">
                  <c:v>3.8787712622980703</c:v>
                </c:pt>
                <c:pt idx="8">
                  <c:v>5.8181568934471306</c:v>
                </c:pt>
                <c:pt idx="9">
                  <c:v>7.7575425245961656</c:v>
                </c:pt>
                <c:pt idx="10">
                  <c:v>18.767793017671337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8-4668-BAEE-C5FD7CA40896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-32.714787541381916</c:v>
                </c:pt>
                <c:pt idx="1">
                  <c:v>-26.171830033105525</c:v>
                </c:pt>
                <c:pt idx="2">
                  <c:v>-19.628872524829145</c:v>
                </c:pt>
                <c:pt idx="3">
                  <c:v>-13.085915016552763</c:v>
                </c:pt>
                <c:pt idx="4">
                  <c:v>-6.5429575082763813</c:v>
                </c:pt>
                <c:pt idx="5">
                  <c:v>0</c:v>
                </c:pt>
                <c:pt idx="6">
                  <c:v>6.5429575082763938</c:v>
                </c:pt>
                <c:pt idx="7">
                  <c:v>13.085915016552748</c:v>
                </c:pt>
                <c:pt idx="8">
                  <c:v>19.62887252482912</c:v>
                </c:pt>
                <c:pt idx="9">
                  <c:v>26.171830033105486</c:v>
                </c:pt>
                <c:pt idx="10">
                  <c:v>32.714787541381909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68-4668-BAEE-C5FD7CA40896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-7.6497902767017258</c:v>
                </c:pt>
                <c:pt idx="1">
                  <c:v>-6.1198322213613832</c:v>
                </c:pt>
                <c:pt idx="2">
                  <c:v>-4.589874166021028</c:v>
                </c:pt>
                <c:pt idx="3">
                  <c:v>-3.0599161106806978</c:v>
                </c:pt>
                <c:pt idx="4">
                  <c:v>-1.5299580553403427</c:v>
                </c:pt>
                <c:pt idx="5">
                  <c:v>0</c:v>
                </c:pt>
                <c:pt idx="6">
                  <c:v>1.5299580553403427</c:v>
                </c:pt>
                <c:pt idx="7">
                  <c:v>3.0599161106806854</c:v>
                </c:pt>
                <c:pt idx="8">
                  <c:v>4.5898741660210405</c:v>
                </c:pt>
                <c:pt idx="9">
                  <c:v>6.1198322213613956</c:v>
                </c:pt>
                <c:pt idx="10">
                  <c:v>7.6497902767017258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68-4668-BAEE-C5FD7CA40896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-40.364577818083632</c:v>
                </c:pt>
                <c:pt idx="1">
                  <c:v>-32.291662254466907</c:v>
                </c:pt>
                <c:pt idx="2">
                  <c:v>-24.218746690850196</c:v>
                </c:pt>
                <c:pt idx="3">
                  <c:v>-16.14583112723345</c:v>
                </c:pt>
                <c:pt idx="4">
                  <c:v>-8.0729155636167249</c:v>
                </c:pt>
                <c:pt idx="5">
                  <c:v>0</c:v>
                </c:pt>
                <c:pt idx="6">
                  <c:v>8.0729155636167373</c:v>
                </c:pt>
                <c:pt idx="7">
                  <c:v>16.145831127233436</c:v>
                </c:pt>
                <c:pt idx="8">
                  <c:v>24.218746690850182</c:v>
                </c:pt>
                <c:pt idx="9">
                  <c:v>32.291662254466878</c:v>
                </c:pt>
                <c:pt idx="10">
                  <c:v>40.364577818083632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68-4668-BAEE-C5FD7CA40896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32.714787541381909</c:v>
                </c:pt>
                <c:pt idx="1">
                  <c:v>26.171830033105486</c:v>
                </c:pt>
                <c:pt idx="2">
                  <c:v>19.62887252482912</c:v>
                </c:pt>
                <c:pt idx="3">
                  <c:v>13.085915016552748</c:v>
                </c:pt>
                <c:pt idx="4">
                  <c:v>6.5429575082763938</c:v>
                </c:pt>
                <c:pt idx="5">
                  <c:v>0</c:v>
                </c:pt>
                <c:pt idx="6">
                  <c:v>-6.5429575082763813</c:v>
                </c:pt>
                <c:pt idx="7">
                  <c:v>-13.085915016552763</c:v>
                </c:pt>
                <c:pt idx="8">
                  <c:v>-19.628872524829145</c:v>
                </c:pt>
                <c:pt idx="9">
                  <c:v>-26.171830033105525</c:v>
                </c:pt>
                <c:pt idx="10">
                  <c:v>-32.714787541381916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68-4668-BAEE-C5FD7CA40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-22.209300129501681</c:v>
                </c:pt>
                <c:pt idx="1">
                  <c:v>-17.767440103601345</c:v>
                </c:pt>
                <c:pt idx="2">
                  <c:v>-13.32558007770101</c:v>
                </c:pt>
                <c:pt idx="3">
                  <c:v>-8.8837200518006778</c:v>
                </c:pt>
                <c:pt idx="4">
                  <c:v>-4.4418600259003549</c:v>
                </c:pt>
                <c:pt idx="5">
                  <c:v>0</c:v>
                </c:pt>
                <c:pt idx="6">
                  <c:v>4.4418600259003549</c:v>
                </c:pt>
                <c:pt idx="7">
                  <c:v>8.8837200518006672</c:v>
                </c:pt>
                <c:pt idx="8">
                  <c:v>13.325580077701002</c:v>
                </c:pt>
                <c:pt idx="9">
                  <c:v>17.767440103601356</c:v>
                </c:pt>
                <c:pt idx="10">
                  <c:v>22.20930012950171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0-47D4-A84E-FCC16FEF0C25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-16.611445324203704</c:v>
                </c:pt>
                <c:pt idx="1">
                  <c:v>-13.289156259362958</c:v>
                </c:pt>
                <c:pt idx="2">
                  <c:v>-9.9668671945222229</c:v>
                </c:pt>
                <c:pt idx="3">
                  <c:v>-6.6445781296814888</c:v>
                </c:pt>
                <c:pt idx="4">
                  <c:v>-3.3222890648407444</c:v>
                </c:pt>
                <c:pt idx="5">
                  <c:v>0</c:v>
                </c:pt>
                <c:pt idx="6">
                  <c:v>3.3222890648407235</c:v>
                </c:pt>
                <c:pt idx="7">
                  <c:v>6.644578129681447</c:v>
                </c:pt>
                <c:pt idx="8">
                  <c:v>9.9668671945221909</c:v>
                </c:pt>
                <c:pt idx="9">
                  <c:v>13.289156259362978</c:v>
                </c:pt>
                <c:pt idx="10">
                  <c:v>16.611445324203679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0-47D4-A84E-FCC16FEF0C25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-3.2431324551406764</c:v>
                </c:pt>
                <c:pt idx="1">
                  <c:v>-2.5945059641125625</c:v>
                </c:pt>
                <c:pt idx="2">
                  <c:v>-1.9458794730844271</c:v>
                </c:pt>
                <c:pt idx="3">
                  <c:v>-1.2972529820562917</c:v>
                </c:pt>
                <c:pt idx="4">
                  <c:v>-0.64862649102817749</c:v>
                </c:pt>
                <c:pt idx="5">
                  <c:v>0</c:v>
                </c:pt>
                <c:pt idx="6">
                  <c:v>0.64862649102813541</c:v>
                </c:pt>
                <c:pt idx="7">
                  <c:v>1.2972529820562708</c:v>
                </c:pt>
                <c:pt idx="8">
                  <c:v>1.9458794730843849</c:v>
                </c:pt>
                <c:pt idx="9">
                  <c:v>2.5945059641125625</c:v>
                </c:pt>
                <c:pt idx="10">
                  <c:v>3.2431324551406764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A0-47D4-A84E-FCC16FEF0C25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-19.8545777793444</c:v>
                </c:pt>
                <c:pt idx="1">
                  <c:v>-15.883662223475531</c:v>
                </c:pt>
                <c:pt idx="2">
                  <c:v>-11.912746667606651</c:v>
                </c:pt>
                <c:pt idx="3">
                  <c:v>-7.94183111173776</c:v>
                </c:pt>
                <c:pt idx="4">
                  <c:v>-3.97091555586888</c:v>
                </c:pt>
                <c:pt idx="5">
                  <c:v>0</c:v>
                </c:pt>
                <c:pt idx="6">
                  <c:v>3.97091555586888</c:v>
                </c:pt>
                <c:pt idx="7">
                  <c:v>7.9418311117377387</c:v>
                </c:pt>
                <c:pt idx="8">
                  <c:v>11.912746667606619</c:v>
                </c:pt>
                <c:pt idx="9">
                  <c:v>15.883662223475497</c:v>
                </c:pt>
                <c:pt idx="10">
                  <c:v>19.854577779344378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A0-47D4-A84E-FCC16FEF0C25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16.611445324203679</c:v>
                </c:pt>
                <c:pt idx="1">
                  <c:v>13.289156259362978</c:v>
                </c:pt>
                <c:pt idx="2">
                  <c:v>9.9668671945221909</c:v>
                </c:pt>
                <c:pt idx="3">
                  <c:v>6.644578129681447</c:v>
                </c:pt>
                <c:pt idx="4">
                  <c:v>3.3222890648407235</c:v>
                </c:pt>
                <c:pt idx="5">
                  <c:v>0</c:v>
                </c:pt>
                <c:pt idx="6">
                  <c:v>-3.3222890648407444</c:v>
                </c:pt>
                <c:pt idx="7">
                  <c:v>-6.6445781296814888</c:v>
                </c:pt>
                <c:pt idx="8">
                  <c:v>-9.9668671945222229</c:v>
                </c:pt>
                <c:pt idx="9">
                  <c:v>-13.289156259362958</c:v>
                </c:pt>
                <c:pt idx="10">
                  <c:v>-16.611445324203704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A0-47D4-A84E-FCC16FEF0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202955986" name="Chart 1">
          <a:extLst>
            <a:ext uri="{FF2B5EF4-FFF2-40B4-BE49-F238E27FC236}">
              <a16:creationId xmlns:a16="http://schemas.microsoft.com/office/drawing/2014/main" id="{00000000-0008-0000-0000-0000D2DC1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943372872" name="Chart 2">
          <a:extLst>
            <a:ext uri="{FF2B5EF4-FFF2-40B4-BE49-F238E27FC236}">
              <a16:creationId xmlns:a16="http://schemas.microsoft.com/office/drawing/2014/main" id="{00000000-0008-0000-0000-00004884D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53160672" name="Chart 7">
          <a:extLst>
            <a:ext uri="{FF2B5EF4-FFF2-40B4-BE49-F238E27FC236}">
              <a16:creationId xmlns:a16="http://schemas.microsoft.com/office/drawing/2014/main" id="{00000000-0008-0000-0200-0000E02A2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170375460" name="Chart 8">
          <a:extLst>
            <a:ext uri="{FF2B5EF4-FFF2-40B4-BE49-F238E27FC236}">
              <a16:creationId xmlns:a16="http://schemas.microsoft.com/office/drawing/2014/main" id="{00000000-0008-0000-0200-00002483C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774268337" name="Chart 4">
          <a:extLst>
            <a:ext uri="{FF2B5EF4-FFF2-40B4-BE49-F238E27FC236}">
              <a16:creationId xmlns:a16="http://schemas.microsoft.com/office/drawing/2014/main" id="{00000000-0008-0000-0100-0000B1652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414530933" name="Chart 5">
          <a:extLst>
            <a:ext uri="{FF2B5EF4-FFF2-40B4-BE49-F238E27FC236}">
              <a16:creationId xmlns:a16="http://schemas.microsoft.com/office/drawing/2014/main" id="{00000000-0008-0000-0100-0000753DB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323387989" name="Chart 10">
          <a:extLst>
            <a:ext uri="{FF2B5EF4-FFF2-40B4-BE49-F238E27FC236}">
              <a16:creationId xmlns:a16="http://schemas.microsoft.com/office/drawing/2014/main" id="{00000000-0008-0000-0300-000055824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158894009" name="Chart 11">
          <a:extLst>
            <a:ext uri="{FF2B5EF4-FFF2-40B4-BE49-F238E27FC236}">
              <a16:creationId xmlns:a16="http://schemas.microsoft.com/office/drawing/2014/main" id="{00000000-0008-0000-0300-0000B9511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377442124" name="Chart 13">
          <a:extLst>
            <a:ext uri="{FF2B5EF4-FFF2-40B4-BE49-F238E27FC236}">
              <a16:creationId xmlns:a16="http://schemas.microsoft.com/office/drawing/2014/main" id="{00000000-0008-0000-0400-00004C4F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2051195959" name="Chart 14">
          <a:extLst>
            <a:ext uri="{FF2B5EF4-FFF2-40B4-BE49-F238E27FC236}">
              <a16:creationId xmlns:a16="http://schemas.microsoft.com/office/drawing/2014/main" id="{00000000-0008-0000-0400-000037C44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402992894" name="Chart 16">
          <a:extLst>
            <a:ext uri="{FF2B5EF4-FFF2-40B4-BE49-F238E27FC236}">
              <a16:creationId xmlns:a16="http://schemas.microsoft.com/office/drawing/2014/main" id="{00000000-0008-0000-0500-0000FE2E0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095898753" name="Chart 17">
          <a:extLst>
            <a:ext uri="{FF2B5EF4-FFF2-40B4-BE49-F238E27FC236}">
              <a16:creationId xmlns:a16="http://schemas.microsoft.com/office/drawing/2014/main" id="{00000000-0008-0000-0500-000081165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231321</xdr:colOff>
      <xdr:row>1</xdr:row>
      <xdr:rowOff>204107</xdr:rowOff>
    </xdr:from>
    <xdr:to>
      <xdr:col>12</xdr:col>
      <xdr:colOff>591472</xdr:colOff>
      <xdr:row>15</xdr:row>
      <xdr:rowOff>42998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A636CC-8997-4DC3-9748-A5490414A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204107</xdr:colOff>
      <xdr:row>16</xdr:row>
      <xdr:rowOff>163286</xdr:rowOff>
    </xdr:from>
    <xdr:to>
      <xdr:col>12</xdr:col>
      <xdr:colOff>561416</xdr:colOff>
      <xdr:row>30</xdr:row>
      <xdr:rowOff>56606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47CF8F5-61B3-4E9A-BE6C-01E53125F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204107</xdr:colOff>
      <xdr:row>32</xdr:row>
      <xdr:rowOff>0</xdr:rowOff>
    </xdr:from>
    <xdr:to>
      <xdr:col>12</xdr:col>
      <xdr:colOff>561416</xdr:colOff>
      <xdr:row>45</xdr:row>
      <xdr:rowOff>83820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5ED022-ECCF-4669-8BF4-8A9E53AE0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611187</xdr:colOff>
      <xdr:row>17</xdr:row>
      <xdr:rowOff>31750</xdr:rowOff>
    </xdr:from>
    <xdr:to>
      <xdr:col>25</xdr:col>
      <xdr:colOff>432216</xdr:colOff>
      <xdr:row>30</xdr:row>
      <xdr:rowOff>115570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67F61D1-3186-43CC-A698-B8FD88F8D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0</xdr:colOff>
      <xdr:row>2</xdr:row>
      <xdr:rowOff>0</xdr:rowOff>
    </xdr:from>
    <xdr:to>
      <xdr:col>25</xdr:col>
      <xdr:colOff>432217</xdr:colOff>
      <xdr:row>15</xdr:row>
      <xdr:rowOff>83820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8D22FA-7599-48BC-BBE3-677740197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0</xdr:colOff>
      <xdr:row>32</xdr:row>
      <xdr:rowOff>0</xdr:rowOff>
    </xdr:from>
    <xdr:to>
      <xdr:col>25</xdr:col>
      <xdr:colOff>432217</xdr:colOff>
      <xdr:row>45</xdr:row>
      <xdr:rowOff>83820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AAE6FC-6AA6-454A-9728-71DA96663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908e728f1b34df/Paper%20ERIA/Xls%20baru%2029092024/TCO_Thailand%2025092024.xlsx" TargetMode="External"/><Relationship Id="rId1" Type="http://schemas.openxmlformats.org/officeDocument/2006/relationships/externalLinkPath" Target="TCO_Thailand%202509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-Bus TH"/>
      <sheetName val="ICE-Bus TH"/>
      <sheetName val="E-Truck TH"/>
      <sheetName val="ICE-Truck TH"/>
      <sheetName val="E-Cargo TH"/>
      <sheetName val="ICE-Cargo TH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Vehicle Price</v>
          </cell>
          <cell r="D4" t="str">
            <v>Electricity tarrif</v>
          </cell>
          <cell r="E4" t="str">
            <v>Battery cost</v>
          </cell>
          <cell r="F4" t="str">
            <v>AKT</v>
          </cell>
          <cell r="G4" t="str">
            <v>O&amp;M costs</v>
          </cell>
          <cell r="H4" t="str">
            <v>Energy Efficiency</v>
          </cell>
          <cell r="P4" t="str">
            <v>Vehicle Price</v>
          </cell>
          <cell r="Q4" t="str">
            <v>Fuel price</v>
          </cell>
          <cell r="R4" t="str">
            <v>O&amp;M costs</v>
          </cell>
          <cell r="S4" t="str">
            <v>AKT</v>
          </cell>
          <cell r="T4" t="str">
            <v>Energy Efficiency</v>
          </cell>
        </row>
        <row r="5">
          <cell r="B5">
            <v>-50</v>
          </cell>
          <cell r="C5">
            <v>-33.91886901865854</v>
          </cell>
          <cell r="D5">
            <v>-8.6848791959787892</v>
          </cell>
          <cell r="E5">
            <v>-3.9335217890154777</v>
          </cell>
          <cell r="F5">
            <v>-22.706613958277778</v>
          </cell>
          <cell r="G5">
            <v>-14.021734762298971</v>
          </cell>
          <cell r="H5">
            <v>8.6848791959788212</v>
          </cell>
          <cell r="O5">
            <v>-50</v>
          </cell>
          <cell r="P5">
            <v>-15.854368027842799</v>
          </cell>
          <cell r="Q5">
            <v>-29.202684266710367</v>
          </cell>
          <cell r="R5">
            <v>-9.252787616740612</v>
          </cell>
          <cell r="S5">
            <v>-38.455471883450983</v>
          </cell>
          <cell r="T5">
            <v>29.202684266710367</v>
          </cell>
        </row>
        <row r="6">
          <cell r="B6">
            <v>-40</v>
          </cell>
          <cell r="C6">
            <v>-27.135095214926842</v>
          </cell>
          <cell r="D6">
            <v>-6.9479033567830477</v>
          </cell>
          <cell r="E6">
            <v>-3.1468174312123667</v>
          </cell>
          <cell r="F6">
            <v>-18.165291166622222</v>
          </cell>
          <cell r="G6">
            <v>-11.217387809839174</v>
          </cell>
          <cell r="H6">
            <v>6.9479033567830788</v>
          </cell>
          <cell r="O6">
            <v>-40</v>
          </cell>
          <cell r="P6">
            <v>-12.683494422274244</v>
          </cell>
          <cell r="Q6">
            <v>-23.362147413368277</v>
          </cell>
          <cell r="R6">
            <v>-7.402230093392502</v>
          </cell>
          <cell r="S6">
            <v>-30.764377506760798</v>
          </cell>
          <cell r="T6">
            <v>23.362147413368277</v>
          </cell>
        </row>
        <row r="7">
          <cell r="B7">
            <v>-30</v>
          </cell>
          <cell r="C7">
            <v>-20.35132141119513</v>
          </cell>
          <cell r="D7">
            <v>-5.2109275175872742</v>
          </cell>
          <cell r="E7">
            <v>-2.3601130734092868</v>
          </cell>
          <cell r="F7">
            <v>-13.623968374966635</v>
          </cell>
          <cell r="G7">
            <v>-8.4130408573793929</v>
          </cell>
          <cell r="H7">
            <v>5.2109275175873053</v>
          </cell>
          <cell r="O7">
            <v>-30</v>
          </cell>
          <cell r="P7">
            <v>-9.512620816705688</v>
          </cell>
          <cell r="Q7">
            <v>-17.521610560026208</v>
          </cell>
          <cell r="R7">
            <v>-5.5516725700443592</v>
          </cell>
          <cell r="S7">
            <v>-23.073283130070585</v>
          </cell>
          <cell r="T7">
            <v>17.521610560026208</v>
          </cell>
        </row>
        <row r="8">
          <cell r="B8">
            <v>-20</v>
          </cell>
          <cell r="C8">
            <v>-13.567547607463407</v>
          </cell>
          <cell r="D8">
            <v>-3.4739516783915008</v>
          </cell>
          <cell r="E8">
            <v>-1.5734087156061911</v>
          </cell>
          <cell r="F8">
            <v>-9.0826455833110806</v>
          </cell>
          <cell r="G8">
            <v>-5.6086939049195639</v>
          </cell>
          <cell r="H8">
            <v>3.4739516783915318</v>
          </cell>
          <cell r="O8">
            <v>-20</v>
          </cell>
          <cell r="P8">
            <v>-6.3417472111371138</v>
          </cell>
          <cell r="Q8">
            <v>-11.681073706684156</v>
          </cell>
          <cell r="R8">
            <v>-3.701115046696251</v>
          </cell>
          <cell r="S8">
            <v>-15.38218875338039</v>
          </cell>
          <cell r="T8">
            <v>11.681073706684138</v>
          </cell>
        </row>
        <row r="9">
          <cell r="B9">
            <v>-10</v>
          </cell>
          <cell r="C9">
            <v>-6.7837738037316946</v>
          </cell>
          <cell r="D9">
            <v>-1.7369758391957268</v>
          </cell>
          <cell r="E9">
            <v>-0.78670435780309556</v>
          </cell>
          <cell r="F9">
            <v>-4.5413227916555243</v>
          </cell>
          <cell r="G9">
            <v>-2.8043469524597819</v>
          </cell>
          <cell r="H9">
            <v>1.7369758391957892</v>
          </cell>
          <cell r="O9">
            <v>-10</v>
          </cell>
          <cell r="P9">
            <v>-3.1708736055685569</v>
          </cell>
          <cell r="Q9">
            <v>-5.8405368533420523</v>
          </cell>
          <cell r="R9">
            <v>-1.8505575233481255</v>
          </cell>
          <cell r="S9">
            <v>-7.691094376690212</v>
          </cell>
          <cell r="T9">
            <v>5.8405368533420869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B11">
            <v>10</v>
          </cell>
          <cell r="C11">
            <v>6.7837738037317266</v>
          </cell>
          <cell r="D11">
            <v>1.7369758391957892</v>
          </cell>
          <cell r="E11">
            <v>0.78670435780309556</v>
          </cell>
          <cell r="F11">
            <v>4.5413227916556025</v>
          </cell>
          <cell r="G11">
            <v>2.8043469524598286</v>
          </cell>
          <cell r="H11">
            <v>-1.7369758391957268</v>
          </cell>
          <cell r="O11">
            <v>10</v>
          </cell>
          <cell r="P11">
            <v>3.1708736055685569</v>
          </cell>
          <cell r="Q11">
            <v>5.8405368533420869</v>
          </cell>
          <cell r="R11">
            <v>1.8505575233481428</v>
          </cell>
          <cell r="S11">
            <v>7.691094376690212</v>
          </cell>
          <cell r="T11">
            <v>-5.8405368533420523</v>
          </cell>
        </row>
        <row r="12">
          <cell r="B12">
            <v>20</v>
          </cell>
          <cell r="C12">
            <v>13.567547607463421</v>
          </cell>
          <cell r="D12">
            <v>3.4739516783915318</v>
          </cell>
          <cell r="E12">
            <v>1.5734087156062067</v>
          </cell>
          <cell r="F12">
            <v>11.867236970441136</v>
          </cell>
          <cell r="G12">
            <v>5.608693904919611</v>
          </cell>
          <cell r="H12">
            <v>-3.4739516783915008</v>
          </cell>
          <cell r="O12">
            <v>20</v>
          </cell>
          <cell r="P12">
            <v>6.3417472111371307</v>
          </cell>
          <cell r="Q12">
            <v>11.681073706684138</v>
          </cell>
          <cell r="R12">
            <v>3.701115046696251</v>
          </cell>
          <cell r="S12">
            <v>15.38218875338039</v>
          </cell>
          <cell r="T12">
            <v>-11.681073706684156</v>
          </cell>
        </row>
        <row r="13">
          <cell r="B13">
            <v>30</v>
          </cell>
          <cell r="C13">
            <v>20.35132141119513</v>
          </cell>
          <cell r="D13">
            <v>5.2109275175873053</v>
          </cell>
          <cell r="E13">
            <v>2.3601130734093023</v>
          </cell>
          <cell r="F13">
            <v>16.547789331453181</v>
          </cell>
          <cell r="G13">
            <v>8.4130408573794391</v>
          </cell>
          <cell r="H13">
            <v>-5.2109275175872742</v>
          </cell>
          <cell r="O13">
            <v>30</v>
          </cell>
          <cell r="P13">
            <v>9.512620816705688</v>
          </cell>
          <cell r="Q13">
            <v>17.521610560026208</v>
          </cell>
          <cell r="R13">
            <v>5.551672570044377</v>
          </cell>
          <cell r="S13">
            <v>23.073283130070603</v>
          </cell>
          <cell r="T13">
            <v>-17.521610560026208</v>
          </cell>
        </row>
        <row r="14">
          <cell r="B14">
            <v>40</v>
          </cell>
          <cell r="C14">
            <v>27.135095214926842</v>
          </cell>
          <cell r="D14">
            <v>6.9479033567830788</v>
          </cell>
          <cell r="E14">
            <v>3.1468174312123667</v>
          </cell>
          <cell r="F14">
            <v>21.23530317093309</v>
          </cell>
          <cell r="G14">
            <v>11.217387809839236</v>
          </cell>
          <cell r="H14">
            <v>-6.9479033567830477</v>
          </cell>
          <cell r="O14">
            <v>40</v>
          </cell>
          <cell r="P14">
            <v>12.683494422274244</v>
          </cell>
          <cell r="Q14">
            <v>23.362147413368277</v>
          </cell>
          <cell r="R14">
            <v>7.4022300933924852</v>
          </cell>
          <cell r="S14">
            <v>30.764377506760766</v>
          </cell>
          <cell r="T14">
            <v>-23.362147413368277</v>
          </cell>
        </row>
        <row r="15">
          <cell r="B15">
            <v>50</v>
          </cell>
          <cell r="C15">
            <v>33.918869018658555</v>
          </cell>
          <cell r="D15">
            <v>8.6848791959788212</v>
          </cell>
          <cell r="E15">
            <v>3.9335217890154621</v>
          </cell>
          <cell r="F15">
            <v>25.776625962588611</v>
          </cell>
          <cell r="G15">
            <v>14.021734762298987</v>
          </cell>
          <cell r="H15">
            <v>-8.6848791959787892</v>
          </cell>
          <cell r="O15">
            <v>50</v>
          </cell>
          <cell r="P15">
            <v>15.854368027842819</v>
          </cell>
          <cell r="Q15">
            <v>29.202684266710367</v>
          </cell>
          <cell r="R15">
            <v>9.252787616740628</v>
          </cell>
          <cell r="S15">
            <v>38.45547188345099</v>
          </cell>
          <cell r="T15">
            <v>-29.202684266710367</v>
          </cell>
        </row>
        <row r="19">
          <cell r="C19" t="str">
            <v>Vehicle Price</v>
          </cell>
          <cell r="D19" t="str">
            <v>Electricity tarrif</v>
          </cell>
          <cell r="E19" t="str">
            <v>Battery cost</v>
          </cell>
          <cell r="F19" t="str">
            <v>AKT</v>
          </cell>
          <cell r="G19" t="str">
            <v>O&amp;M costs</v>
          </cell>
          <cell r="H19" t="str">
            <v>Energy Efficiency</v>
          </cell>
          <cell r="P19" t="str">
            <v>Vehicle Price</v>
          </cell>
          <cell r="Q19" t="str">
            <v>Fuel price</v>
          </cell>
          <cell r="R19" t="str">
            <v>O&amp;M costs</v>
          </cell>
          <cell r="S19" t="str">
            <v>AKT</v>
          </cell>
          <cell r="T19" t="str">
            <v>Energy Efficiency</v>
          </cell>
        </row>
        <row r="20">
          <cell r="B20">
            <v>-50</v>
          </cell>
          <cell r="C20">
            <v>-31.334378733128059</v>
          </cell>
          <cell r="D20">
            <v>-6.013814651953564</v>
          </cell>
          <cell r="E20">
            <v>-4.5180452752601878</v>
          </cell>
          <cell r="F20">
            <v>-27.020026746178566</v>
          </cell>
          <cell r="G20">
            <v>-8.6627693469554448</v>
          </cell>
          <cell r="H20">
            <v>6.0138146519535107</v>
          </cell>
          <cell r="O20">
            <v>-50</v>
          </cell>
          <cell r="P20">
            <v>-6.1609276276644458</v>
          </cell>
          <cell r="Q20">
            <v>-30.826878875146811</v>
          </cell>
          <cell r="R20">
            <v>-14.381101091813321</v>
          </cell>
          <cell r="S20">
            <v>-45.207979966960146</v>
          </cell>
          <cell r="T20">
            <v>30.826878875146889</v>
          </cell>
        </row>
        <row r="21">
          <cell r="B21">
            <v>-40</v>
          </cell>
          <cell r="C21">
            <v>-25.067502986502443</v>
          </cell>
          <cell r="D21">
            <v>-4.8110517215628406</v>
          </cell>
          <cell r="E21">
            <v>-3.6144362202081322</v>
          </cell>
          <cell r="F21">
            <v>-23.552773794971479</v>
          </cell>
          <cell r="G21">
            <v>-6.9302154775643485</v>
          </cell>
          <cell r="H21">
            <v>4.8110517215628219</v>
          </cell>
          <cell r="O21">
            <v>-40</v>
          </cell>
          <cell r="P21">
            <v>-4.9287421021315598</v>
          </cell>
          <cell r="Q21">
            <v>-24.661503100117454</v>
          </cell>
          <cell r="R21">
            <v>-11.504880873450658</v>
          </cell>
          <cell r="S21">
            <v>-36.166383973568124</v>
          </cell>
          <cell r="T21">
            <v>24.6615031001175</v>
          </cell>
        </row>
        <row r="22">
          <cell r="B22">
            <v>-30</v>
          </cell>
          <cell r="C22">
            <v>-18.800627239876842</v>
          </cell>
          <cell r="D22">
            <v>-3.6082887911721344</v>
          </cell>
          <cell r="E22">
            <v>-2.7108271651561129</v>
          </cell>
          <cell r="F22">
            <v>-20.617456995189677</v>
          </cell>
          <cell r="G22">
            <v>-5.1976616081732878</v>
          </cell>
          <cell r="H22">
            <v>3.6082887911721344</v>
          </cell>
          <cell r="O22">
            <v>-30</v>
          </cell>
          <cell r="P22">
            <v>-3.6965565765986743</v>
          </cell>
          <cell r="Q22">
            <v>-18.496127325088089</v>
          </cell>
          <cell r="R22">
            <v>-8.6286606550879803</v>
          </cell>
          <cell r="S22">
            <v>-27.12478798017608</v>
          </cell>
          <cell r="T22">
            <v>18.496127325088125</v>
          </cell>
        </row>
        <row r="23">
          <cell r="B23">
            <v>-20</v>
          </cell>
          <cell r="C23">
            <v>-12.533751493251263</v>
          </cell>
          <cell r="D23">
            <v>-2.4055258607813936</v>
          </cell>
          <cell r="E23">
            <v>-1.8072181101040752</v>
          </cell>
          <cell r="F23">
            <v>-13.748093589337598</v>
          </cell>
          <cell r="G23">
            <v>-3.4651077387821743</v>
          </cell>
          <cell r="H23">
            <v>2.4055258607814292</v>
          </cell>
          <cell r="O23">
            <v>-20</v>
          </cell>
          <cell r="P23">
            <v>-2.4643710510657715</v>
          </cell>
          <cell r="Q23">
            <v>-12.330751550058695</v>
          </cell>
          <cell r="R23">
            <v>-5.7524404367253208</v>
          </cell>
          <cell r="S23">
            <v>-18.083191986784033</v>
          </cell>
          <cell r="T23">
            <v>12.33075155005875</v>
          </cell>
        </row>
        <row r="24">
          <cell r="B24">
            <v>-10</v>
          </cell>
          <cell r="C24">
            <v>-6.2668757466256135</v>
          </cell>
          <cell r="D24">
            <v>-1.2027629303907412</v>
          </cell>
          <cell r="E24">
            <v>-0.90360905505205547</v>
          </cell>
          <cell r="F24">
            <v>-10.812776789555814</v>
          </cell>
          <cell r="G24">
            <v>-1.7325538693910958</v>
          </cell>
          <cell r="H24">
            <v>1.2027629303906879</v>
          </cell>
          <cell r="O24">
            <v>-10</v>
          </cell>
          <cell r="P24">
            <v>-1.2321855255328857</v>
          </cell>
          <cell r="Q24">
            <v>-6.1653757750293563</v>
          </cell>
          <cell r="R24">
            <v>-2.8762202183626422</v>
          </cell>
          <cell r="S24">
            <v>-9.0415959933919989</v>
          </cell>
          <cell r="T24">
            <v>6.1653757750293918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>
            <v>10</v>
          </cell>
          <cell r="C26">
            <v>6.2668757466256135</v>
          </cell>
          <cell r="D26">
            <v>1.2027629303906879</v>
          </cell>
          <cell r="E26">
            <v>0.90360905505201972</v>
          </cell>
          <cell r="F26">
            <v>2.9353167997817837</v>
          </cell>
          <cell r="G26">
            <v>1.732553869391078</v>
          </cell>
          <cell r="H26">
            <v>-1.2027629303907412</v>
          </cell>
          <cell r="O26">
            <v>10</v>
          </cell>
          <cell r="P26">
            <v>1.2321855255329033</v>
          </cell>
          <cell r="Q26">
            <v>6.1653757750293918</v>
          </cell>
          <cell r="R26">
            <v>2.8762202183626782</v>
          </cell>
          <cell r="S26">
            <v>9.0415959933920522</v>
          </cell>
          <cell r="T26">
            <v>-6.1653757750293563</v>
          </cell>
        </row>
        <row r="27">
          <cell r="B27">
            <v>20</v>
          </cell>
          <cell r="C27">
            <v>12.533751493251227</v>
          </cell>
          <cell r="D27">
            <v>2.405525860781411</v>
          </cell>
          <cell r="E27">
            <v>1.8072181101040574</v>
          </cell>
          <cell r="F27">
            <v>5.8706335995635861</v>
          </cell>
          <cell r="G27">
            <v>3.4651077387821561</v>
          </cell>
          <cell r="H27">
            <v>-2.4055258607813936</v>
          </cell>
          <cell r="O27">
            <v>20</v>
          </cell>
          <cell r="P27">
            <v>2.4643710510657888</v>
          </cell>
          <cell r="Q27">
            <v>12.33075155005875</v>
          </cell>
          <cell r="R27">
            <v>5.7524404367253563</v>
          </cell>
          <cell r="S27">
            <v>18.083191986784069</v>
          </cell>
          <cell r="T27">
            <v>-12.330751550058713</v>
          </cell>
        </row>
        <row r="28">
          <cell r="B28">
            <v>30</v>
          </cell>
          <cell r="C28">
            <v>18.800627239876803</v>
          </cell>
          <cell r="D28">
            <v>3.6082887911721344</v>
          </cell>
          <cell r="E28">
            <v>2.7108271651560951</v>
          </cell>
          <cell r="F28">
            <v>8.8059503993453507</v>
          </cell>
          <cell r="G28">
            <v>5.1976616081732523</v>
          </cell>
          <cell r="H28">
            <v>-3.6082887911721344</v>
          </cell>
          <cell r="O28">
            <v>30</v>
          </cell>
          <cell r="P28">
            <v>3.6965565765986925</v>
          </cell>
          <cell r="Q28">
            <v>18.496127325088125</v>
          </cell>
          <cell r="R28">
            <v>8.6286606550880336</v>
          </cell>
          <cell r="S28">
            <v>27.124787980176141</v>
          </cell>
          <cell r="T28">
            <v>-18.496127325088089</v>
          </cell>
        </row>
        <row r="29">
          <cell r="B29">
            <v>40</v>
          </cell>
          <cell r="C29">
            <v>25.067502986502422</v>
          </cell>
          <cell r="D29">
            <v>4.8110517215628219</v>
          </cell>
          <cell r="E29">
            <v>3.6144362202081148</v>
          </cell>
          <cell r="F29">
            <v>11.741267199127188</v>
          </cell>
          <cell r="G29">
            <v>6.9302154775643485</v>
          </cell>
          <cell r="H29">
            <v>-4.8110517215628406</v>
          </cell>
          <cell r="O29">
            <v>40</v>
          </cell>
          <cell r="P29">
            <v>4.9287421021315776</v>
          </cell>
          <cell r="Q29">
            <v>24.6615031001175</v>
          </cell>
          <cell r="R29">
            <v>11.504880873450677</v>
          </cell>
          <cell r="S29">
            <v>36.166383973568159</v>
          </cell>
          <cell r="T29">
            <v>-24.661503100117447</v>
          </cell>
        </row>
        <row r="30">
          <cell r="B30">
            <v>50</v>
          </cell>
          <cell r="C30">
            <v>31.334378733128066</v>
          </cell>
          <cell r="D30">
            <v>6.0138146519535107</v>
          </cell>
          <cell r="E30">
            <v>4.5180452752601523</v>
          </cell>
          <cell r="F30">
            <v>35.281640598553594</v>
          </cell>
          <cell r="G30">
            <v>8.6627693469554075</v>
          </cell>
          <cell r="H30">
            <v>-6.013814651953564</v>
          </cell>
          <cell r="O30">
            <v>50</v>
          </cell>
          <cell r="P30">
            <v>6.1609276276644636</v>
          </cell>
          <cell r="Q30">
            <v>30.826878875146889</v>
          </cell>
          <cell r="R30">
            <v>14.381101091813337</v>
          </cell>
          <cell r="S30">
            <v>45.207979966960195</v>
          </cell>
          <cell r="T30">
            <v>-30.826878875146811</v>
          </cell>
        </row>
        <row r="34">
          <cell r="C34" t="str">
            <v>Vehicle Price</v>
          </cell>
          <cell r="D34" t="str">
            <v>Electricity tarrif</v>
          </cell>
          <cell r="E34" t="str">
            <v>Battery cost</v>
          </cell>
          <cell r="F34" t="str">
            <v>AKT</v>
          </cell>
          <cell r="G34" t="str">
            <v>O&amp;M costs</v>
          </cell>
          <cell r="H34" t="str">
            <v>Energy Efficiency</v>
          </cell>
          <cell r="P34" t="str">
            <v>Vehicle Price</v>
          </cell>
          <cell r="Q34" t="str">
            <v>Fuel price</v>
          </cell>
          <cell r="R34" t="str">
            <v>O&amp;M costs</v>
          </cell>
          <cell r="S34" t="str">
            <v>AKT</v>
          </cell>
          <cell r="T34" t="str">
            <v>Energy Efficiency</v>
          </cell>
        </row>
        <row r="35">
          <cell r="B35">
            <v>-50</v>
          </cell>
          <cell r="C35">
            <v>-38.484104622912902</v>
          </cell>
          <cell r="D35">
            <v>-8.1857231243426618</v>
          </cell>
          <cell r="E35">
            <v>-10.527463801339621</v>
          </cell>
          <cell r="F35">
            <v>-23.7918429107831</v>
          </cell>
          <cell r="G35">
            <v>-6.5475242627844752</v>
          </cell>
          <cell r="H35">
            <v>8.1857231243427009</v>
          </cell>
          <cell r="O35">
            <v>-50</v>
          </cell>
          <cell r="P35">
            <v>-15.090338283968252</v>
          </cell>
          <cell r="Q35">
            <v>-28.871783746588232</v>
          </cell>
          <cell r="R35">
            <v>-9.3930202369186802</v>
          </cell>
          <cell r="S35">
            <v>-38.264803983506887</v>
          </cell>
          <cell r="T35">
            <v>28.871783746588207</v>
          </cell>
        </row>
        <row r="36">
          <cell r="B36">
            <v>-40</v>
          </cell>
          <cell r="C36">
            <v>-30.787283698330327</v>
          </cell>
          <cell r="D36">
            <v>-6.5485784994741651</v>
          </cell>
          <cell r="E36">
            <v>-8.4219710410717283</v>
          </cell>
          <cell r="F36">
            <v>-13.392664477907257</v>
          </cell>
          <cell r="G36">
            <v>-5.2380194102275679</v>
          </cell>
          <cell r="H36">
            <v>6.5485784994741252</v>
          </cell>
          <cell r="O36">
            <v>-40</v>
          </cell>
          <cell r="P36">
            <v>-12.072270627174603</v>
          </cell>
          <cell r="Q36">
            <v>-23.097426997270585</v>
          </cell>
          <cell r="R36">
            <v>-7.5144161895349351</v>
          </cell>
          <cell r="S36">
            <v>-30.611843186805523</v>
          </cell>
          <cell r="T36">
            <v>23.097426997270549</v>
          </cell>
        </row>
        <row r="37">
          <cell r="B37">
            <v>-30</v>
          </cell>
          <cell r="C37">
            <v>-23.090462773747749</v>
          </cell>
          <cell r="D37">
            <v>-4.911433874605609</v>
          </cell>
          <cell r="E37">
            <v>-6.3164782808037767</v>
          </cell>
          <cell r="F37">
            <v>-10.073388552709297</v>
          </cell>
          <cell r="G37">
            <v>-3.928514557670701</v>
          </cell>
          <cell r="H37">
            <v>4.911433874605609</v>
          </cell>
          <cell r="O37">
            <v>-30</v>
          </cell>
          <cell r="P37">
            <v>-9.0542029703809543</v>
          </cell>
          <cell r="Q37">
            <v>-17.323070247952938</v>
          </cell>
          <cell r="R37">
            <v>-5.6358121421512131</v>
          </cell>
          <cell r="S37">
            <v>-22.958882390104161</v>
          </cell>
          <cell r="T37">
            <v>17.323070247952916</v>
          </cell>
        </row>
        <row r="38">
          <cell r="B38">
            <v>-20</v>
          </cell>
          <cell r="C38">
            <v>-15.393641849165151</v>
          </cell>
          <cell r="D38">
            <v>-3.2742892497370328</v>
          </cell>
          <cell r="E38">
            <v>-4.2109855205358437</v>
          </cell>
          <cell r="F38">
            <v>-6.7354813051226774</v>
          </cell>
          <cell r="G38">
            <v>-2.6190097051137942</v>
          </cell>
          <cell r="H38">
            <v>3.2742892497370528</v>
          </cell>
          <cell r="O38">
            <v>-20</v>
          </cell>
          <cell r="P38">
            <v>-6.0361353135872955</v>
          </cell>
          <cell r="Q38">
            <v>-11.548713498635292</v>
          </cell>
          <cell r="R38">
            <v>-3.7572080947674786</v>
          </cell>
          <cell r="S38">
            <v>-15.305921593402761</v>
          </cell>
          <cell r="T38">
            <v>11.548713498635257</v>
          </cell>
        </row>
        <row r="39">
          <cell r="B39">
            <v>-10</v>
          </cell>
          <cell r="C39">
            <v>-7.6968209245825969</v>
          </cell>
          <cell r="D39">
            <v>-1.6371446248685366</v>
          </cell>
          <cell r="E39">
            <v>-2.1054927602678921</v>
          </cell>
          <cell r="F39">
            <v>-3.3780111690280958</v>
          </cell>
          <cell r="G39">
            <v>-1.3095048525568871</v>
          </cell>
          <cell r="H39">
            <v>1.6371446248685366</v>
          </cell>
          <cell r="O39">
            <v>-10</v>
          </cell>
          <cell r="P39">
            <v>-3.0180676567936593</v>
          </cell>
          <cell r="Q39">
            <v>-5.7743567493176231</v>
          </cell>
          <cell r="R39">
            <v>-1.8786040473837338</v>
          </cell>
          <cell r="S39">
            <v>-7.6529607967013913</v>
          </cell>
          <cell r="T39">
            <v>5.7743567493176462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B41">
            <v>10</v>
          </cell>
          <cell r="C41">
            <v>7.6968209245825969</v>
          </cell>
          <cell r="D41">
            <v>1.6371446248685366</v>
          </cell>
          <cell r="E41">
            <v>2.1054927602679121</v>
          </cell>
          <cell r="F41">
            <v>10.852108209058626</v>
          </cell>
          <cell r="G41">
            <v>1.3095048525568871</v>
          </cell>
          <cell r="H41">
            <v>-1.6371446248685366</v>
          </cell>
          <cell r="O41">
            <v>10</v>
          </cell>
          <cell r="P41">
            <v>3.0180676567936366</v>
          </cell>
          <cell r="Q41">
            <v>5.7743567493176462</v>
          </cell>
          <cell r="R41">
            <v>1.8786040473837224</v>
          </cell>
          <cell r="S41">
            <v>7.6529607967013673</v>
          </cell>
          <cell r="T41">
            <v>-5.7743567493176231</v>
          </cell>
        </row>
        <row r="42">
          <cell r="B42">
            <v>20</v>
          </cell>
          <cell r="C42">
            <v>15.393641849165112</v>
          </cell>
          <cell r="D42">
            <v>3.2742892497370528</v>
          </cell>
          <cell r="E42">
            <v>4.2109855205358437</v>
          </cell>
          <cell r="F42">
            <v>13.79875768648405</v>
          </cell>
          <cell r="G42">
            <v>2.6190097051137542</v>
          </cell>
          <cell r="H42">
            <v>-3.2742892497370328</v>
          </cell>
          <cell r="O42">
            <v>20</v>
          </cell>
          <cell r="P42">
            <v>6.0361353135873079</v>
          </cell>
          <cell r="Q42">
            <v>11.548713498635257</v>
          </cell>
          <cell r="R42">
            <v>3.7572080947674564</v>
          </cell>
          <cell r="S42">
            <v>15.305921593402724</v>
          </cell>
          <cell r="T42">
            <v>-11.548713498635292</v>
          </cell>
        </row>
        <row r="43">
          <cell r="B43">
            <v>30</v>
          </cell>
          <cell r="C43">
            <v>23.090462773747749</v>
          </cell>
          <cell r="D43">
            <v>4.911433874605609</v>
          </cell>
          <cell r="E43">
            <v>6.3164782808037971</v>
          </cell>
          <cell r="F43">
            <v>17.984867646835145</v>
          </cell>
          <cell r="G43">
            <v>3.928514557670701</v>
          </cell>
          <cell r="H43">
            <v>-4.911433874605609</v>
          </cell>
          <cell r="O43">
            <v>30</v>
          </cell>
          <cell r="P43">
            <v>9.054202970380933</v>
          </cell>
          <cell r="Q43">
            <v>17.323070247952916</v>
          </cell>
          <cell r="R43">
            <v>5.6358121421511784</v>
          </cell>
          <cell r="S43">
            <v>22.958882390104126</v>
          </cell>
          <cell r="T43">
            <v>-17.323070247952938</v>
          </cell>
        </row>
        <row r="44">
          <cell r="B44">
            <v>40</v>
          </cell>
          <cell r="C44">
            <v>30.787283698330302</v>
          </cell>
          <cell r="D44">
            <v>6.5485784994741252</v>
          </cell>
          <cell r="E44">
            <v>8.4219710410716484</v>
          </cell>
          <cell r="F44">
            <v>20.93151712426053</v>
          </cell>
          <cell r="G44">
            <v>5.2380194102275679</v>
          </cell>
          <cell r="H44">
            <v>-6.5485784994741651</v>
          </cell>
          <cell r="O44">
            <v>40</v>
          </cell>
          <cell r="P44">
            <v>12.072270627174559</v>
          </cell>
          <cell r="Q44">
            <v>23.097426997270549</v>
          </cell>
          <cell r="R44">
            <v>7.5144161895349466</v>
          </cell>
          <cell r="S44">
            <v>30.611843186805487</v>
          </cell>
          <cell r="T44">
            <v>-23.097426997270585</v>
          </cell>
        </row>
        <row r="45">
          <cell r="B45">
            <v>50</v>
          </cell>
          <cell r="C45">
            <v>38.484104622912859</v>
          </cell>
          <cell r="D45">
            <v>8.1857231243427009</v>
          </cell>
          <cell r="E45">
            <v>10.527463801339602</v>
          </cell>
          <cell r="F45">
            <v>23.878166601685951</v>
          </cell>
          <cell r="G45">
            <v>6.5475242627844557</v>
          </cell>
          <cell r="H45">
            <v>-8.1857231243426618</v>
          </cell>
          <cell r="O45">
            <v>50</v>
          </cell>
          <cell r="P45">
            <v>15.090338283968229</v>
          </cell>
          <cell r="Q45">
            <v>28.871783746588207</v>
          </cell>
          <cell r="R45">
            <v>9.3930202369186464</v>
          </cell>
          <cell r="S45">
            <v>38.264803983506887</v>
          </cell>
          <cell r="T45">
            <v>-28.871783746588232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X1000"/>
  <sheetViews>
    <sheetView topLeftCell="Y65" zoomScale="145" zoomScaleNormal="70" workbookViewId="0">
      <selection activeCell="AF72" sqref="AF72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50.5703125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1" width="31.28515625" customWidth="1"/>
    <col min="22" max="22" width="23.85546875" customWidth="1"/>
    <col min="23" max="24" width="13.42578125" customWidth="1"/>
    <col min="25" max="25" width="19.5703125" customWidth="1"/>
    <col min="26" max="26" width="12.28515625" customWidth="1"/>
    <col min="27" max="27" width="20.140625" customWidth="1"/>
    <col min="28" max="28" width="19.285156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  <col min="36" max="37" width="8.85546875" customWidth="1"/>
    <col min="38" max="38" width="17.5703125" customWidth="1"/>
    <col min="39" max="39" width="9.7109375" customWidth="1"/>
    <col min="40" max="40" width="15.5703125" customWidth="1"/>
    <col min="41" max="41" width="8.85546875" customWidth="1"/>
    <col min="42" max="43" width="12.7109375" customWidth="1"/>
    <col min="44" max="50" width="8.85546875" customWidth="1"/>
  </cols>
  <sheetData>
    <row r="1" spans="1:50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1" t="s">
        <v>2</v>
      </c>
      <c r="B2" s="3">
        <f>W49</f>
        <v>815112.479929692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2"/>
      <c r="B3" s="4">
        <f>B2/J34</f>
        <v>0.95895585874081413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2" t="s">
        <v>22</v>
      </c>
      <c r="X7" s="1"/>
      <c r="Y7" s="2" t="s">
        <v>23</v>
      </c>
      <c r="Z7" s="2"/>
      <c r="AA7" s="2" t="s">
        <v>24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13" t="s">
        <v>25</v>
      </c>
      <c r="B8" s="14">
        <v>1.35</v>
      </c>
      <c r="C8" s="2" t="s">
        <v>26</v>
      </c>
      <c r="D8" s="2"/>
      <c r="E8" s="2"/>
      <c r="F8" s="2"/>
      <c r="G8" s="2"/>
      <c r="H8" s="15"/>
      <c r="I8" s="16" t="s">
        <v>183</v>
      </c>
      <c r="J8" s="6">
        <v>295258.06451612897</v>
      </c>
      <c r="K8" s="2" t="s">
        <v>28</v>
      </c>
      <c r="L8" s="15"/>
      <c r="M8" s="2"/>
      <c r="N8" s="11">
        <v>0</v>
      </c>
      <c r="O8" s="17">
        <f>F31</f>
        <v>98202.053711827946</v>
      </c>
      <c r="P8" s="11"/>
      <c r="Q8" s="11"/>
      <c r="R8" s="11"/>
      <c r="S8" s="11"/>
      <c r="T8" s="11"/>
      <c r="U8" s="11"/>
      <c r="V8" s="11"/>
      <c r="W8" s="18">
        <f t="shared" ref="W8:W48" si="0">SUM(O8:V8)</f>
        <v>98202.053711827946</v>
      </c>
      <c r="X8" s="3"/>
      <c r="Y8" s="6"/>
      <c r="Z8" s="2"/>
      <c r="AA8" s="2" t="s">
        <v>29</v>
      </c>
      <c r="AB8" s="19">
        <f>F36</f>
        <v>0.37037037037037035</v>
      </c>
      <c r="AC8" s="2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13"/>
      <c r="B9" s="2"/>
      <c r="C9" s="2"/>
      <c r="D9" s="2"/>
      <c r="E9" s="2"/>
      <c r="F9" s="2"/>
      <c r="G9" s="2"/>
      <c r="H9" s="15"/>
      <c r="I9" s="16" t="s">
        <v>31</v>
      </c>
      <c r="J9" s="6">
        <v>105</v>
      </c>
      <c r="K9" s="2" t="s">
        <v>30</v>
      </c>
      <c r="L9" s="15"/>
      <c r="M9" s="2"/>
      <c r="N9" s="11">
        <v>1</v>
      </c>
      <c r="O9" s="11"/>
      <c r="P9" s="20">
        <f t="shared" ref="P9:P48" si="1">IF(N9&gt;0,IF(N9&lt;=$J$20,(($F$32+$F$33)/$J$20)/((1+($F$12/100))^N9),0),0)</f>
        <v>56182.905729363105</v>
      </c>
      <c r="Q9" s="21">
        <f t="shared" ref="Q9:Q48" si="2">IF(N9&gt;0,($F$41*((1+($F$15/100))^(N9-1)))/((1+($F$12/100))^N9),0)</f>
        <v>29967.948717948715</v>
      </c>
      <c r="R9" s="21">
        <f t="shared" ref="R9:R48" si="3">IF(N9&gt;0,$F$40/((1+($F$12/100))^N9),0)</f>
        <v>0</v>
      </c>
      <c r="S9" s="21">
        <f t="shared" ref="S9:S48" si="4">IF(N9&gt;0,$J$37/((1+($F$12/100))^N9),0)</f>
        <v>32161.396011396013</v>
      </c>
      <c r="T9" s="21">
        <f t="shared" ref="T9:T48" si="5">IF(AND(MOD(N9,$J$31)=0,N9&gt;0),$B$46/((1+($F$12/100))^N9),0)</f>
        <v>0</v>
      </c>
      <c r="U9" s="21">
        <f t="shared" ref="U9:U48" si="6">IF(N9&gt;0,$J$32/((1+($F$12/100))^N9),0)</f>
        <v>0</v>
      </c>
      <c r="V9" s="20">
        <f t="shared" ref="V9:V18" si="7">IF(N9=$B$5,((((1-$J$15/100)^N9)*$B$47+((1-$J$16/100)^N9)*$B$48)/((1+($F$12/100))^N9))*-1,0)</f>
        <v>0</v>
      </c>
      <c r="W9" s="18">
        <f t="shared" si="0"/>
        <v>118312.25045870783</v>
      </c>
      <c r="X9" s="3"/>
      <c r="Y9" s="6">
        <f t="shared" ref="Y9:Y48" si="8">IF(N9&gt;0,((((1-$J$15/100)^N9)*$B$47+((1-$J$16/100)^N9)*$B$48)/((1+($F$12/100))^N9)),0)</f>
        <v>224698.15270967741</v>
      </c>
      <c r="Z9" s="2"/>
      <c r="AA9" s="2" t="s">
        <v>32</v>
      </c>
      <c r="AB9" s="5">
        <f>B48</f>
        <v>34013.466666666667</v>
      </c>
      <c r="AC9" s="2" t="s">
        <v>3</v>
      </c>
      <c r="AD9" s="2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2" t="s">
        <v>33</v>
      </c>
      <c r="B10" s="2"/>
      <c r="C10" s="2"/>
      <c r="D10" s="2"/>
      <c r="E10" s="2"/>
      <c r="F10" s="2"/>
      <c r="G10" s="2"/>
      <c r="H10" s="15"/>
      <c r="I10" s="16" t="s">
        <v>34</v>
      </c>
      <c r="J10" s="6">
        <v>322</v>
      </c>
      <c r="K10" s="2" t="s">
        <v>35</v>
      </c>
      <c r="L10" s="15"/>
      <c r="M10" s="2"/>
      <c r="N10" s="11">
        <f t="shared" ref="N10:N48" si="9">IF((N9+1)&gt;$B$5,,IF(N9=0,,N9+1))</f>
        <v>2</v>
      </c>
      <c r="O10" s="11"/>
      <c r="P10" s="20">
        <f t="shared" si="1"/>
        <v>54022.024739772212</v>
      </c>
      <c r="Q10" s="21">
        <f t="shared" si="2"/>
        <v>29103.488658777114</v>
      </c>
      <c r="R10" s="21">
        <f t="shared" si="3"/>
        <v>0</v>
      </c>
      <c r="S10" s="21">
        <f t="shared" si="4"/>
        <v>30924.419241726933</v>
      </c>
      <c r="T10" s="21">
        <f t="shared" si="5"/>
        <v>0</v>
      </c>
      <c r="U10" s="21">
        <f t="shared" si="6"/>
        <v>0</v>
      </c>
      <c r="V10" s="20">
        <f t="shared" si="7"/>
        <v>0</v>
      </c>
      <c r="W10" s="18">
        <f t="shared" si="0"/>
        <v>114049.93264027627</v>
      </c>
      <c r="X10" s="3"/>
      <c r="Y10" s="6">
        <f t="shared" si="8"/>
        <v>199662.02164633767</v>
      </c>
      <c r="Z10" s="2"/>
      <c r="AA10" s="16" t="s">
        <v>150</v>
      </c>
      <c r="AB10" s="23">
        <f>B52</f>
        <v>327340.1790394265</v>
      </c>
      <c r="AC10" s="2" t="s">
        <v>3</v>
      </c>
      <c r="AD10" s="2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24" t="s">
        <v>151</v>
      </c>
      <c r="B11" s="2">
        <v>0</v>
      </c>
      <c r="C11" s="2" t="s">
        <v>36</v>
      </c>
      <c r="D11" s="2"/>
      <c r="E11" s="1" t="s">
        <v>37</v>
      </c>
      <c r="F11" s="2"/>
      <c r="G11" s="2"/>
      <c r="H11" s="15"/>
      <c r="I11" s="16" t="s">
        <v>38</v>
      </c>
      <c r="J11" s="6">
        <v>4000</v>
      </c>
      <c r="K11" s="2" t="s">
        <v>39</v>
      </c>
      <c r="L11" s="15"/>
      <c r="M11" s="2"/>
      <c r="N11" s="11">
        <f t="shared" si="9"/>
        <v>3</v>
      </c>
      <c r="O11" s="11"/>
      <c r="P11" s="20">
        <f t="shared" si="1"/>
        <v>51944.254557473279</v>
      </c>
      <c r="Q11" s="21">
        <f t="shared" si="2"/>
        <v>28263.964947466236</v>
      </c>
      <c r="R11" s="21">
        <f t="shared" si="3"/>
        <v>0</v>
      </c>
      <c r="S11" s="21">
        <f t="shared" si="4"/>
        <v>29735.018501660514</v>
      </c>
      <c r="T11" s="21">
        <f t="shared" si="5"/>
        <v>0</v>
      </c>
      <c r="U11" s="21">
        <f t="shared" si="6"/>
        <v>0</v>
      </c>
      <c r="V11" s="20">
        <f t="shared" si="7"/>
        <v>0</v>
      </c>
      <c r="W11" s="18">
        <f t="shared" si="0"/>
        <v>109943.23800660002</v>
      </c>
      <c r="X11" s="3"/>
      <c r="Y11" s="6">
        <f t="shared" si="8"/>
        <v>177451.44217558022</v>
      </c>
      <c r="Z11" s="2"/>
      <c r="AA11" s="2" t="s">
        <v>40</v>
      </c>
      <c r="AB11" s="6">
        <f>F13</f>
        <v>85000</v>
      </c>
      <c r="AC11" s="2" t="s">
        <v>41</v>
      </c>
      <c r="AD11" s="2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A12" s="24" t="s">
        <v>42</v>
      </c>
      <c r="B12" s="2">
        <v>0</v>
      </c>
      <c r="C12" s="2" t="s">
        <v>36</v>
      </c>
      <c r="D12" s="2"/>
      <c r="E12" s="16" t="s">
        <v>43</v>
      </c>
      <c r="F12" s="2">
        <v>4</v>
      </c>
      <c r="G12" s="2" t="s">
        <v>36</v>
      </c>
      <c r="H12" s="15"/>
      <c r="I12" s="16" t="s">
        <v>44</v>
      </c>
      <c r="J12" s="6">
        <v>235</v>
      </c>
      <c r="K12" s="2" t="s">
        <v>45</v>
      </c>
      <c r="L12" s="15"/>
      <c r="M12" s="2"/>
      <c r="N12" s="11">
        <f t="shared" si="9"/>
        <v>4</v>
      </c>
      <c r="O12" s="11"/>
      <c r="P12" s="20">
        <f t="shared" si="1"/>
        <v>49946.398612955076</v>
      </c>
      <c r="Q12" s="21">
        <f t="shared" si="2"/>
        <v>27448.65826628932</v>
      </c>
      <c r="R12" s="21">
        <f t="shared" si="3"/>
        <v>0</v>
      </c>
      <c r="S12" s="21">
        <f t="shared" si="4"/>
        <v>28591.363943904336</v>
      </c>
      <c r="T12" s="21">
        <f t="shared" si="5"/>
        <v>0</v>
      </c>
      <c r="U12" s="21">
        <f t="shared" si="6"/>
        <v>0</v>
      </c>
      <c r="V12" s="20">
        <f t="shared" si="7"/>
        <v>0</v>
      </c>
      <c r="W12" s="18">
        <f t="shared" si="0"/>
        <v>105986.42082314873</v>
      </c>
      <c r="X12" s="3"/>
      <c r="Y12" s="6">
        <f t="shared" si="8"/>
        <v>157742.56119895211</v>
      </c>
      <c r="Z12" s="2"/>
      <c r="AA12" s="16" t="s">
        <v>46</v>
      </c>
      <c r="AB12" s="23">
        <f>J44</f>
        <v>29784</v>
      </c>
      <c r="AC12" s="2" t="s">
        <v>47</v>
      </c>
      <c r="AD12" s="2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A13" s="24" t="s">
        <v>48</v>
      </c>
      <c r="B13" s="2">
        <v>8</v>
      </c>
      <c r="C13" s="2" t="s">
        <v>36</v>
      </c>
      <c r="D13" s="2"/>
      <c r="E13" s="16" t="s">
        <v>49</v>
      </c>
      <c r="F13" s="6">
        <v>85000</v>
      </c>
      <c r="G13" s="2" t="s">
        <v>41</v>
      </c>
      <c r="H13" s="15"/>
      <c r="I13" s="16" t="s">
        <v>50</v>
      </c>
      <c r="J13" s="2">
        <v>30</v>
      </c>
      <c r="K13" s="2" t="s">
        <v>51</v>
      </c>
      <c r="L13" s="15"/>
      <c r="M13" s="2"/>
      <c r="N13" s="11">
        <f t="shared" si="9"/>
        <v>5</v>
      </c>
      <c r="O13" s="11"/>
      <c r="P13" s="20">
        <f t="shared" si="1"/>
        <v>48025.383281687566</v>
      </c>
      <c r="Q13" s="21">
        <f t="shared" si="2"/>
        <v>26656.870047069438</v>
      </c>
      <c r="R13" s="21">
        <f t="shared" si="3"/>
        <v>0</v>
      </c>
      <c r="S13" s="21">
        <f t="shared" si="4"/>
        <v>27491.696099908015</v>
      </c>
      <c r="T13" s="21">
        <f t="shared" si="5"/>
        <v>0</v>
      </c>
      <c r="U13" s="21">
        <f t="shared" si="6"/>
        <v>0</v>
      </c>
      <c r="V13" s="20">
        <f t="shared" si="7"/>
        <v>0</v>
      </c>
      <c r="W13" s="18">
        <f t="shared" si="0"/>
        <v>102173.94942866503</v>
      </c>
      <c r="X13" s="3"/>
      <c r="Y13" s="6">
        <f t="shared" si="8"/>
        <v>140249.32023350618</v>
      </c>
      <c r="Z13" s="2"/>
      <c r="AA13" s="69" t="s">
        <v>148</v>
      </c>
      <c r="AB13" s="67">
        <f>J26</f>
        <v>117.5</v>
      </c>
      <c r="AC13" s="69" t="s">
        <v>140</v>
      </c>
      <c r="AD13" s="2"/>
      <c r="AE13" s="6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A14" s="24" t="s">
        <v>52</v>
      </c>
      <c r="B14" s="2">
        <v>274.68</v>
      </c>
      <c r="C14" s="2" t="s">
        <v>28</v>
      </c>
      <c r="D14" s="2"/>
      <c r="E14" s="16" t="s">
        <v>29</v>
      </c>
      <c r="F14" s="14">
        <v>0.5</v>
      </c>
      <c r="G14" s="2" t="s">
        <v>53</v>
      </c>
      <c r="H14" s="15"/>
      <c r="I14" s="16" t="s">
        <v>54</v>
      </c>
      <c r="J14" s="5">
        <v>20</v>
      </c>
      <c r="K14" s="2" t="s">
        <v>36</v>
      </c>
      <c r="L14" s="15"/>
      <c r="M14" s="2"/>
      <c r="N14" s="11">
        <f t="shared" si="9"/>
        <v>6</v>
      </c>
      <c r="O14" s="11"/>
      <c r="P14" s="20">
        <f t="shared" si="1"/>
        <v>0</v>
      </c>
      <c r="Q14" s="21">
        <f t="shared" si="2"/>
        <v>25887.921872634739</v>
      </c>
      <c r="R14" s="21">
        <f t="shared" si="3"/>
        <v>0</v>
      </c>
      <c r="S14" s="21">
        <f t="shared" si="4"/>
        <v>26434.323172988476</v>
      </c>
      <c r="T14" s="21">
        <f t="shared" si="5"/>
        <v>0</v>
      </c>
      <c r="U14" s="21">
        <f t="shared" si="6"/>
        <v>0</v>
      </c>
      <c r="V14" s="20">
        <f t="shared" si="7"/>
        <v>0</v>
      </c>
      <c r="W14" s="18">
        <f t="shared" si="0"/>
        <v>52322.245045623218</v>
      </c>
      <c r="X14" s="3"/>
      <c r="Y14" s="6">
        <f t="shared" si="8"/>
        <v>124718.95405209623</v>
      </c>
      <c r="Z14" s="2"/>
      <c r="AA14" s="69" t="s">
        <v>178</v>
      </c>
      <c r="AB14" s="76">
        <f>J17</f>
        <v>0.99</v>
      </c>
      <c r="AC14" s="69" t="s">
        <v>67</v>
      </c>
      <c r="AD14" s="2"/>
      <c r="AE14" s="6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A15" s="24" t="s">
        <v>55</v>
      </c>
      <c r="B15" s="2">
        <v>350</v>
      </c>
      <c r="C15" s="2" t="s">
        <v>28</v>
      </c>
      <c r="D15" s="2"/>
      <c r="E15" s="16" t="s">
        <v>56</v>
      </c>
      <c r="F15" s="2">
        <v>1</v>
      </c>
      <c r="G15" s="2" t="s">
        <v>57</v>
      </c>
      <c r="H15" s="15"/>
      <c r="I15" s="16" t="s">
        <v>58</v>
      </c>
      <c r="J15" s="2">
        <v>7.08</v>
      </c>
      <c r="K15" s="2" t="s">
        <v>59</v>
      </c>
      <c r="L15" s="15"/>
      <c r="M15" s="2"/>
      <c r="N15" s="11">
        <f t="shared" si="9"/>
        <v>7</v>
      </c>
      <c r="O15" s="11"/>
      <c r="P15" s="20">
        <f t="shared" si="1"/>
        <v>0</v>
      </c>
      <c r="Q15" s="21">
        <f t="shared" si="2"/>
        <v>25141.154895539516</v>
      </c>
      <c r="R15" s="21">
        <f t="shared" si="3"/>
        <v>0</v>
      </c>
      <c r="S15" s="21">
        <f t="shared" si="4"/>
        <v>25417.618435565844</v>
      </c>
      <c r="T15" s="21">
        <f t="shared" si="5"/>
        <v>0</v>
      </c>
      <c r="U15" s="21">
        <f t="shared" si="6"/>
        <v>0</v>
      </c>
      <c r="V15" s="20">
        <f t="shared" si="7"/>
        <v>0</v>
      </c>
      <c r="W15" s="18">
        <f t="shared" si="0"/>
        <v>50558.77333110536</v>
      </c>
      <c r="X15" s="3"/>
      <c r="Y15" s="6">
        <f t="shared" si="8"/>
        <v>110928.03736942451</v>
      </c>
      <c r="Z15" s="2"/>
      <c r="AA15" s="2"/>
      <c r="AB15" s="2"/>
      <c r="AC15" s="2"/>
      <c r="AD15" s="2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A16" s="24" t="s">
        <v>60</v>
      </c>
      <c r="B16" s="2">
        <v>5</v>
      </c>
      <c r="C16" s="2" t="s">
        <v>36</v>
      </c>
      <c r="D16" s="2"/>
      <c r="E16" s="16" t="s">
        <v>61</v>
      </c>
      <c r="F16" s="2">
        <v>0</v>
      </c>
      <c r="G16" s="2" t="s">
        <v>62</v>
      </c>
      <c r="H16" s="15"/>
      <c r="I16" s="16" t="s">
        <v>63</v>
      </c>
      <c r="J16" s="2">
        <v>11</v>
      </c>
      <c r="K16" s="2" t="s">
        <v>59</v>
      </c>
      <c r="L16" s="15"/>
      <c r="M16" s="2"/>
      <c r="N16" s="11">
        <f t="shared" si="9"/>
        <v>8</v>
      </c>
      <c r="O16" s="11"/>
      <c r="P16" s="20">
        <f t="shared" si="1"/>
        <v>0</v>
      </c>
      <c r="Q16" s="21">
        <f t="shared" si="2"/>
        <v>24415.929273552785</v>
      </c>
      <c r="R16" s="21">
        <f t="shared" si="3"/>
        <v>0</v>
      </c>
      <c r="S16" s="21">
        <f t="shared" si="4"/>
        <v>24440.017726505615</v>
      </c>
      <c r="T16" s="21">
        <f t="shared" si="5"/>
        <v>0</v>
      </c>
      <c r="U16" s="21">
        <f t="shared" si="6"/>
        <v>0</v>
      </c>
      <c r="V16" s="20">
        <f t="shared" si="7"/>
        <v>0</v>
      </c>
      <c r="W16" s="18">
        <f t="shared" si="0"/>
        <v>48855.947000058397</v>
      </c>
      <c r="X16" s="3"/>
      <c r="Y16" s="6">
        <f t="shared" si="8"/>
        <v>98679.011309282898</v>
      </c>
      <c r="Z16" s="2"/>
      <c r="AA16" s="2"/>
      <c r="AB16" s="2"/>
      <c r="AC16" s="2"/>
      <c r="AD16" s="2"/>
      <c r="AE16" s="6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s="24" t="s">
        <v>64</v>
      </c>
      <c r="B17" s="6">
        <v>72001</v>
      </c>
      <c r="C17" s="2" t="s">
        <v>28</v>
      </c>
      <c r="D17" s="2"/>
      <c r="E17" s="16" t="s">
        <v>65</v>
      </c>
      <c r="F17" s="6">
        <f>680*2</f>
        <v>1360</v>
      </c>
      <c r="G17" s="2" t="s">
        <v>62</v>
      </c>
      <c r="H17" s="15"/>
      <c r="I17" s="16" t="s">
        <v>66</v>
      </c>
      <c r="J17" s="14">
        <v>0.99</v>
      </c>
      <c r="K17" s="2" t="s">
        <v>67</v>
      </c>
      <c r="L17" s="15"/>
      <c r="M17" s="2"/>
      <c r="N17" s="11">
        <f t="shared" si="9"/>
        <v>9</v>
      </c>
      <c r="O17" s="11"/>
      <c r="P17" s="20">
        <f t="shared" si="1"/>
        <v>0</v>
      </c>
      <c r="Q17" s="21">
        <f t="shared" si="2"/>
        <v>23711.623621431077</v>
      </c>
      <c r="R17" s="21">
        <f t="shared" si="3"/>
        <v>0</v>
      </c>
      <c r="S17" s="21">
        <f t="shared" si="4"/>
        <v>23500.017044716933</v>
      </c>
      <c r="T17" s="21">
        <f t="shared" si="5"/>
        <v>0</v>
      </c>
      <c r="U17" s="21">
        <f t="shared" si="6"/>
        <v>0</v>
      </c>
      <c r="V17" s="20">
        <f t="shared" si="7"/>
        <v>0</v>
      </c>
      <c r="W17" s="18">
        <f t="shared" si="0"/>
        <v>47211.640666148014</v>
      </c>
      <c r="X17" s="3"/>
      <c r="Y17" s="6">
        <f t="shared" si="8"/>
        <v>87797.13008573938</v>
      </c>
      <c r="Z17" s="2"/>
      <c r="AA17" s="2"/>
      <c r="AB17" s="2"/>
      <c r="AC17" s="2"/>
      <c r="AD17" s="2"/>
      <c r="AE17" s="6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s="24" t="s">
        <v>68</v>
      </c>
      <c r="B18" s="6">
        <v>-15000</v>
      </c>
      <c r="C18" s="2" t="s">
        <v>28</v>
      </c>
      <c r="D18" s="2"/>
      <c r="E18" s="16" t="s">
        <v>69</v>
      </c>
      <c r="F18" s="6">
        <v>0</v>
      </c>
      <c r="G18" s="2" t="s">
        <v>70</v>
      </c>
      <c r="H18" s="15"/>
      <c r="I18" s="2"/>
      <c r="J18" s="2"/>
      <c r="K18" s="2"/>
      <c r="L18" s="15"/>
      <c r="M18" s="2"/>
      <c r="N18" s="11">
        <f t="shared" si="9"/>
        <v>10</v>
      </c>
      <c r="O18" s="11"/>
      <c r="P18" s="20">
        <f t="shared" si="1"/>
        <v>0</v>
      </c>
      <c r="Q18" s="21">
        <f t="shared" si="2"/>
        <v>23027.634478505181</v>
      </c>
      <c r="R18" s="21">
        <f t="shared" si="3"/>
        <v>0</v>
      </c>
      <c r="S18" s="21">
        <f t="shared" si="4"/>
        <v>22596.170235304744</v>
      </c>
      <c r="T18" s="21">
        <f t="shared" si="5"/>
        <v>0</v>
      </c>
      <c r="U18" s="21">
        <f t="shared" si="6"/>
        <v>0</v>
      </c>
      <c r="V18" s="20">
        <f t="shared" si="7"/>
        <v>-78127.775896278603</v>
      </c>
      <c r="W18" s="18">
        <f t="shared" si="0"/>
        <v>-32503.971182468682</v>
      </c>
      <c r="X18" s="3"/>
      <c r="Y18" s="6">
        <f t="shared" si="8"/>
        <v>78127.775896278603</v>
      </c>
      <c r="Z18" s="2"/>
      <c r="AA18" s="2"/>
      <c r="AB18" s="2"/>
      <c r="AC18" s="2"/>
      <c r="AD18" s="2"/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24" t="s">
        <v>71</v>
      </c>
      <c r="B19" s="2">
        <v>28.34</v>
      </c>
      <c r="C19" s="2" t="s">
        <v>28</v>
      </c>
      <c r="D19" s="2"/>
      <c r="E19" s="16" t="s">
        <v>46</v>
      </c>
      <c r="F19" s="33">
        <v>0.47304000000000002</v>
      </c>
      <c r="G19" s="2" t="s">
        <v>133</v>
      </c>
      <c r="H19" s="15"/>
      <c r="I19" s="1" t="s">
        <v>76</v>
      </c>
      <c r="J19" s="2"/>
      <c r="K19" s="2"/>
      <c r="L19" s="15"/>
      <c r="M19" s="2"/>
      <c r="N19" s="11">
        <f t="shared" si="9"/>
        <v>0</v>
      </c>
      <c r="O19" s="11"/>
      <c r="P19" s="20">
        <f t="shared" si="1"/>
        <v>0</v>
      </c>
      <c r="Q19" s="21">
        <f t="shared" si="2"/>
        <v>0</v>
      </c>
      <c r="R19" s="21">
        <f t="shared" si="3"/>
        <v>0</v>
      </c>
      <c r="S19" s="21">
        <f t="shared" si="4"/>
        <v>0</v>
      </c>
      <c r="T19" s="21">
        <f t="shared" si="5"/>
        <v>0</v>
      </c>
      <c r="U19" s="21">
        <f t="shared" si="6"/>
        <v>0</v>
      </c>
      <c r="V19" s="20">
        <f t="shared" ref="V19:V48" si="10">IF(N19=$B$5,((((1-$J$15/100)^N19)*$B$52+((1-$J$16/100)^N19)*$B$48)/((1+($F$12/100))^N19))*-1,0)</f>
        <v>0</v>
      </c>
      <c r="W19" s="18">
        <f t="shared" si="0"/>
        <v>0</v>
      </c>
      <c r="X19" s="3"/>
      <c r="Y19" s="6">
        <f t="shared" si="8"/>
        <v>0</v>
      </c>
      <c r="Z19" s="2"/>
      <c r="AA19" s="2"/>
      <c r="AB19" s="2"/>
      <c r="AC19" s="2"/>
      <c r="AD19" s="2"/>
      <c r="AE19" s="6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24" t="s">
        <v>72</v>
      </c>
      <c r="B20" s="6">
        <v>1000</v>
      </c>
      <c r="C20" s="2" t="s">
        <v>28</v>
      </c>
      <c r="D20" s="2"/>
      <c r="E20" s="16" t="s">
        <v>73</v>
      </c>
      <c r="F20" s="2">
        <v>5.5</v>
      </c>
      <c r="G20" s="2" t="s">
        <v>59</v>
      </c>
      <c r="H20" s="15"/>
      <c r="I20" s="24" t="s">
        <v>81</v>
      </c>
      <c r="J20" s="2">
        <v>5</v>
      </c>
      <c r="K20" s="2" t="s">
        <v>51</v>
      </c>
      <c r="L20" s="15"/>
      <c r="M20" s="2"/>
      <c r="N20" s="11">
        <f t="shared" si="9"/>
        <v>0</v>
      </c>
      <c r="O20" s="11"/>
      <c r="P20" s="20">
        <f t="shared" si="1"/>
        <v>0</v>
      </c>
      <c r="Q20" s="21">
        <f t="shared" si="2"/>
        <v>0</v>
      </c>
      <c r="R20" s="21">
        <f t="shared" si="3"/>
        <v>0</v>
      </c>
      <c r="S20" s="21">
        <f t="shared" si="4"/>
        <v>0</v>
      </c>
      <c r="T20" s="21">
        <f t="shared" si="5"/>
        <v>0</v>
      </c>
      <c r="U20" s="21">
        <f t="shared" si="6"/>
        <v>0</v>
      </c>
      <c r="V20" s="20">
        <f t="shared" si="10"/>
        <v>0</v>
      </c>
      <c r="W20" s="18">
        <f t="shared" si="0"/>
        <v>0</v>
      </c>
      <c r="X20" s="3"/>
      <c r="Y20" s="6">
        <f t="shared" si="8"/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16" t="s">
        <v>74</v>
      </c>
      <c r="F21" s="2">
        <v>100</v>
      </c>
      <c r="G21" s="2" t="s">
        <v>62</v>
      </c>
      <c r="H21" s="15"/>
      <c r="I21" s="16" t="s">
        <v>84</v>
      </c>
      <c r="J21" s="2">
        <v>30</v>
      </c>
      <c r="K21" s="2" t="s">
        <v>85</v>
      </c>
      <c r="L21" s="15"/>
      <c r="M21" s="2"/>
      <c r="N21" s="11">
        <f t="shared" si="9"/>
        <v>0</v>
      </c>
      <c r="O21" s="11"/>
      <c r="P21" s="20">
        <f t="shared" si="1"/>
        <v>0</v>
      </c>
      <c r="Q21" s="21">
        <f t="shared" si="2"/>
        <v>0</v>
      </c>
      <c r="R21" s="21">
        <f t="shared" si="3"/>
        <v>0</v>
      </c>
      <c r="S21" s="21">
        <f t="shared" si="4"/>
        <v>0</v>
      </c>
      <c r="T21" s="21">
        <f t="shared" si="5"/>
        <v>0</v>
      </c>
      <c r="U21" s="21">
        <f t="shared" si="6"/>
        <v>0</v>
      </c>
      <c r="V21" s="20">
        <f t="shared" si="10"/>
        <v>0</v>
      </c>
      <c r="W21" s="18">
        <f t="shared" si="0"/>
        <v>0</v>
      </c>
      <c r="X21" s="3"/>
      <c r="Y21" s="6">
        <f t="shared" si="8"/>
        <v>0</v>
      </c>
      <c r="Z21" s="2"/>
      <c r="AA21" s="25" t="s">
        <v>29</v>
      </c>
      <c r="AB21" s="26"/>
      <c r="AC21" s="26"/>
      <c r="AD21" s="26"/>
      <c r="AE21" s="2"/>
      <c r="AF21" s="25" t="s">
        <v>27</v>
      </c>
      <c r="AG21" s="26"/>
      <c r="AH21" s="26"/>
      <c r="AI21" s="26"/>
      <c r="AJ21" s="2"/>
      <c r="AK21" s="96" t="s">
        <v>169</v>
      </c>
      <c r="AL21" s="96" t="s">
        <v>170</v>
      </c>
      <c r="AM21" s="96" t="s">
        <v>171</v>
      </c>
      <c r="AN21" s="96" t="s">
        <v>32</v>
      </c>
      <c r="AO21" s="96" t="s">
        <v>172</v>
      </c>
      <c r="AP21" s="96" t="s">
        <v>173</v>
      </c>
      <c r="AQ21" s="105" t="str">
        <f>AA66</f>
        <v>Energy Efficiency</v>
      </c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16" t="s">
        <v>75</v>
      </c>
      <c r="F22" s="2">
        <v>327</v>
      </c>
      <c r="G22" s="2" t="s">
        <v>62</v>
      </c>
      <c r="H22" s="15"/>
      <c r="I22" s="65"/>
      <c r="J22" s="65"/>
      <c r="K22" s="65"/>
      <c r="L22" s="66"/>
      <c r="M22" s="2"/>
      <c r="N22" s="11">
        <f t="shared" si="9"/>
        <v>0</v>
      </c>
      <c r="O22" s="11"/>
      <c r="P22" s="20">
        <f t="shared" si="1"/>
        <v>0</v>
      </c>
      <c r="Q22" s="21">
        <f t="shared" si="2"/>
        <v>0</v>
      </c>
      <c r="R22" s="21">
        <f t="shared" si="3"/>
        <v>0</v>
      </c>
      <c r="S22" s="21">
        <f t="shared" si="4"/>
        <v>0</v>
      </c>
      <c r="T22" s="21">
        <f t="shared" si="5"/>
        <v>0</v>
      </c>
      <c r="U22" s="21">
        <f t="shared" si="6"/>
        <v>0</v>
      </c>
      <c r="V22" s="20">
        <f t="shared" si="10"/>
        <v>0</v>
      </c>
      <c r="W22" s="18">
        <f t="shared" si="0"/>
        <v>0</v>
      </c>
      <c r="X22" s="3"/>
      <c r="Y22" s="6">
        <f t="shared" si="8"/>
        <v>0</v>
      </c>
      <c r="Z22" s="2"/>
      <c r="AA22" s="26" t="s">
        <v>77</v>
      </c>
      <c r="AB22" s="26" t="s">
        <v>78</v>
      </c>
      <c r="AC22" s="26" t="s">
        <v>22</v>
      </c>
      <c r="AD22" s="26" t="s">
        <v>79</v>
      </c>
      <c r="AE22" s="2"/>
      <c r="AF22" s="26" t="s">
        <v>77</v>
      </c>
      <c r="AG22" s="26" t="s">
        <v>80</v>
      </c>
      <c r="AH22" s="26" t="s">
        <v>22</v>
      </c>
      <c r="AI22" s="26" t="s">
        <v>79</v>
      </c>
      <c r="AJ22" s="2"/>
      <c r="AK22" s="97">
        <v>-50</v>
      </c>
      <c r="AL22" s="98">
        <f>AI24</f>
        <v>-21.979973896607881</v>
      </c>
      <c r="AM22" s="98">
        <f>AD24</f>
        <v>-16.171093025219836</v>
      </c>
      <c r="AN22" s="99">
        <f t="shared" ref="AN22:AN32" si="11">AD39</f>
        <v>-2.0271101967389393</v>
      </c>
      <c r="AO22" s="99">
        <f t="shared" ref="AO22:AO32" si="12">AI39</f>
        <v>-30.989595124043539</v>
      </c>
      <c r="AP22" s="99">
        <f>AD54</f>
        <v>-14.818502098823627</v>
      </c>
      <c r="AQ22" s="106">
        <f>AD69</f>
        <v>16.17109302521985</v>
      </c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16" t="s">
        <v>161</v>
      </c>
      <c r="F23" s="2">
        <v>87.2</v>
      </c>
      <c r="G23" s="2" t="s">
        <v>62</v>
      </c>
      <c r="H23" s="15"/>
      <c r="I23" s="57" t="s">
        <v>135</v>
      </c>
      <c r="J23" s="58"/>
      <c r="K23" s="58"/>
      <c r="L23" s="59"/>
      <c r="M23" s="2"/>
      <c r="N23" s="11">
        <f t="shared" si="9"/>
        <v>0</v>
      </c>
      <c r="O23" s="11"/>
      <c r="P23" s="20">
        <f t="shared" si="1"/>
        <v>0</v>
      </c>
      <c r="Q23" s="21">
        <f t="shared" si="2"/>
        <v>0</v>
      </c>
      <c r="R23" s="21">
        <f t="shared" si="3"/>
        <v>0</v>
      </c>
      <c r="S23" s="21">
        <f t="shared" si="4"/>
        <v>0</v>
      </c>
      <c r="T23" s="21">
        <f t="shared" si="5"/>
        <v>0</v>
      </c>
      <c r="U23" s="21">
        <f t="shared" si="6"/>
        <v>0</v>
      </c>
      <c r="V23" s="20">
        <f t="shared" si="10"/>
        <v>0</v>
      </c>
      <c r="W23" s="18">
        <f t="shared" si="0"/>
        <v>0</v>
      </c>
      <c r="X23" s="3"/>
      <c r="Y23" s="6">
        <f t="shared" si="8"/>
        <v>0</v>
      </c>
      <c r="Z23" s="2"/>
      <c r="AA23" s="26" t="s">
        <v>82</v>
      </c>
      <c r="AB23" s="28">
        <v>0.37037037037037035</v>
      </c>
      <c r="AC23" s="29">
        <f>W49</f>
        <v>815112.479929692</v>
      </c>
      <c r="AD23" s="26"/>
      <c r="AE23" s="2"/>
      <c r="AF23" s="26" t="s">
        <v>83</v>
      </c>
      <c r="AG23" s="30">
        <v>327340.1790394265</v>
      </c>
      <c r="AH23" s="29">
        <f>W49</f>
        <v>815112.479929692</v>
      </c>
      <c r="AI23" s="26"/>
      <c r="AJ23" s="2"/>
      <c r="AK23" s="97">
        <v>-40</v>
      </c>
      <c r="AL23" s="98">
        <f>AI25</f>
        <v>-17.583979117286308</v>
      </c>
      <c r="AM23" s="98">
        <f t="shared" ref="AM23:AM32" si="13">AD25</f>
        <v>-12.936874420175851</v>
      </c>
      <c r="AN23" s="99">
        <f t="shared" si="11"/>
        <v>-1.6216881573911202</v>
      </c>
      <c r="AO23" s="99">
        <f t="shared" si="12"/>
        <v>-24.79167609923481</v>
      </c>
      <c r="AP23" s="99">
        <f t="shared" ref="AP23:AP32" si="14">AD55</f>
        <v>-11.854801679058914</v>
      </c>
      <c r="AQ23" s="106">
        <f t="shared" ref="AQ23:AQ32" si="15">AD70</f>
        <v>12.936874420175922</v>
      </c>
      <c r="AR23" s="33"/>
      <c r="AS23" s="33"/>
      <c r="AT23" s="33"/>
      <c r="AU23" s="33"/>
      <c r="AV23" s="33"/>
      <c r="AW23" s="33"/>
      <c r="AX23" s="33"/>
    </row>
    <row r="24" spans="1:50" ht="15.75" customHeight="1" x14ac:dyDescent="0.25">
      <c r="A24" s="13"/>
      <c r="B24" s="2"/>
      <c r="C24" s="2"/>
      <c r="D24" s="2"/>
      <c r="E24" s="16" t="s">
        <v>159</v>
      </c>
      <c r="F24" s="6">
        <v>3000</v>
      </c>
      <c r="G24" s="2" t="s">
        <v>62</v>
      </c>
      <c r="H24" s="15"/>
      <c r="I24" s="58" t="s">
        <v>136</v>
      </c>
      <c r="J24" s="60" t="s">
        <v>134</v>
      </c>
      <c r="K24" s="58"/>
      <c r="L24" s="59"/>
      <c r="M24" s="2"/>
      <c r="N24" s="11">
        <f t="shared" si="9"/>
        <v>0</v>
      </c>
      <c r="O24" s="11"/>
      <c r="P24" s="20">
        <f t="shared" si="1"/>
        <v>0</v>
      </c>
      <c r="Q24" s="21">
        <f t="shared" si="2"/>
        <v>0</v>
      </c>
      <c r="R24" s="21">
        <f t="shared" si="3"/>
        <v>0</v>
      </c>
      <c r="S24" s="21">
        <f t="shared" si="4"/>
        <v>0</v>
      </c>
      <c r="T24" s="21">
        <f t="shared" si="5"/>
        <v>0</v>
      </c>
      <c r="U24" s="21">
        <f t="shared" si="6"/>
        <v>0</v>
      </c>
      <c r="V24" s="20">
        <f t="shared" si="10"/>
        <v>0</v>
      </c>
      <c r="W24" s="18">
        <f t="shared" si="0"/>
        <v>0</v>
      </c>
      <c r="X24" s="3"/>
      <c r="Y24" s="6">
        <f t="shared" si="8"/>
        <v>0</v>
      </c>
      <c r="Z24" s="2"/>
      <c r="AA24" s="26">
        <f t="shared" ref="AA24:AA28" si="16">AA25-10</f>
        <v>-50</v>
      </c>
      <c r="AB24" s="28">
        <f t="shared" ref="AB24:AB34" si="17">$AB$23*(1+(AA24/100))</f>
        <v>0.18518518518518517</v>
      </c>
      <c r="AC24" s="29">
        <f t="dataTable" ref="AC24:AC34" dt2D="0" dtr="0" r1="F36" ca="1"/>
        <v>683299.88254008512</v>
      </c>
      <c r="AD24" s="34">
        <f t="shared" ref="AD24:AD34" si="18">100*((AC24-$AC$29)/$AC$29)</f>
        <v>-16.171093025219836</v>
      </c>
      <c r="AE24" s="2"/>
      <c r="AF24" s="26">
        <f t="shared" ref="AF24:AF28" si="19">AF25-10</f>
        <v>-50</v>
      </c>
      <c r="AG24" s="30">
        <f t="shared" ref="AG24:AG34" si="20">$AG$23*(1+(AF24/100))</f>
        <v>163670.08951971325</v>
      </c>
      <c r="AH24" s="29">
        <f t="dataTable" ref="AH24:AH34" dt2D="0" dtr="0" r1="B52" ca="1"/>
        <v>635950.96961315256</v>
      </c>
      <c r="AI24" s="34">
        <f t="shared" ref="AI24:AI34" si="21">100*((AH24-$AH$29)/$AH$29)</f>
        <v>-21.979973896607881</v>
      </c>
      <c r="AJ24" s="2"/>
      <c r="AK24" s="97">
        <v>-30</v>
      </c>
      <c r="AL24" s="98">
        <f t="shared" ref="AL24:AL32" si="22">AI26</f>
        <v>-13.187984337964725</v>
      </c>
      <c r="AM24" s="98">
        <f t="shared" si="13"/>
        <v>-9.7026558151319051</v>
      </c>
      <c r="AN24" s="99">
        <f t="shared" si="11"/>
        <v>-1.2162661180433723</v>
      </c>
      <c r="AO24" s="99">
        <f t="shared" si="12"/>
        <v>-18.59375707442609</v>
      </c>
      <c r="AP24" s="99">
        <f t="shared" si="14"/>
        <v>-8.8911012592941994</v>
      </c>
      <c r="AQ24" s="106">
        <f t="shared" si="15"/>
        <v>9.7026558151319211</v>
      </c>
      <c r="AR24" s="33"/>
      <c r="AS24" s="33"/>
      <c r="AT24" s="33"/>
      <c r="AU24" s="33"/>
      <c r="AV24" s="33"/>
      <c r="AW24" s="33"/>
      <c r="AX24" s="33"/>
    </row>
    <row r="25" spans="1:50" ht="15.75" customHeight="1" x14ac:dyDescent="0.25">
      <c r="A25" s="13"/>
      <c r="B25" s="2"/>
      <c r="C25" s="2"/>
      <c r="D25" s="2"/>
      <c r="E25" s="16" t="s">
        <v>163</v>
      </c>
      <c r="F25" s="6"/>
      <c r="G25" s="2" t="s">
        <v>62</v>
      </c>
      <c r="H25" s="15"/>
      <c r="I25" s="61" t="s">
        <v>137</v>
      </c>
      <c r="J25" s="61">
        <v>1.3</v>
      </c>
      <c r="K25" s="61" t="s">
        <v>138</v>
      </c>
      <c r="L25" s="59"/>
      <c r="M25" s="2"/>
      <c r="N25" s="11">
        <f t="shared" si="9"/>
        <v>0</v>
      </c>
      <c r="O25" s="11"/>
      <c r="P25" s="20">
        <f t="shared" si="1"/>
        <v>0</v>
      </c>
      <c r="Q25" s="21">
        <f t="shared" si="2"/>
        <v>0</v>
      </c>
      <c r="R25" s="21">
        <f t="shared" si="3"/>
        <v>0</v>
      </c>
      <c r="S25" s="21">
        <f t="shared" si="4"/>
        <v>0</v>
      </c>
      <c r="T25" s="21">
        <f t="shared" si="5"/>
        <v>0</v>
      </c>
      <c r="U25" s="21">
        <f t="shared" si="6"/>
        <v>0</v>
      </c>
      <c r="V25" s="20">
        <f t="shared" si="10"/>
        <v>0</v>
      </c>
      <c r="W25" s="18">
        <f t="shared" si="0"/>
        <v>0</v>
      </c>
      <c r="X25" s="3"/>
      <c r="Y25" s="6">
        <f t="shared" si="8"/>
        <v>0</v>
      </c>
      <c r="Z25" s="2"/>
      <c r="AA25" s="26">
        <f t="shared" si="16"/>
        <v>-40</v>
      </c>
      <c r="AB25" s="28">
        <f t="shared" si="17"/>
        <v>0.22222222222222221</v>
      </c>
      <c r="AC25" s="29">
        <v>709662.40201800666</v>
      </c>
      <c r="AD25" s="34">
        <f t="shared" si="18"/>
        <v>-12.936874420175851</v>
      </c>
      <c r="AE25" s="2"/>
      <c r="AF25" s="26">
        <f t="shared" si="19"/>
        <v>-40</v>
      </c>
      <c r="AG25" s="30">
        <f t="shared" si="20"/>
        <v>196404.10742365589</v>
      </c>
      <c r="AH25" s="29">
        <v>671783.2716764604</v>
      </c>
      <c r="AI25" s="34">
        <f t="shared" si="21"/>
        <v>-17.583979117286308</v>
      </c>
      <c r="AJ25" s="2"/>
      <c r="AK25" s="97">
        <v>-20</v>
      </c>
      <c r="AL25" s="98">
        <f t="shared" si="22"/>
        <v>-8.7919895586431398</v>
      </c>
      <c r="AM25" s="98">
        <f t="shared" si="13"/>
        <v>-6.4684372100879326</v>
      </c>
      <c r="AN25" s="99">
        <f t="shared" si="11"/>
        <v>-0.81084407869553865</v>
      </c>
      <c r="AO25" s="99">
        <f t="shared" si="12"/>
        <v>-12.395838049617405</v>
      </c>
      <c r="AP25" s="99">
        <f t="shared" si="14"/>
        <v>-5.9274008395294713</v>
      </c>
      <c r="AQ25" s="106">
        <f t="shared" si="15"/>
        <v>6.468437210087961</v>
      </c>
      <c r="AR25" s="33"/>
      <c r="AS25" s="33"/>
      <c r="AT25" s="33"/>
      <c r="AU25" s="33"/>
      <c r="AV25" s="33"/>
      <c r="AW25" s="33"/>
      <c r="AX25" s="33"/>
    </row>
    <row r="26" spans="1:50" ht="15.75" customHeight="1" x14ac:dyDescent="0.25">
      <c r="A26" s="36"/>
      <c r="B26" s="37"/>
      <c r="C26" s="37"/>
      <c r="D26" s="37"/>
      <c r="E26" s="38" t="s">
        <v>164</v>
      </c>
      <c r="F26" s="37">
        <v>72</v>
      </c>
      <c r="G26" s="37" t="s">
        <v>62</v>
      </c>
      <c r="H26" s="39"/>
      <c r="I26" s="62" t="s">
        <v>139</v>
      </c>
      <c r="J26" s="63">
        <f>J12/2</f>
        <v>117.5</v>
      </c>
      <c r="K26" s="62" t="s">
        <v>140</v>
      </c>
      <c r="L26" s="64"/>
      <c r="M26" s="2"/>
      <c r="N26" s="11">
        <f t="shared" si="9"/>
        <v>0</v>
      </c>
      <c r="O26" s="11"/>
      <c r="P26" s="20">
        <f t="shared" si="1"/>
        <v>0</v>
      </c>
      <c r="Q26" s="21">
        <f t="shared" si="2"/>
        <v>0</v>
      </c>
      <c r="R26" s="21">
        <f t="shared" si="3"/>
        <v>0</v>
      </c>
      <c r="S26" s="21">
        <f t="shared" si="4"/>
        <v>0</v>
      </c>
      <c r="T26" s="21">
        <f t="shared" si="5"/>
        <v>0</v>
      </c>
      <c r="U26" s="21">
        <f t="shared" si="6"/>
        <v>0</v>
      </c>
      <c r="V26" s="20">
        <f t="shared" si="10"/>
        <v>0</v>
      </c>
      <c r="W26" s="18">
        <f t="shared" si="0"/>
        <v>0</v>
      </c>
      <c r="X26" s="3"/>
      <c r="Y26" s="6">
        <f t="shared" si="8"/>
        <v>0</v>
      </c>
      <c r="Z26" s="2"/>
      <c r="AA26" s="26">
        <f t="shared" si="16"/>
        <v>-30</v>
      </c>
      <c r="AB26" s="28">
        <f t="shared" si="17"/>
        <v>0.25925925925925924</v>
      </c>
      <c r="AC26" s="29">
        <v>736024.92149592785</v>
      </c>
      <c r="AD26" s="34">
        <f t="shared" si="18"/>
        <v>-9.7026558151319051</v>
      </c>
      <c r="AE26" s="2"/>
      <c r="AF26" s="26">
        <f t="shared" si="19"/>
        <v>-30</v>
      </c>
      <c r="AG26" s="30">
        <f t="shared" si="20"/>
        <v>229138.12532759854</v>
      </c>
      <c r="AH26" s="29">
        <v>707615.57373976836</v>
      </c>
      <c r="AI26" s="34">
        <f t="shared" si="21"/>
        <v>-13.187984337964725</v>
      </c>
      <c r="AJ26" s="2"/>
      <c r="AK26" s="97">
        <v>-10</v>
      </c>
      <c r="AL26" s="98">
        <f t="shared" si="22"/>
        <v>-4.3959947793215566</v>
      </c>
      <c r="AM26" s="98">
        <f t="shared" si="13"/>
        <v>-3.2342186050439592</v>
      </c>
      <c r="AN26" s="99">
        <f t="shared" si="11"/>
        <v>-0.40542203934777649</v>
      </c>
      <c r="AO26" s="99">
        <f t="shared" si="12"/>
        <v>-6.1979190248087024</v>
      </c>
      <c r="AP26" s="99">
        <f t="shared" si="14"/>
        <v>-2.9637004197646997</v>
      </c>
      <c r="AQ26" s="106">
        <f t="shared" si="15"/>
        <v>3.2342186050440023</v>
      </c>
      <c r="AR26" s="33"/>
      <c r="AS26" s="33"/>
      <c r="AT26" s="33"/>
      <c r="AU26" s="33"/>
      <c r="AV26" s="33"/>
      <c r="AW26" s="33"/>
      <c r="AX26" s="33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9"/>
        <v>0</v>
      </c>
      <c r="O27" s="11"/>
      <c r="P27" s="20">
        <f t="shared" si="1"/>
        <v>0</v>
      </c>
      <c r="Q27" s="21">
        <f t="shared" si="2"/>
        <v>0</v>
      </c>
      <c r="R27" s="21">
        <f t="shared" si="3"/>
        <v>0</v>
      </c>
      <c r="S27" s="21">
        <f t="shared" si="4"/>
        <v>0</v>
      </c>
      <c r="T27" s="21">
        <f t="shared" si="5"/>
        <v>0</v>
      </c>
      <c r="U27" s="21">
        <f t="shared" si="6"/>
        <v>0</v>
      </c>
      <c r="V27" s="20">
        <f t="shared" si="10"/>
        <v>0</v>
      </c>
      <c r="W27" s="18">
        <f t="shared" si="0"/>
        <v>0</v>
      </c>
      <c r="X27" s="3"/>
      <c r="Y27" s="6">
        <f t="shared" si="8"/>
        <v>0</v>
      </c>
      <c r="Z27" s="2"/>
      <c r="AA27" s="26">
        <f t="shared" si="16"/>
        <v>-20</v>
      </c>
      <c r="AB27" s="28">
        <f t="shared" si="17"/>
        <v>0.29629629629629628</v>
      </c>
      <c r="AC27" s="29">
        <v>762387.44097384927</v>
      </c>
      <c r="AD27" s="34">
        <f t="shared" si="18"/>
        <v>-6.4684372100879326</v>
      </c>
      <c r="AE27" s="2"/>
      <c r="AF27" s="26">
        <f t="shared" si="19"/>
        <v>-20</v>
      </c>
      <c r="AG27" s="30">
        <f t="shared" si="20"/>
        <v>261872.14323154121</v>
      </c>
      <c r="AH27" s="29">
        <v>743447.87580307631</v>
      </c>
      <c r="AI27" s="34">
        <f t="shared" si="21"/>
        <v>-8.7919895586431398</v>
      </c>
      <c r="AJ27" s="2"/>
      <c r="AK27" s="97">
        <v>0</v>
      </c>
      <c r="AL27" s="98">
        <f t="shared" si="22"/>
        <v>0</v>
      </c>
      <c r="AM27" s="98">
        <f t="shared" si="13"/>
        <v>0</v>
      </c>
      <c r="AN27" s="99">
        <f t="shared" si="11"/>
        <v>0</v>
      </c>
      <c r="AO27" s="99">
        <f t="shared" si="12"/>
        <v>0</v>
      </c>
      <c r="AP27" s="99">
        <f t="shared" si="14"/>
        <v>0</v>
      </c>
      <c r="AQ27" s="106">
        <f t="shared" si="15"/>
        <v>0</v>
      </c>
      <c r="AR27" s="33"/>
      <c r="AS27" s="33"/>
      <c r="AT27" s="33"/>
      <c r="AU27" s="33"/>
      <c r="AV27" s="33"/>
      <c r="AW27" s="33"/>
      <c r="AX27" s="33"/>
    </row>
    <row r="28" spans="1:50" ht="15.75" customHeight="1" x14ac:dyDescent="0.25">
      <c r="A28" s="1" t="s">
        <v>86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9"/>
        <v>0</v>
      </c>
      <c r="O28" s="11"/>
      <c r="P28" s="20">
        <f t="shared" si="1"/>
        <v>0</v>
      </c>
      <c r="Q28" s="21">
        <f t="shared" si="2"/>
        <v>0</v>
      </c>
      <c r="R28" s="21">
        <f t="shared" si="3"/>
        <v>0</v>
      </c>
      <c r="S28" s="21">
        <f t="shared" si="4"/>
        <v>0</v>
      </c>
      <c r="T28" s="21">
        <f t="shared" si="5"/>
        <v>0</v>
      </c>
      <c r="U28" s="21">
        <f t="shared" si="6"/>
        <v>0</v>
      </c>
      <c r="V28" s="20">
        <f t="shared" si="10"/>
        <v>0</v>
      </c>
      <c r="W28" s="18">
        <f t="shared" si="0"/>
        <v>0</v>
      </c>
      <c r="X28" s="3"/>
      <c r="Y28" s="6">
        <f t="shared" si="8"/>
        <v>0</v>
      </c>
      <c r="Z28" s="2"/>
      <c r="AA28" s="26">
        <f t="shared" si="16"/>
        <v>-10</v>
      </c>
      <c r="AB28" s="28">
        <f t="shared" si="17"/>
        <v>0.33333333333333331</v>
      </c>
      <c r="AC28" s="29">
        <v>788749.96045177069</v>
      </c>
      <c r="AD28" s="34">
        <f t="shared" si="18"/>
        <v>-3.2342186050439592</v>
      </c>
      <c r="AE28" s="2"/>
      <c r="AF28" s="26">
        <f t="shared" si="19"/>
        <v>-10</v>
      </c>
      <c r="AG28" s="30">
        <f t="shared" si="20"/>
        <v>294606.16113548388</v>
      </c>
      <c r="AH28" s="29">
        <v>779280.17786638427</v>
      </c>
      <c r="AI28" s="34">
        <f t="shared" si="21"/>
        <v>-4.3959947793215566</v>
      </c>
      <c r="AJ28" s="2"/>
      <c r="AK28" s="97">
        <v>10</v>
      </c>
      <c r="AL28" s="98">
        <f t="shared" si="22"/>
        <v>4.395994779321585</v>
      </c>
      <c r="AM28" s="98">
        <f t="shared" si="13"/>
        <v>3.2342186050440023</v>
      </c>
      <c r="AN28" s="99">
        <f t="shared" si="11"/>
        <v>0.40542203934781934</v>
      </c>
      <c r="AO28" s="99">
        <f t="shared" si="12"/>
        <v>9.000087450689092</v>
      </c>
      <c r="AP28" s="99">
        <f t="shared" si="14"/>
        <v>2.963700419764757</v>
      </c>
      <c r="AQ28" s="106">
        <f t="shared" si="15"/>
        <v>-3.2342186050439592</v>
      </c>
      <c r="AR28" s="33"/>
      <c r="AS28" s="33"/>
      <c r="AT28" s="33"/>
      <c r="AU28" s="33"/>
      <c r="AV28" s="33"/>
      <c r="AW28" s="33"/>
      <c r="AX28" s="33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9"/>
        <v>0</v>
      </c>
      <c r="O29" s="11"/>
      <c r="P29" s="20">
        <f t="shared" si="1"/>
        <v>0</v>
      </c>
      <c r="Q29" s="21">
        <f t="shared" si="2"/>
        <v>0</v>
      </c>
      <c r="R29" s="21">
        <f t="shared" si="3"/>
        <v>0</v>
      </c>
      <c r="S29" s="21">
        <f t="shared" si="4"/>
        <v>0</v>
      </c>
      <c r="T29" s="21">
        <f t="shared" si="5"/>
        <v>0</v>
      </c>
      <c r="U29" s="21">
        <f t="shared" si="6"/>
        <v>0</v>
      </c>
      <c r="V29" s="20">
        <f t="shared" si="10"/>
        <v>0</v>
      </c>
      <c r="W29" s="18">
        <f t="shared" si="0"/>
        <v>0</v>
      </c>
      <c r="X29" s="3"/>
      <c r="Y29" s="6">
        <f t="shared" si="8"/>
        <v>0</v>
      </c>
      <c r="Z29" s="2"/>
      <c r="AA29" s="40">
        <v>0</v>
      </c>
      <c r="AB29" s="41">
        <f t="shared" si="17"/>
        <v>0.37037037037037035</v>
      </c>
      <c r="AC29" s="42">
        <v>815112.479929692</v>
      </c>
      <c r="AD29" s="43">
        <f t="shared" si="18"/>
        <v>0</v>
      </c>
      <c r="AE29" s="2"/>
      <c r="AF29" s="40">
        <v>0</v>
      </c>
      <c r="AG29" s="44">
        <f t="shared" si="20"/>
        <v>327340.1790394265</v>
      </c>
      <c r="AH29" s="42">
        <v>815112.479929692</v>
      </c>
      <c r="AI29" s="43">
        <f t="shared" si="21"/>
        <v>0</v>
      </c>
      <c r="AJ29" s="2"/>
      <c r="AK29" s="97">
        <v>20</v>
      </c>
      <c r="AL29" s="98">
        <f t="shared" si="22"/>
        <v>8.7919895586431966</v>
      </c>
      <c r="AM29" s="98">
        <f t="shared" si="13"/>
        <v>6.468437210087961</v>
      </c>
      <c r="AN29" s="99">
        <f t="shared" si="11"/>
        <v>0.81084407869556718</v>
      </c>
      <c r="AO29" s="99">
        <f t="shared" si="12"/>
        <v>15.310093212532999</v>
      </c>
      <c r="AP29" s="99">
        <f t="shared" si="14"/>
        <v>5.9274008395294713</v>
      </c>
      <c r="AQ29" s="106">
        <f t="shared" si="15"/>
        <v>-6.4684372100879326</v>
      </c>
      <c r="AR29" s="33"/>
      <c r="AS29" s="33"/>
      <c r="AT29" s="33"/>
      <c r="AU29" s="33"/>
      <c r="AV29" s="33"/>
      <c r="AW29" s="33"/>
      <c r="AX29" s="33"/>
    </row>
    <row r="30" spans="1:50" ht="15.75" customHeight="1" x14ac:dyDescent="0.25">
      <c r="A30" s="7" t="s">
        <v>87</v>
      </c>
      <c r="B30" s="8"/>
      <c r="C30" s="8"/>
      <c r="D30" s="8"/>
      <c r="E30" s="10" t="s">
        <v>88</v>
      </c>
      <c r="F30" s="8"/>
      <c r="G30" s="8"/>
      <c r="H30" s="8"/>
      <c r="I30" s="10" t="s">
        <v>89</v>
      </c>
      <c r="J30" s="45"/>
      <c r="K30" s="8"/>
      <c r="L30" s="9"/>
      <c r="M30" s="2"/>
      <c r="N30" s="11">
        <f t="shared" si="9"/>
        <v>0</v>
      </c>
      <c r="O30" s="11"/>
      <c r="P30" s="20">
        <f t="shared" si="1"/>
        <v>0</v>
      </c>
      <c r="Q30" s="21">
        <f t="shared" si="2"/>
        <v>0</v>
      </c>
      <c r="R30" s="21">
        <f t="shared" si="3"/>
        <v>0</v>
      </c>
      <c r="S30" s="21">
        <f t="shared" si="4"/>
        <v>0</v>
      </c>
      <c r="T30" s="21">
        <f t="shared" si="5"/>
        <v>0</v>
      </c>
      <c r="U30" s="21">
        <f t="shared" si="6"/>
        <v>0</v>
      </c>
      <c r="V30" s="20">
        <f t="shared" si="10"/>
        <v>0</v>
      </c>
      <c r="W30" s="18">
        <f t="shared" si="0"/>
        <v>0</v>
      </c>
      <c r="X30" s="3"/>
      <c r="Y30" s="6">
        <f t="shared" si="8"/>
        <v>0</v>
      </c>
      <c r="Z30" s="2"/>
      <c r="AA30" s="26">
        <f t="shared" ref="AA30:AA34" si="23">AA29+10</f>
        <v>10</v>
      </c>
      <c r="AB30" s="28">
        <f t="shared" si="17"/>
        <v>0.40740740740740744</v>
      </c>
      <c r="AC30" s="29">
        <v>841474.99940761365</v>
      </c>
      <c r="AD30" s="34">
        <f t="shared" si="18"/>
        <v>3.2342186050440023</v>
      </c>
      <c r="AE30" s="2"/>
      <c r="AF30" s="26">
        <f t="shared" ref="AF30:AF34" si="24">AF29+10</f>
        <v>10</v>
      </c>
      <c r="AG30" s="30">
        <f t="shared" si="20"/>
        <v>360074.19694336917</v>
      </c>
      <c r="AH30" s="29">
        <v>850944.78199299995</v>
      </c>
      <c r="AI30" s="34">
        <f t="shared" si="21"/>
        <v>4.395994779321585</v>
      </c>
      <c r="AJ30" s="2"/>
      <c r="AK30" s="97">
        <v>30</v>
      </c>
      <c r="AL30" s="98">
        <f t="shared" si="22"/>
        <v>13.187984337964725</v>
      </c>
      <c r="AM30" s="98">
        <f t="shared" si="13"/>
        <v>9.7026558151319211</v>
      </c>
      <c r="AN30" s="99">
        <f t="shared" si="11"/>
        <v>1.2162661180433723</v>
      </c>
      <c r="AO30" s="99">
        <f t="shared" si="12"/>
        <v>21.624582443858348</v>
      </c>
      <c r="AP30" s="99">
        <f t="shared" si="14"/>
        <v>8.8911012592942278</v>
      </c>
      <c r="AQ30" s="106">
        <f t="shared" si="15"/>
        <v>-9.7026558151319051</v>
      </c>
      <c r="AR30" s="33"/>
      <c r="AS30" s="33"/>
      <c r="AT30" s="33"/>
      <c r="AU30" s="33"/>
      <c r="AV30" s="33"/>
      <c r="AW30" s="33"/>
      <c r="AX30" s="33"/>
    </row>
    <row r="31" spans="1:50" ht="15.75" customHeight="1" x14ac:dyDescent="0.25">
      <c r="A31" s="24" t="s">
        <v>151</v>
      </c>
      <c r="B31" s="6">
        <f t="shared" ref="B31:B32" si="25">IF(B11=0,0,-(B11/100)*$B$50)</f>
        <v>0</v>
      </c>
      <c r="C31" s="2" t="s">
        <v>3</v>
      </c>
      <c r="D31" s="2"/>
      <c r="E31" s="16" t="s">
        <v>90</v>
      </c>
      <c r="F31" s="23">
        <f>(J21/100)*B52</f>
        <v>98202.053711827946</v>
      </c>
      <c r="G31" s="2" t="s">
        <v>3</v>
      </c>
      <c r="H31" s="2"/>
      <c r="I31" s="16" t="s">
        <v>91</v>
      </c>
      <c r="J31" s="33">
        <f>ROUNDDOWN(J11/(F13/J12),0)</f>
        <v>11</v>
      </c>
      <c r="K31" s="2" t="s">
        <v>51</v>
      </c>
      <c r="L31" s="15"/>
      <c r="M31" s="2"/>
      <c r="N31" s="11">
        <f t="shared" si="9"/>
        <v>0</v>
      </c>
      <c r="O31" s="11"/>
      <c r="P31" s="20">
        <f t="shared" si="1"/>
        <v>0</v>
      </c>
      <c r="Q31" s="21">
        <f t="shared" si="2"/>
        <v>0</v>
      </c>
      <c r="R31" s="21">
        <f t="shared" si="3"/>
        <v>0</v>
      </c>
      <c r="S31" s="21">
        <f t="shared" si="4"/>
        <v>0</v>
      </c>
      <c r="T31" s="21">
        <f t="shared" si="5"/>
        <v>0</v>
      </c>
      <c r="U31" s="21">
        <f t="shared" si="6"/>
        <v>0</v>
      </c>
      <c r="V31" s="20">
        <f t="shared" si="10"/>
        <v>0</v>
      </c>
      <c r="W31" s="18">
        <f t="shared" si="0"/>
        <v>0</v>
      </c>
      <c r="X31" s="3"/>
      <c r="Y31" s="6">
        <f t="shared" si="8"/>
        <v>0</v>
      </c>
      <c r="Z31" s="2"/>
      <c r="AA31" s="26">
        <f t="shared" si="23"/>
        <v>20</v>
      </c>
      <c r="AB31" s="28">
        <f t="shared" si="17"/>
        <v>0.44444444444444442</v>
      </c>
      <c r="AC31" s="29">
        <v>867837.51888553496</v>
      </c>
      <c r="AD31" s="34">
        <f t="shared" si="18"/>
        <v>6.468437210087961</v>
      </c>
      <c r="AE31" s="2"/>
      <c r="AF31" s="26">
        <f t="shared" si="24"/>
        <v>20</v>
      </c>
      <c r="AG31" s="30">
        <f t="shared" si="20"/>
        <v>392808.21484731178</v>
      </c>
      <c r="AH31" s="29">
        <v>886777.08405630814</v>
      </c>
      <c r="AI31" s="34">
        <f t="shared" si="21"/>
        <v>8.7919895586431966</v>
      </c>
      <c r="AJ31" s="2"/>
      <c r="AK31" s="97">
        <v>40</v>
      </c>
      <c r="AL31" s="98">
        <f t="shared" si="22"/>
        <v>17.58397911728634</v>
      </c>
      <c r="AM31" s="98">
        <f t="shared" si="13"/>
        <v>12.936874420175922</v>
      </c>
      <c r="AN31" s="99">
        <f t="shared" si="11"/>
        <v>1.621688157391163</v>
      </c>
      <c r="AO31" s="99">
        <f t="shared" si="12"/>
        <v>27.943734483444338</v>
      </c>
      <c r="AP31" s="99">
        <f t="shared" si="14"/>
        <v>11.854801679058943</v>
      </c>
      <c r="AQ31" s="106">
        <f t="shared" si="15"/>
        <v>-12.936874420175851</v>
      </c>
      <c r="AR31" s="33"/>
      <c r="AS31" s="33"/>
      <c r="AT31" s="33"/>
      <c r="AU31" s="33"/>
      <c r="AV31" s="33"/>
      <c r="AW31" s="33"/>
      <c r="AX31" s="33"/>
    </row>
    <row r="32" spans="1:50" ht="15.75" customHeight="1" x14ac:dyDescent="0.25">
      <c r="A32" s="24" t="s">
        <v>42</v>
      </c>
      <c r="B32" s="6">
        <f t="shared" si="25"/>
        <v>0</v>
      </c>
      <c r="C32" s="2" t="s">
        <v>3</v>
      </c>
      <c r="D32" s="2"/>
      <c r="E32" s="16" t="s">
        <v>92</v>
      </c>
      <c r="F32" s="6">
        <f>B52-F31</f>
        <v>229138.12532759854</v>
      </c>
      <c r="G32" s="2" t="s">
        <v>3</v>
      </c>
      <c r="H32" s="2"/>
      <c r="I32" s="16" t="s">
        <v>61</v>
      </c>
      <c r="J32" s="76">
        <f>IF(J24="Yes",SUM(F50:F51),0)</f>
        <v>0</v>
      </c>
      <c r="K32" s="2" t="s">
        <v>47</v>
      </c>
      <c r="L32" s="15"/>
      <c r="M32" s="2"/>
      <c r="N32" s="11">
        <f t="shared" si="9"/>
        <v>0</v>
      </c>
      <c r="O32" s="11"/>
      <c r="P32" s="20">
        <f t="shared" si="1"/>
        <v>0</v>
      </c>
      <c r="Q32" s="21">
        <f t="shared" si="2"/>
        <v>0</v>
      </c>
      <c r="R32" s="21">
        <f t="shared" si="3"/>
        <v>0</v>
      </c>
      <c r="S32" s="21">
        <f t="shared" si="4"/>
        <v>0</v>
      </c>
      <c r="T32" s="21">
        <f t="shared" si="5"/>
        <v>0</v>
      </c>
      <c r="U32" s="21">
        <f t="shared" si="6"/>
        <v>0</v>
      </c>
      <c r="V32" s="20">
        <f t="shared" si="10"/>
        <v>0</v>
      </c>
      <c r="W32" s="18">
        <f t="shared" si="0"/>
        <v>0</v>
      </c>
      <c r="X32" s="3"/>
      <c r="Y32" s="6">
        <f t="shared" si="8"/>
        <v>0</v>
      </c>
      <c r="Z32" s="2"/>
      <c r="AA32" s="26">
        <f t="shared" si="23"/>
        <v>30</v>
      </c>
      <c r="AB32" s="28">
        <f t="shared" si="17"/>
        <v>0.48148148148148145</v>
      </c>
      <c r="AC32" s="29">
        <v>894200.03836345626</v>
      </c>
      <c r="AD32" s="34">
        <f t="shared" si="18"/>
        <v>9.7026558151319211</v>
      </c>
      <c r="AE32" s="2"/>
      <c r="AF32" s="26">
        <f t="shared" si="24"/>
        <v>30</v>
      </c>
      <c r="AG32" s="30">
        <f t="shared" si="20"/>
        <v>425542.23275125446</v>
      </c>
      <c r="AH32" s="29">
        <v>922609.38611961564</v>
      </c>
      <c r="AI32" s="34">
        <f t="shared" si="21"/>
        <v>13.187984337964725</v>
      </c>
      <c r="AJ32" s="2"/>
      <c r="AK32" s="97">
        <v>50</v>
      </c>
      <c r="AL32" s="98">
        <f t="shared" si="22"/>
        <v>21.97997389660792</v>
      </c>
      <c r="AM32" s="98">
        <f t="shared" si="13"/>
        <v>16.171093025219896</v>
      </c>
      <c r="AN32" s="99">
        <f t="shared" si="11"/>
        <v>2.0271101967389393</v>
      </c>
      <c r="AO32" s="99">
        <f t="shared" si="12"/>
        <v>34.141653508253057</v>
      </c>
      <c r="AP32" s="99">
        <f t="shared" si="14"/>
        <v>14.818502098823672</v>
      </c>
      <c r="AQ32" s="106">
        <f t="shared" si="15"/>
        <v>-16.171093025219836</v>
      </c>
      <c r="AR32" s="33"/>
      <c r="AS32" s="33"/>
      <c r="AT32" s="33"/>
      <c r="AU32" s="33"/>
      <c r="AV32" s="33"/>
      <c r="AW32" s="33"/>
      <c r="AX32" s="33"/>
    </row>
    <row r="33" spans="1:50" ht="15.75" customHeight="1" x14ac:dyDescent="0.25">
      <c r="A33" s="24" t="s">
        <v>48</v>
      </c>
      <c r="B33" s="6">
        <f>IF(B13=0,0,(B13/100)*($B$49))</f>
        <v>20234.128860215053</v>
      </c>
      <c r="C33" s="2" t="s">
        <v>3</v>
      </c>
      <c r="D33" s="2"/>
      <c r="E33" s="16" t="s">
        <v>93</v>
      </c>
      <c r="F33" s="23">
        <f>F32*(F20/100)*J20</f>
        <v>63012.984465089598</v>
      </c>
      <c r="G33" s="2" t="s">
        <v>3</v>
      </c>
      <c r="H33" s="2"/>
      <c r="I33" s="2"/>
      <c r="J33" s="2"/>
      <c r="K33" s="2"/>
      <c r="L33" s="15"/>
      <c r="M33" s="2"/>
      <c r="N33" s="11">
        <f t="shared" si="9"/>
        <v>0</v>
      </c>
      <c r="O33" s="11"/>
      <c r="P33" s="20">
        <f t="shared" si="1"/>
        <v>0</v>
      </c>
      <c r="Q33" s="21">
        <f t="shared" si="2"/>
        <v>0</v>
      </c>
      <c r="R33" s="21">
        <f t="shared" si="3"/>
        <v>0</v>
      </c>
      <c r="S33" s="21">
        <f t="shared" si="4"/>
        <v>0</v>
      </c>
      <c r="T33" s="21">
        <f t="shared" si="5"/>
        <v>0</v>
      </c>
      <c r="U33" s="21">
        <f t="shared" si="6"/>
        <v>0</v>
      </c>
      <c r="V33" s="20">
        <f t="shared" si="10"/>
        <v>0</v>
      </c>
      <c r="W33" s="18">
        <f t="shared" si="0"/>
        <v>0</v>
      </c>
      <c r="X33" s="3"/>
      <c r="Y33" s="6">
        <f t="shared" si="8"/>
        <v>0</v>
      </c>
      <c r="Z33" s="2"/>
      <c r="AA33" s="26">
        <f t="shared" si="23"/>
        <v>40</v>
      </c>
      <c r="AB33" s="28">
        <f t="shared" si="17"/>
        <v>0.51851851851851849</v>
      </c>
      <c r="AC33" s="29">
        <v>920562.55784137791</v>
      </c>
      <c r="AD33" s="34">
        <f t="shared" si="18"/>
        <v>12.936874420175922</v>
      </c>
      <c r="AE33" s="2"/>
      <c r="AF33" s="26">
        <f t="shared" si="24"/>
        <v>40</v>
      </c>
      <c r="AG33" s="30">
        <f t="shared" si="20"/>
        <v>458276.25065519707</v>
      </c>
      <c r="AH33" s="29">
        <v>958441.68818292383</v>
      </c>
      <c r="AI33" s="34">
        <f t="shared" si="21"/>
        <v>17.58397911728634</v>
      </c>
      <c r="AJ33" s="2"/>
      <c r="AK33" s="27"/>
      <c r="AL33" s="31"/>
      <c r="AM33" s="32"/>
      <c r="AN33" s="35"/>
      <c r="AO33" s="2"/>
      <c r="AP33" s="33"/>
      <c r="AQ33" s="33"/>
      <c r="AR33" s="33"/>
      <c r="AS33" s="33"/>
      <c r="AT33" s="33"/>
      <c r="AU33" s="33"/>
      <c r="AV33" s="33"/>
      <c r="AW33" s="33"/>
      <c r="AX33" s="33"/>
    </row>
    <row r="34" spans="1:50" ht="15.75" customHeight="1" x14ac:dyDescent="0.25">
      <c r="A34" s="24" t="s">
        <v>94</v>
      </c>
      <c r="B34" s="14">
        <f>IF(B15=0,0,(B15/B8))</f>
        <v>259.25925925925924</v>
      </c>
      <c r="C34" s="2" t="s">
        <v>3</v>
      </c>
      <c r="D34" s="2"/>
      <c r="E34" s="2"/>
      <c r="F34" s="33"/>
      <c r="G34" s="2"/>
      <c r="H34" s="2"/>
      <c r="I34" s="16" t="s">
        <v>95</v>
      </c>
      <c r="J34" s="6">
        <f>F13*B5</f>
        <v>850000</v>
      </c>
      <c r="K34" s="2" t="s">
        <v>96</v>
      </c>
      <c r="L34" s="15"/>
      <c r="M34" s="2"/>
      <c r="N34" s="11">
        <f t="shared" si="9"/>
        <v>0</v>
      </c>
      <c r="O34" s="11"/>
      <c r="P34" s="20">
        <f t="shared" si="1"/>
        <v>0</v>
      </c>
      <c r="Q34" s="21">
        <f t="shared" si="2"/>
        <v>0</v>
      </c>
      <c r="R34" s="21">
        <f t="shared" si="3"/>
        <v>0</v>
      </c>
      <c r="S34" s="21">
        <f t="shared" si="4"/>
        <v>0</v>
      </c>
      <c r="T34" s="21">
        <f t="shared" si="5"/>
        <v>0</v>
      </c>
      <c r="U34" s="21">
        <f t="shared" si="6"/>
        <v>0</v>
      </c>
      <c r="V34" s="20">
        <f t="shared" si="10"/>
        <v>0</v>
      </c>
      <c r="W34" s="18">
        <f t="shared" si="0"/>
        <v>0</v>
      </c>
      <c r="X34" s="3"/>
      <c r="Y34" s="6">
        <f t="shared" si="8"/>
        <v>0</v>
      </c>
      <c r="Z34" s="2"/>
      <c r="AA34" s="26">
        <f t="shared" si="23"/>
        <v>50</v>
      </c>
      <c r="AB34" s="28">
        <f t="shared" si="17"/>
        <v>0.55555555555555558</v>
      </c>
      <c r="AC34" s="29">
        <v>946925.07731929934</v>
      </c>
      <c r="AD34" s="34">
        <f t="shared" si="18"/>
        <v>16.171093025219896</v>
      </c>
      <c r="AE34" s="2"/>
      <c r="AF34" s="26">
        <f t="shared" si="24"/>
        <v>50</v>
      </c>
      <c r="AG34" s="30">
        <f t="shared" si="20"/>
        <v>491010.26855913975</v>
      </c>
      <c r="AH34" s="29">
        <v>994273.99024623178</v>
      </c>
      <c r="AI34" s="34">
        <f t="shared" si="21"/>
        <v>21.97997389660792</v>
      </c>
      <c r="AJ34" s="2"/>
      <c r="AK34" s="27"/>
      <c r="AL34" s="31"/>
      <c r="AM34" s="32"/>
      <c r="AN34" s="35"/>
      <c r="AO34" s="2"/>
      <c r="AP34" s="33"/>
      <c r="AQ34" s="33"/>
      <c r="AR34" s="33"/>
      <c r="AS34" s="33"/>
      <c r="AT34" s="33"/>
      <c r="AU34" s="33"/>
      <c r="AV34" s="33"/>
      <c r="AW34" s="33"/>
      <c r="AX34" s="33"/>
    </row>
    <row r="35" spans="1:50" ht="15.75" customHeight="1" x14ac:dyDescent="0.25">
      <c r="A35" s="24" t="s">
        <v>60</v>
      </c>
      <c r="B35" s="6">
        <f>(B16%*J8)/B8</f>
        <v>10935.483870967739</v>
      </c>
      <c r="C35" s="2" t="s">
        <v>3</v>
      </c>
      <c r="D35" s="2"/>
      <c r="E35" s="1" t="s">
        <v>97</v>
      </c>
      <c r="F35" s="2"/>
      <c r="G35" s="2"/>
      <c r="H35" s="2"/>
      <c r="I35" s="2"/>
      <c r="J35" s="2"/>
      <c r="K35" s="2"/>
      <c r="L35" s="15"/>
      <c r="M35" s="2"/>
      <c r="N35" s="11">
        <f t="shared" si="9"/>
        <v>0</v>
      </c>
      <c r="O35" s="11"/>
      <c r="P35" s="20">
        <f t="shared" si="1"/>
        <v>0</v>
      </c>
      <c r="Q35" s="21">
        <f t="shared" si="2"/>
        <v>0</v>
      </c>
      <c r="R35" s="21">
        <f t="shared" si="3"/>
        <v>0</v>
      </c>
      <c r="S35" s="21">
        <f t="shared" si="4"/>
        <v>0</v>
      </c>
      <c r="T35" s="21">
        <f t="shared" si="5"/>
        <v>0</v>
      </c>
      <c r="U35" s="21">
        <f t="shared" si="6"/>
        <v>0</v>
      </c>
      <c r="V35" s="20">
        <f t="shared" si="10"/>
        <v>0</v>
      </c>
      <c r="W35" s="18">
        <f t="shared" si="0"/>
        <v>0</v>
      </c>
      <c r="X35" s="3"/>
      <c r="Y35" s="6">
        <f t="shared" si="8"/>
        <v>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4" t="s">
        <v>64</v>
      </c>
      <c r="B36" s="6">
        <f>B17/B8</f>
        <v>53334.074074074073</v>
      </c>
      <c r="C36" s="2" t="s">
        <v>3</v>
      </c>
      <c r="D36" s="2"/>
      <c r="E36" s="16" t="s">
        <v>29</v>
      </c>
      <c r="F36" s="14">
        <f>F14/$B$8</f>
        <v>0.37037037037037035</v>
      </c>
      <c r="G36" s="2" t="s">
        <v>30</v>
      </c>
      <c r="H36" s="2"/>
      <c r="I36" s="2"/>
      <c r="J36" s="2"/>
      <c r="K36" s="2"/>
      <c r="L36" s="15"/>
      <c r="M36" s="2"/>
      <c r="N36" s="11">
        <f t="shared" si="9"/>
        <v>0</v>
      </c>
      <c r="O36" s="11"/>
      <c r="P36" s="20">
        <f t="shared" si="1"/>
        <v>0</v>
      </c>
      <c r="Q36" s="21">
        <f t="shared" si="2"/>
        <v>0</v>
      </c>
      <c r="R36" s="21">
        <f t="shared" si="3"/>
        <v>0</v>
      </c>
      <c r="S36" s="21">
        <f t="shared" si="4"/>
        <v>0</v>
      </c>
      <c r="T36" s="21">
        <f t="shared" si="5"/>
        <v>0</v>
      </c>
      <c r="U36" s="21">
        <f t="shared" si="6"/>
        <v>0</v>
      </c>
      <c r="V36" s="20">
        <f t="shared" si="10"/>
        <v>0</v>
      </c>
      <c r="W36" s="18">
        <f t="shared" si="0"/>
        <v>0</v>
      </c>
      <c r="X36" s="3"/>
      <c r="Y36" s="6">
        <f t="shared" si="8"/>
        <v>0</v>
      </c>
      <c r="Z36" s="2"/>
      <c r="AA36" s="25" t="s">
        <v>32</v>
      </c>
      <c r="AB36" s="26"/>
      <c r="AC36" s="26"/>
      <c r="AD36" s="26"/>
      <c r="AE36" s="2"/>
      <c r="AF36" s="25" t="s">
        <v>98</v>
      </c>
      <c r="AG36" s="26"/>
      <c r="AH36" s="26"/>
      <c r="AI36" s="26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4" t="s">
        <v>68</v>
      </c>
      <c r="B37" s="6">
        <f>B18/B8</f>
        <v>-11111.111111111109</v>
      </c>
      <c r="C37" s="2" t="s">
        <v>3</v>
      </c>
      <c r="D37" s="2"/>
      <c r="E37" s="16" t="s">
        <v>99</v>
      </c>
      <c r="F37" s="6">
        <f>(F18/((1-J14%)*J10))/B8</f>
        <v>0</v>
      </c>
      <c r="G37" s="2" t="s">
        <v>30</v>
      </c>
      <c r="H37" s="2"/>
      <c r="I37" s="1" t="s">
        <v>100</v>
      </c>
      <c r="J37" s="46">
        <f>SUM(J38:J45)</f>
        <v>33447.851851851854</v>
      </c>
      <c r="K37" s="1" t="s">
        <v>47</v>
      </c>
      <c r="L37" s="15"/>
      <c r="M37" s="2"/>
      <c r="N37" s="11">
        <f t="shared" si="9"/>
        <v>0</v>
      </c>
      <c r="O37" s="11"/>
      <c r="P37" s="20">
        <f t="shared" si="1"/>
        <v>0</v>
      </c>
      <c r="Q37" s="21">
        <f t="shared" si="2"/>
        <v>0</v>
      </c>
      <c r="R37" s="21">
        <f t="shared" si="3"/>
        <v>0</v>
      </c>
      <c r="S37" s="21">
        <f t="shared" si="4"/>
        <v>0</v>
      </c>
      <c r="T37" s="21">
        <f t="shared" si="5"/>
        <v>0</v>
      </c>
      <c r="U37" s="21">
        <f t="shared" si="6"/>
        <v>0</v>
      </c>
      <c r="V37" s="20">
        <f t="shared" si="10"/>
        <v>0</v>
      </c>
      <c r="W37" s="18">
        <f>SUM(O37:V37)</f>
        <v>0</v>
      </c>
      <c r="X37" s="3"/>
      <c r="Y37" s="6">
        <f t="shared" si="8"/>
        <v>0</v>
      </c>
      <c r="Z37" s="2"/>
      <c r="AA37" s="26" t="s">
        <v>77</v>
      </c>
      <c r="AB37" s="26" t="s">
        <v>101</v>
      </c>
      <c r="AC37" s="26" t="s">
        <v>22</v>
      </c>
      <c r="AD37" s="26" t="s">
        <v>79</v>
      </c>
      <c r="AE37" s="2"/>
      <c r="AF37" s="26" t="s">
        <v>77</v>
      </c>
      <c r="AG37" s="26" t="s">
        <v>102</v>
      </c>
      <c r="AH37" s="26" t="s">
        <v>22</v>
      </c>
      <c r="AI37" s="26" t="s">
        <v>79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4" t="s">
        <v>71</v>
      </c>
      <c r="B38" s="6">
        <f>IF(B19=0,0,(B19/B8))</f>
        <v>20.99259259259259</v>
      </c>
      <c r="C38" s="2" t="s">
        <v>3</v>
      </c>
      <c r="D38" s="2"/>
      <c r="E38" s="16" t="s">
        <v>103</v>
      </c>
      <c r="F38" s="47">
        <f>F36*J17</f>
        <v>0.36666666666666664</v>
      </c>
      <c r="G38" s="2" t="s">
        <v>4</v>
      </c>
      <c r="H38" s="2"/>
      <c r="I38" s="16" t="s">
        <v>74</v>
      </c>
      <c r="J38" s="14">
        <f t="shared" ref="J38:J43" si="26">F21/$B$8</f>
        <v>74.074074074074076</v>
      </c>
      <c r="K38" s="2" t="s">
        <v>47</v>
      </c>
      <c r="L38" s="15"/>
      <c r="M38" s="2"/>
      <c r="N38" s="11">
        <f t="shared" si="9"/>
        <v>0</v>
      </c>
      <c r="O38" s="11"/>
      <c r="P38" s="20">
        <f t="shared" si="1"/>
        <v>0</v>
      </c>
      <c r="Q38" s="21">
        <f t="shared" si="2"/>
        <v>0</v>
      </c>
      <c r="R38" s="21">
        <f t="shared" si="3"/>
        <v>0</v>
      </c>
      <c r="S38" s="21">
        <f t="shared" si="4"/>
        <v>0</v>
      </c>
      <c r="T38" s="21">
        <f t="shared" si="5"/>
        <v>0</v>
      </c>
      <c r="U38" s="21">
        <f t="shared" si="6"/>
        <v>0</v>
      </c>
      <c r="V38" s="20">
        <f t="shared" si="10"/>
        <v>0</v>
      </c>
      <c r="W38" s="18">
        <f>SUM(O38:V38)</f>
        <v>0</v>
      </c>
      <c r="X38" s="3"/>
      <c r="Y38" s="6">
        <f t="shared" si="8"/>
        <v>0</v>
      </c>
      <c r="Z38" s="2"/>
      <c r="AA38" s="26" t="s">
        <v>82</v>
      </c>
      <c r="AB38" s="30">
        <v>34013.466666666667</v>
      </c>
      <c r="AC38" s="29">
        <f>W49</f>
        <v>815112.479929692</v>
      </c>
      <c r="AD38" s="26"/>
      <c r="AE38" s="2"/>
      <c r="AF38" s="26" t="s">
        <v>82</v>
      </c>
      <c r="AG38" s="30">
        <v>85000</v>
      </c>
      <c r="AH38" s="29">
        <f>W49</f>
        <v>815112.479929692</v>
      </c>
      <c r="AI38" s="26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4" t="s">
        <v>72</v>
      </c>
      <c r="B39" s="6">
        <f>IF(B20=0,0,(B20/B8))</f>
        <v>740.74074074074065</v>
      </c>
      <c r="C39" s="2" t="s">
        <v>3</v>
      </c>
      <c r="D39" s="2"/>
      <c r="E39" s="2"/>
      <c r="F39" s="2"/>
      <c r="G39" s="2"/>
      <c r="H39" s="2"/>
      <c r="I39" s="16" t="s">
        <v>75</v>
      </c>
      <c r="J39" s="14">
        <f t="shared" si="26"/>
        <v>242.2222222222222</v>
      </c>
      <c r="K39" s="2" t="s">
        <v>47</v>
      </c>
      <c r="L39" s="15"/>
      <c r="M39" s="2"/>
      <c r="N39" s="11">
        <f t="shared" si="9"/>
        <v>0</v>
      </c>
      <c r="O39" s="11"/>
      <c r="P39" s="20">
        <f t="shared" si="1"/>
        <v>0</v>
      </c>
      <c r="Q39" s="21">
        <f t="shared" si="2"/>
        <v>0</v>
      </c>
      <c r="R39" s="21">
        <f t="shared" si="3"/>
        <v>0</v>
      </c>
      <c r="S39" s="21">
        <f t="shared" si="4"/>
        <v>0</v>
      </c>
      <c r="T39" s="21">
        <f t="shared" si="5"/>
        <v>0</v>
      </c>
      <c r="U39" s="21">
        <f t="shared" si="6"/>
        <v>0</v>
      </c>
      <c r="V39" s="20">
        <f t="shared" si="10"/>
        <v>0</v>
      </c>
      <c r="W39" s="18">
        <f t="shared" si="0"/>
        <v>0</v>
      </c>
      <c r="X39" s="3"/>
      <c r="Y39" s="6">
        <f t="shared" si="8"/>
        <v>0</v>
      </c>
      <c r="Z39" s="2"/>
      <c r="AA39" s="26">
        <f t="shared" ref="AA39:AA43" si="27">AA40-10</f>
        <v>-50</v>
      </c>
      <c r="AB39" s="30">
        <f t="shared" ref="AB39:AB49" si="28">$AB$38*(1+(AA39/100))</f>
        <v>17006.733333333334</v>
      </c>
      <c r="AC39" s="29">
        <f t="dataTable" ref="AC39:AC49" dt2D="0" dtr="0" r1="B48" ca="1"/>
        <v>798589.25173414557</v>
      </c>
      <c r="AD39" s="34">
        <f>100*((AC39-$AC$44)/$AC$44)</f>
        <v>-2.0271101967389393</v>
      </c>
      <c r="AE39" s="2"/>
      <c r="AF39" s="26">
        <f t="shared" ref="AF39:AF43" si="29">AF40-10</f>
        <v>-50</v>
      </c>
      <c r="AG39" s="30">
        <f t="shared" ref="AG39:AG49" si="30">$AG$38*(1+(AF39/100))</f>
        <v>42500</v>
      </c>
      <c r="AH39" s="29">
        <f t="dataTable" ref="AH39:AH49" dt2D="0" dtr="0" r1="F13" ca="1"/>
        <v>562512.4225939298</v>
      </c>
      <c r="AI39" s="34">
        <f t="shared" ref="AI39:AI49" si="31">100*((AH39-$AH$44)/$AH$44)</f>
        <v>-30.989595124043539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16" t="s">
        <v>104</v>
      </c>
      <c r="F40" s="14">
        <f>F37*F13*J17</f>
        <v>0</v>
      </c>
      <c r="G40" s="2" t="s">
        <v>47</v>
      </c>
      <c r="H40" s="2"/>
      <c r="I40" s="16" t="s">
        <v>161</v>
      </c>
      <c r="J40" s="14">
        <f t="shared" si="26"/>
        <v>64.592592592592595</v>
      </c>
      <c r="K40" s="2" t="s">
        <v>47</v>
      </c>
      <c r="L40" s="15"/>
      <c r="M40" s="2"/>
      <c r="N40" s="11">
        <f t="shared" si="9"/>
        <v>0</v>
      </c>
      <c r="O40" s="11"/>
      <c r="P40" s="20">
        <f t="shared" si="1"/>
        <v>0</v>
      </c>
      <c r="Q40" s="21">
        <f t="shared" si="2"/>
        <v>0</v>
      </c>
      <c r="R40" s="21">
        <f t="shared" si="3"/>
        <v>0</v>
      </c>
      <c r="S40" s="21">
        <f t="shared" si="4"/>
        <v>0</v>
      </c>
      <c r="T40" s="21">
        <f t="shared" si="5"/>
        <v>0</v>
      </c>
      <c r="U40" s="21">
        <f t="shared" si="6"/>
        <v>0</v>
      </c>
      <c r="V40" s="20">
        <f t="shared" si="10"/>
        <v>0</v>
      </c>
      <c r="W40" s="18">
        <f t="shared" si="0"/>
        <v>0</v>
      </c>
      <c r="X40" s="3"/>
      <c r="Y40" s="6">
        <f t="shared" si="8"/>
        <v>0</v>
      </c>
      <c r="Z40" s="2"/>
      <c r="AA40" s="26">
        <f t="shared" si="27"/>
        <v>-40</v>
      </c>
      <c r="AB40" s="30">
        <f t="shared" si="28"/>
        <v>20408.079999999998</v>
      </c>
      <c r="AC40" s="29">
        <v>801893.89737325511</v>
      </c>
      <c r="AD40" s="34">
        <f t="shared" ref="AD40:AD49" si="32">100*((AC40-$AC$29)/$AC$29)</f>
        <v>-1.6216881573911202</v>
      </c>
      <c r="AE40" s="2"/>
      <c r="AF40" s="26">
        <f t="shared" si="29"/>
        <v>-40</v>
      </c>
      <c r="AG40" s="30">
        <f t="shared" si="30"/>
        <v>51000</v>
      </c>
      <c r="AH40" s="29">
        <v>613032.43406108243</v>
      </c>
      <c r="AI40" s="34">
        <f t="shared" si="31"/>
        <v>-24.79167609923481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16" t="s">
        <v>105</v>
      </c>
      <c r="F41" s="33">
        <f>F38*F13</f>
        <v>31166.666666666664</v>
      </c>
      <c r="G41" s="48" t="s">
        <v>47</v>
      </c>
      <c r="H41" s="2"/>
      <c r="I41" s="16" t="s">
        <v>159</v>
      </c>
      <c r="J41" s="14">
        <f t="shared" si="26"/>
        <v>2222.2222222222222</v>
      </c>
      <c r="K41" s="2" t="s">
        <v>47</v>
      </c>
      <c r="L41" s="15"/>
      <c r="M41" s="2"/>
      <c r="N41" s="11">
        <f t="shared" si="9"/>
        <v>0</v>
      </c>
      <c r="O41" s="11"/>
      <c r="P41" s="20">
        <f t="shared" si="1"/>
        <v>0</v>
      </c>
      <c r="Q41" s="21">
        <f t="shared" si="2"/>
        <v>0</v>
      </c>
      <c r="R41" s="21">
        <f t="shared" si="3"/>
        <v>0</v>
      </c>
      <c r="S41" s="21">
        <f t="shared" si="4"/>
        <v>0</v>
      </c>
      <c r="T41" s="21">
        <f t="shared" si="5"/>
        <v>0</v>
      </c>
      <c r="U41" s="21">
        <f t="shared" si="6"/>
        <v>0</v>
      </c>
      <c r="V41" s="20">
        <f t="shared" si="10"/>
        <v>0</v>
      </c>
      <c r="W41" s="18">
        <f t="shared" si="0"/>
        <v>0</v>
      </c>
      <c r="X41" s="3"/>
      <c r="Y41" s="6">
        <f t="shared" si="8"/>
        <v>0</v>
      </c>
      <c r="Z41" s="2"/>
      <c r="AA41" s="26">
        <f t="shared" si="27"/>
        <v>-30</v>
      </c>
      <c r="AB41" s="30">
        <f t="shared" si="28"/>
        <v>23809.426666666666</v>
      </c>
      <c r="AC41" s="29">
        <v>805198.54301236407</v>
      </c>
      <c r="AD41" s="34">
        <f t="shared" si="32"/>
        <v>-1.2162661180433723</v>
      </c>
      <c r="AE41" s="2"/>
      <c r="AF41" s="26">
        <f t="shared" si="29"/>
        <v>-30</v>
      </c>
      <c r="AG41" s="30">
        <f t="shared" si="30"/>
        <v>59499.999999999993</v>
      </c>
      <c r="AH41" s="29">
        <v>663552.44552823494</v>
      </c>
      <c r="AI41" s="34">
        <f t="shared" si="31"/>
        <v>-18.59375707442609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16" t="s">
        <v>162</v>
      </c>
      <c r="J42" s="14">
        <f t="shared" si="26"/>
        <v>0</v>
      </c>
      <c r="K42" s="2" t="s">
        <v>47</v>
      </c>
      <c r="L42" s="15"/>
      <c r="M42" s="2"/>
      <c r="N42" s="11">
        <f t="shared" si="9"/>
        <v>0</v>
      </c>
      <c r="O42" s="11"/>
      <c r="P42" s="20">
        <f t="shared" si="1"/>
        <v>0</v>
      </c>
      <c r="Q42" s="21">
        <f t="shared" si="2"/>
        <v>0</v>
      </c>
      <c r="R42" s="21">
        <f t="shared" si="3"/>
        <v>0</v>
      </c>
      <c r="S42" s="21">
        <f t="shared" si="4"/>
        <v>0</v>
      </c>
      <c r="T42" s="21">
        <f t="shared" si="5"/>
        <v>0</v>
      </c>
      <c r="U42" s="21">
        <f t="shared" si="6"/>
        <v>0</v>
      </c>
      <c r="V42" s="20">
        <f t="shared" si="10"/>
        <v>0</v>
      </c>
      <c r="W42" s="18">
        <f t="shared" si="0"/>
        <v>0</v>
      </c>
      <c r="X42" s="3"/>
      <c r="Y42" s="6">
        <f t="shared" si="8"/>
        <v>0</v>
      </c>
      <c r="Z42" s="2"/>
      <c r="AA42" s="26">
        <f t="shared" si="27"/>
        <v>-20</v>
      </c>
      <c r="AB42" s="30">
        <f t="shared" si="28"/>
        <v>27210.773333333334</v>
      </c>
      <c r="AC42" s="29">
        <v>808503.18865147373</v>
      </c>
      <c r="AD42" s="34">
        <f t="shared" si="32"/>
        <v>-0.81084407869553865</v>
      </c>
      <c r="AE42" s="2"/>
      <c r="AF42" s="26">
        <f t="shared" si="29"/>
        <v>-20</v>
      </c>
      <c r="AG42" s="30">
        <f t="shared" si="30"/>
        <v>68000</v>
      </c>
      <c r="AH42" s="29">
        <v>714072.45699538721</v>
      </c>
      <c r="AI42" s="34">
        <f t="shared" si="31"/>
        <v>-12.395838049617405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16" t="s">
        <v>164</v>
      </c>
      <c r="J43" s="14">
        <f t="shared" si="26"/>
        <v>53.333333333333329</v>
      </c>
      <c r="K43" s="2" t="s">
        <v>47</v>
      </c>
      <c r="L43" s="15"/>
      <c r="M43" s="2"/>
      <c r="N43" s="11">
        <f t="shared" si="9"/>
        <v>0</v>
      </c>
      <c r="O43" s="11"/>
      <c r="P43" s="20">
        <f t="shared" si="1"/>
        <v>0</v>
      </c>
      <c r="Q43" s="21">
        <f t="shared" si="2"/>
        <v>0</v>
      </c>
      <c r="R43" s="21">
        <f t="shared" si="3"/>
        <v>0</v>
      </c>
      <c r="S43" s="21">
        <f t="shared" si="4"/>
        <v>0</v>
      </c>
      <c r="T43" s="21">
        <f t="shared" si="5"/>
        <v>0</v>
      </c>
      <c r="U43" s="21">
        <f t="shared" si="6"/>
        <v>0</v>
      </c>
      <c r="V43" s="20">
        <f t="shared" si="10"/>
        <v>0</v>
      </c>
      <c r="W43" s="18">
        <f t="shared" si="0"/>
        <v>0</v>
      </c>
      <c r="X43" s="3"/>
      <c r="Y43" s="6">
        <f t="shared" si="8"/>
        <v>0</v>
      </c>
      <c r="Z43" s="2"/>
      <c r="AA43" s="26">
        <f t="shared" si="27"/>
        <v>-10</v>
      </c>
      <c r="AB43" s="30">
        <f t="shared" si="28"/>
        <v>30612.120000000003</v>
      </c>
      <c r="AC43" s="29">
        <v>811807.8342905828</v>
      </c>
      <c r="AD43" s="34">
        <f t="shared" si="32"/>
        <v>-0.40542203934777649</v>
      </c>
      <c r="AE43" s="2"/>
      <c r="AF43" s="26">
        <f t="shared" si="29"/>
        <v>-10</v>
      </c>
      <c r="AG43" s="30">
        <f t="shared" si="30"/>
        <v>76500</v>
      </c>
      <c r="AH43" s="29">
        <v>764592.4684625396</v>
      </c>
      <c r="AI43" s="34">
        <f t="shared" si="31"/>
        <v>-6.1979190248087024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2" t="s">
        <v>106</v>
      </c>
      <c r="B44" s="3"/>
      <c r="C44" s="1"/>
      <c r="D44" s="2"/>
      <c r="E44" s="68" t="s">
        <v>141</v>
      </c>
      <c r="F44" s="69"/>
      <c r="G44" s="69"/>
      <c r="H44" s="2"/>
      <c r="I44" s="16" t="s">
        <v>46</v>
      </c>
      <c r="J44" s="49">
        <f>F19*F13/B8</f>
        <v>29784</v>
      </c>
      <c r="K44" s="2" t="s">
        <v>47</v>
      </c>
      <c r="L44" s="15"/>
      <c r="M44" s="2"/>
      <c r="N44" s="11">
        <f t="shared" si="9"/>
        <v>0</v>
      </c>
      <c r="O44" s="11"/>
      <c r="P44" s="20">
        <f t="shared" si="1"/>
        <v>0</v>
      </c>
      <c r="Q44" s="21">
        <f t="shared" si="2"/>
        <v>0</v>
      </c>
      <c r="R44" s="21">
        <f t="shared" si="3"/>
        <v>0</v>
      </c>
      <c r="S44" s="21">
        <f t="shared" si="4"/>
        <v>0</v>
      </c>
      <c r="T44" s="21">
        <f t="shared" si="5"/>
        <v>0</v>
      </c>
      <c r="U44" s="21">
        <f t="shared" si="6"/>
        <v>0</v>
      </c>
      <c r="V44" s="20">
        <f t="shared" si="10"/>
        <v>0</v>
      </c>
      <c r="W44" s="18">
        <f t="shared" si="0"/>
        <v>0</v>
      </c>
      <c r="X44" s="3"/>
      <c r="Y44" s="6">
        <f t="shared" si="8"/>
        <v>0</v>
      </c>
      <c r="Z44" s="2"/>
      <c r="AA44" s="40">
        <v>0</v>
      </c>
      <c r="AB44" s="44">
        <f t="shared" si="28"/>
        <v>34013.466666666667</v>
      </c>
      <c r="AC44" s="42">
        <v>815112.479929692</v>
      </c>
      <c r="AD44" s="43">
        <f t="shared" si="32"/>
        <v>0</v>
      </c>
      <c r="AE44" s="2"/>
      <c r="AF44" s="40">
        <v>0</v>
      </c>
      <c r="AG44" s="44">
        <f t="shared" si="30"/>
        <v>85000</v>
      </c>
      <c r="AH44" s="42">
        <v>815112.479929692</v>
      </c>
      <c r="AI44" s="43">
        <f t="shared" si="31"/>
        <v>0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16" t="s">
        <v>183</v>
      </c>
      <c r="B45" s="6">
        <f>J8/B8</f>
        <v>218709.67741935479</v>
      </c>
      <c r="C45" s="2" t="s">
        <v>3</v>
      </c>
      <c r="D45" s="2"/>
      <c r="E45" s="70" t="s">
        <v>142</v>
      </c>
      <c r="F45" s="71">
        <f>((1+(B14/100))*J9*J10)*(1+(B13%+B16%))</f>
        <v>143147.61803999997</v>
      </c>
      <c r="G45" s="69" t="s">
        <v>3</v>
      </c>
      <c r="H45" s="2"/>
      <c r="I45" s="16" t="s">
        <v>65</v>
      </c>
      <c r="J45" s="14">
        <f>F17/$B$8</f>
        <v>1007.4074074074074</v>
      </c>
      <c r="K45" s="2" t="s">
        <v>47</v>
      </c>
      <c r="L45" s="15"/>
      <c r="M45" s="2"/>
      <c r="N45" s="11">
        <f t="shared" si="9"/>
        <v>0</v>
      </c>
      <c r="O45" s="11"/>
      <c r="P45" s="20">
        <f t="shared" si="1"/>
        <v>0</v>
      </c>
      <c r="Q45" s="21">
        <f t="shared" si="2"/>
        <v>0</v>
      </c>
      <c r="R45" s="21">
        <f t="shared" si="3"/>
        <v>0</v>
      </c>
      <c r="S45" s="21">
        <f t="shared" si="4"/>
        <v>0</v>
      </c>
      <c r="T45" s="21">
        <f t="shared" si="5"/>
        <v>0</v>
      </c>
      <c r="U45" s="21">
        <f t="shared" si="6"/>
        <v>0</v>
      </c>
      <c r="V45" s="20">
        <f t="shared" si="10"/>
        <v>0</v>
      </c>
      <c r="W45" s="18">
        <f t="shared" si="0"/>
        <v>0</v>
      </c>
      <c r="X45" s="3"/>
      <c r="Y45" s="6">
        <f t="shared" si="8"/>
        <v>0</v>
      </c>
      <c r="Z45" s="2"/>
      <c r="AA45" s="26">
        <f t="shared" ref="AA45:AA49" si="33">AA44+10</f>
        <v>10</v>
      </c>
      <c r="AB45" s="30">
        <f t="shared" si="28"/>
        <v>37414.813333333339</v>
      </c>
      <c r="AC45" s="29">
        <v>818417.12556880154</v>
      </c>
      <c r="AD45" s="34">
        <f t="shared" si="32"/>
        <v>0.40542203934781934</v>
      </c>
      <c r="AE45" s="2"/>
      <c r="AF45" s="26">
        <f t="shared" ref="AF45:AF49" si="34">AF44+10</f>
        <v>10</v>
      </c>
      <c r="AG45" s="30">
        <f t="shared" si="30"/>
        <v>93500.000000000015</v>
      </c>
      <c r="AH45" s="29">
        <v>888473.31594484486</v>
      </c>
      <c r="AI45" s="34">
        <f t="shared" si="31"/>
        <v>9.000087450689092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16" t="s">
        <v>107</v>
      </c>
      <c r="B46" s="6">
        <f>IF(J24="No",J9*J10,0)</f>
        <v>33810</v>
      </c>
      <c r="C46" s="2" t="s">
        <v>3</v>
      </c>
      <c r="D46" s="2"/>
      <c r="E46" s="69" t="s">
        <v>143</v>
      </c>
      <c r="F46" s="71">
        <f>((J21%)*F45)+(((1-J21%)*F45)*(1+(F20%*J20)))</f>
        <v>170703.53451269996</v>
      </c>
      <c r="G46" s="69" t="s">
        <v>3</v>
      </c>
      <c r="H46" s="2"/>
      <c r="I46" s="2"/>
      <c r="J46" s="2"/>
      <c r="K46" s="2"/>
      <c r="L46" s="15"/>
      <c r="M46" s="2"/>
      <c r="N46" s="11">
        <f t="shared" si="9"/>
        <v>0</v>
      </c>
      <c r="O46" s="11"/>
      <c r="P46" s="20">
        <f t="shared" si="1"/>
        <v>0</v>
      </c>
      <c r="Q46" s="21">
        <f t="shared" si="2"/>
        <v>0</v>
      </c>
      <c r="R46" s="21">
        <f t="shared" si="3"/>
        <v>0</v>
      </c>
      <c r="S46" s="21">
        <f t="shared" si="4"/>
        <v>0</v>
      </c>
      <c r="T46" s="21">
        <f t="shared" si="5"/>
        <v>0</v>
      </c>
      <c r="U46" s="21">
        <f t="shared" si="6"/>
        <v>0</v>
      </c>
      <c r="V46" s="20">
        <f t="shared" si="10"/>
        <v>0</v>
      </c>
      <c r="W46" s="18">
        <f t="shared" si="0"/>
        <v>0</v>
      </c>
      <c r="X46" s="3"/>
      <c r="Y46" s="6">
        <f t="shared" si="8"/>
        <v>0</v>
      </c>
      <c r="Z46" s="2"/>
      <c r="AA46" s="26">
        <f t="shared" si="33"/>
        <v>20</v>
      </c>
      <c r="AB46" s="30">
        <f t="shared" si="28"/>
        <v>40816.159999999996</v>
      </c>
      <c r="AC46" s="29">
        <v>821721.7712079105</v>
      </c>
      <c r="AD46" s="34">
        <f t="shared" si="32"/>
        <v>0.81084407869556718</v>
      </c>
      <c r="AE46" s="2"/>
      <c r="AF46" s="26">
        <f t="shared" si="34"/>
        <v>20</v>
      </c>
      <c r="AG46" s="30">
        <f t="shared" si="30"/>
        <v>102000</v>
      </c>
      <c r="AH46" s="29">
        <v>939906.96039391716</v>
      </c>
      <c r="AI46" s="34">
        <f t="shared" si="31"/>
        <v>15.310093212532999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4" t="s">
        <v>108</v>
      </c>
      <c r="B47" s="23">
        <f>B45+(B14/B8)</f>
        <v>218913.14408602146</v>
      </c>
      <c r="C47" s="2" t="s">
        <v>3</v>
      </c>
      <c r="D47" s="2"/>
      <c r="E47" s="69" t="s">
        <v>91</v>
      </c>
      <c r="F47" s="71">
        <f>J12*J11</f>
        <v>940000</v>
      </c>
      <c r="G47" s="69" t="s">
        <v>96</v>
      </c>
      <c r="H47" s="2"/>
      <c r="I47" s="2"/>
      <c r="J47" s="2"/>
      <c r="K47" s="2"/>
      <c r="L47" s="15"/>
      <c r="M47" s="2"/>
      <c r="N47" s="11">
        <f t="shared" si="9"/>
        <v>0</v>
      </c>
      <c r="O47" s="11"/>
      <c r="P47" s="20">
        <f t="shared" si="1"/>
        <v>0</v>
      </c>
      <c r="Q47" s="21">
        <f t="shared" si="2"/>
        <v>0</v>
      </c>
      <c r="R47" s="21">
        <f t="shared" si="3"/>
        <v>0</v>
      </c>
      <c r="S47" s="21">
        <f t="shared" si="4"/>
        <v>0</v>
      </c>
      <c r="T47" s="21">
        <f t="shared" si="5"/>
        <v>0</v>
      </c>
      <c r="U47" s="21">
        <f t="shared" si="6"/>
        <v>0</v>
      </c>
      <c r="V47" s="20">
        <f t="shared" si="10"/>
        <v>0</v>
      </c>
      <c r="W47" s="18">
        <f t="shared" si="0"/>
        <v>0</v>
      </c>
      <c r="X47" s="3"/>
      <c r="Y47" s="6">
        <f t="shared" si="8"/>
        <v>0</v>
      </c>
      <c r="Z47" s="2"/>
      <c r="AA47" s="26">
        <f t="shared" si="33"/>
        <v>30</v>
      </c>
      <c r="AB47" s="30">
        <f t="shared" si="28"/>
        <v>44217.506666666668</v>
      </c>
      <c r="AC47" s="29">
        <v>825026.41684701992</v>
      </c>
      <c r="AD47" s="34">
        <f t="shared" si="32"/>
        <v>1.2162661180433723</v>
      </c>
      <c r="AE47" s="2"/>
      <c r="AF47" s="26">
        <f t="shared" si="34"/>
        <v>30</v>
      </c>
      <c r="AG47" s="30">
        <f t="shared" si="30"/>
        <v>110500</v>
      </c>
      <c r="AH47" s="29">
        <v>991377.15016226657</v>
      </c>
      <c r="AI47" s="34">
        <f t="shared" si="31"/>
        <v>21.624582443858348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4" t="s">
        <v>109</v>
      </c>
      <c r="B48" s="5">
        <f>B46+(B14/B8)</f>
        <v>34013.466666666667</v>
      </c>
      <c r="C48" s="2" t="s">
        <v>3</v>
      </c>
      <c r="D48" s="2"/>
      <c r="E48" s="69" t="s">
        <v>144</v>
      </c>
      <c r="F48" s="72">
        <f>(F46/F47)*J25</f>
        <v>0.23607935624096804</v>
      </c>
      <c r="G48" s="69" t="s">
        <v>4</v>
      </c>
      <c r="H48" s="2"/>
      <c r="I48" s="2"/>
      <c r="J48" s="2"/>
      <c r="K48" s="2"/>
      <c r="L48" s="15"/>
      <c r="M48" s="2"/>
      <c r="N48" s="11">
        <f t="shared" si="9"/>
        <v>0</v>
      </c>
      <c r="O48" s="11"/>
      <c r="P48" s="20">
        <f t="shared" si="1"/>
        <v>0</v>
      </c>
      <c r="Q48" s="21">
        <f t="shared" si="2"/>
        <v>0</v>
      </c>
      <c r="R48" s="21">
        <f t="shared" si="3"/>
        <v>0</v>
      </c>
      <c r="S48" s="21">
        <f t="shared" si="4"/>
        <v>0</v>
      </c>
      <c r="T48" s="21">
        <f t="shared" si="5"/>
        <v>0</v>
      </c>
      <c r="U48" s="21">
        <f t="shared" si="6"/>
        <v>0</v>
      </c>
      <c r="V48" s="20">
        <f t="shared" si="10"/>
        <v>0</v>
      </c>
      <c r="W48" s="18">
        <f t="shared" si="0"/>
        <v>0</v>
      </c>
      <c r="X48" s="3"/>
      <c r="Y48" s="6">
        <f t="shared" si="8"/>
        <v>0</v>
      </c>
      <c r="Z48" s="2"/>
      <c r="AA48" s="26">
        <f t="shared" si="33"/>
        <v>40</v>
      </c>
      <c r="AB48" s="30">
        <f t="shared" si="28"/>
        <v>47618.853333333333</v>
      </c>
      <c r="AC48" s="29">
        <v>828331.06248612923</v>
      </c>
      <c r="AD48" s="34">
        <f t="shared" si="32"/>
        <v>1.621688157391163</v>
      </c>
      <c r="AE48" s="2"/>
      <c r="AF48" s="26">
        <f t="shared" si="34"/>
        <v>40</v>
      </c>
      <c r="AG48" s="30">
        <f t="shared" si="30"/>
        <v>118999.99999999999</v>
      </c>
      <c r="AH48" s="29">
        <v>1042885.3470626636</v>
      </c>
      <c r="AI48" s="34">
        <f t="shared" si="31"/>
        <v>27.943734483444338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 t="s">
        <v>160</v>
      </c>
      <c r="B49" s="23">
        <f>B47+B48</f>
        <v>252926.61075268814</v>
      </c>
      <c r="C49" s="2" t="s">
        <v>3</v>
      </c>
      <c r="D49" s="2"/>
      <c r="E49" s="69" t="s">
        <v>145</v>
      </c>
      <c r="F49" s="67">
        <f>J26*365</f>
        <v>42887.5</v>
      </c>
      <c r="G49" s="69" t="s">
        <v>41</v>
      </c>
      <c r="H49" s="2"/>
      <c r="I49" s="16"/>
      <c r="J49" s="14"/>
      <c r="K49" s="2"/>
      <c r="L49" s="15"/>
      <c r="M49" s="2"/>
      <c r="N49" s="12" t="s">
        <v>110</v>
      </c>
      <c r="O49" s="18">
        <f t="shared" ref="O49:W49" si="35">SUM(O8:O48)</f>
        <v>98202.053711827946</v>
      </c>
      <c r="P49" s="18">
        <f t="shared" si="35"/>
        <v>260120.96692125121</v>
      </c>
      <c r="Q49" s="18">
        <f t="shared" si="35"/>
        <v>263625.1947792141</v>
      </c>
      <c r="R49" s="18">
        <f t="shared" si="35"/>
        <v>0</v>
      </c>
      <c r="S49" s="18">
        <f t="shared" si="35"/>
        <v>271292.0404136774</v>
      </c>
      <c r="T49" s="18">
        <f t="shared" si="35"/>
        <v>0</v>
      </c>
      <c r="U49" s="18">
        <f t="shared" si="35"/>
        <v>0</v>
      </c>
      <c r="V49" s="18">
        <f t="shared" si="35"/>
        <v>-78127.775896278603</v>
      </c>
      <c r="W49" s="18">
        <f t="shared" si="35"/>
        <v>815112.479929692</v>
      </c>
      <c r="X49" s="3"/>
      <c r="Y49" s="3"/>
      <c r="Z49" s="2"/>
      <c r="AA49" s="26">
        <f t="shared" si="33"/>
        <v>50</v>
      </c>
      <c r="AB49" s="30">
        <f t="shared" si="28"/>
        <v>51020.2</v>
      </c>
      <c r="AC49" s="29">
        <v>831635.70812523842</v>
      </c>
      <c r="AD49" s="34">
        <f t="shared" si="32"/>
        <v>2.0271101967389393</v>
      </c>
      <c r="AE49" s="2"/>
      <c r="AF49" s="26">
        <f t="shared" si="34"/>
        <v>50</v>
      </c>
      <c r="AG49" s="30">
        <f t="shared" si="30"/>
        <v>127500</v>
      </c>
      <c r="AH49" s="29">
        <v>1093405.3585298161</v>
      </c>
      <c r="AI49" s="34">
        <f t="shared" si="31"/>
        <v>34.141653508253057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4" t="s">
        <v>111</v>
      </c>
      <c r="B50" s="6">
        <f>SUM(B33:B39)+SUM(B49)</f>
        <v>327340.1790394265</v>
      </c>
      <c r="C50" s="2" t="s">
        <v>3</v>
      </c>
      <c r="D50" s="2"/>
      <c r="E50" s="69" t="s">
        <v>146</v>
      </c>
      <c r="F50" s="73">
        <f>F48*F49</f>
        <v>10124.853390784518</v>
      </c>
      <c r="G50" s="74" t="s">
        <v>47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"/>
      <c r="T50" s="2"/>
      <c r="U50" s="2"/>
      <c r="V50" s="2"/>
      <c r="W50" s="23"/>
      <c r="X50" s="2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4" t="s">
        <v>152</v>
      </c>
      <c r="B51" s="6">
        <f>SUM(B31:B32)</f>
        <v>0</v>
      </c>
      <c r="C51" s="2" t="s">
        <v>3</v>
      </c>
      <c r="D51" s="2"/>
      <c r="E51" s="69" t="s">
        <v>147</v>
      </c>
      <c r="F51" s="75">
        <f>IF(F12&gt;F49,(F12-F49)*F48,0)</f>
        <v>0</v>
      </c>
      <c r="G51" s="74" t="s">
        <v>47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5" t="s">
        <v>46</v>
      </c>
      <c r="AB51" s="26"/>
      <c r="AC51" s="26"/>
      <c r="AD51" s="26"/>
      <c r="AE51" s="2"/>
      <c r="AF51" s="77" t="s">
        <v>139</v>
      </c>
      <c r="AG51" s="78"/>
      <c r="AH51" s="78"/>
      <c r="AI51" s="78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4" t="s">
        <v>150</v>
      </c>
      <c r="B52" s="6">
        <f>B50+B51</f>
        <v>327340.1790394265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6" t="s">
        <v>77</v>
      </c>
      <c r="AB52" s="26" t="s">
        <v>80</v>
      </c>
      <c r="AC52" s="26" t="s">
        <v>22</v>
      </c>
      <c r="AD52" s="26" t="s">
        <v>79</v>
      </c>
      <c r="AE52" s="2"/>
      <c r="AF52" s="78" t="s">
        <v>77</v>
      </c>
      <c r="AG52" s="78" t="s">
        <v>149</v>
      </c>
      <c r="AH52" s="78" t="s">
        <v>22</v>
      </c>
      <c r="AI52" s="78" t="s">
        <v>79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9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6" t="s">
        <v>82</v>
      </c>
      <c r="AB53" s="30">
        <v>29784</v>
      </c>
      <c r="AC53" s="29">
        <f>W49</f>
        <v>815112.479929692</v>
      </c>
      <c r="AD53" s="26"/>
      <c r="AE53" s="2"/>
      <c r="AF53" s="78" t="s">
        <v>82</v>
      </c>
      <c r="AG53" s="79">
        <v>117.5</v>
      </c>
      <c r="AH53" s="80">
        <f>W49</f>
        <v>815112.479929692</v>
      </c>
      <c r="AI53" s="78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0"/>
      <c r="O54" s="51" t="s">
        <v>112</v>
      </c>
      <c r="P54" s="52" t="str">
        <f>B1</f>
        <v>Singapore</v>
      </c>
      <c r="Q54" s="50"/>
      <c r="R54" s="50"/>
      <c r="S54" s="50"/>
      <c r="T54" s="50"/>
      <c r="U54" s="53"/>
      <c r="V54" s="2"/>
      <c r="W54" s="33"/>
      <c r="X54" s="33"/>
      <c r="Y54" s="53"/>
      <c r="Z54" s="33"/>
      <c r="AA54" s="26">
        <f t="shared" ref="AA54:AA58" si="36">AA55-10</f>
        <v>-50</v>
      </c>
      <c r="AB54" s="30">
        <f t="shared" ref="AB54:AB64" si="37">$AB$53*(1+(AA54/100))</f>
        <v>14892</v>
      </c>
      <c r="AC54" s="29">
        <f t="dataTable" ref="AC54:AC64" dt2D="0" dtr="0" r1="J44" ca="1"/>
        <v>694325.01998353726</v>
      </c>
      <c r="AD54" s="34">
        <f>100*((AC54-$AC$59)/$AC$59)</f>
        <v>-14.818502098823627</v>
      </c>
      <c r="AE54" s="2"/>
      <c r="AF54" s="78">
        <f t="shared" ref="AF54:AF56" si="38">AF55-20</f>
        <v>-100</v>
      </c>
      <c r="AG54" s="30">
        <f>$AG$53*(1+(AF54/100))</f>
        <v>0</v>
      </c>
      <c r="AH54" s="29">
        <f t="dataTable" ref="AH54:AH64" dt2D="0" dtr="0" r1="J26" ca="1"/>
        <v>815112.479929692</v>
      </c>
      <c r="AI54" s="34">
        <f>100*((AH54-$AH$59)/$AH$59)</f>
        <v>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113</v>
      </c>
      <c r="P55" s="23">
        <f>SUM(O49:P49)</f>
        <v>358323.02063307917</v>
      </c>
      <c r="Q55" s="2" t="s">
        <v>3</v>
      </c>
      <c r="R55" s="47">
        <f t="shared" ref="R55:R59" si="39">P55/$J$34</f>
        <v>0.42155649486244606</v>
      </c>
      <c r="S55" s="2" t="s">
        <v>4</v>
      </c>
      <c r="T55" s="2"/>
      <c r="U55" s="53"/>
      <c r="V55" s="2"/>
      <c r="W55" s="33"/>
      <c r="X55" s="33"/>
      <c r="Y55" s="53"/>
      <c r="Z55" s="33"/>
      <c r="AA55" s="26">
        <f t="shared" si="36"/>
        <v>-40</v>
      </c>
      <c r="AB55" s="30">
        <f t="shared" si="37"/>
        <v>17870.399999999998</v>
      </c>
      <c r="AC55" s="29">
        <v>718482.51197276812</v>
      </c>
      <c r="AD55" s="34">
        <f t="shared" ref="AD55:AD64" si="40">100*((AC55-$AC$59)/$AC$59)</f>
        <v>-11.854801679058914</v>
      </c>
      <c r="AE55" s="2"/>
      <c r="AF55" s="78">
        <f t="shared" si="38"/>
        <v>-80</v>
      </c>
      <c r="AG55" s="30">
        <f t="shared" ref="AG55:AG64" si="41">$AG$53*(1+(AF55/100))</f>
        <v>23.499999999999996</v>
      </c>
      <c r="AH55" s="29">
        <v>815112.479929692</v>
      </c>
      <c r="AI55" s="34">
        <f t="shared" ref="AI55:AI64" si="42">100*((AH55-$AH$59)/$AH$59)</f>
        <v>0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97</v>
      </c>
      <c r="P56" s="23">
        <f>SUM(Q49:R49)</f>
        <v>263625.1947792141</v>
      </c>
      <c r="Q56" s="2" t="s">
        <v>3</v>
      </c>
      <c r="R56" s="47">
        <f t="shared" si="39"/>
        <v>0.31014728797554603</v>
      </c>
      <c r="S56" s="2" t="s">
        <v>4</v>
      </c>
      <c r="T56" s="2"/>
      <c r="U56" s="53"/>
      <c r="V56" s="2"/>
      <c r="W56" s="33"/>
      <c r="X56" s="33"/>
      <c r="Y56" s="53"/>
      <c r="Z56" s="33"/>
      <c r="AA56" s="26">
        <f t="shared" si="36"/>
        <v>-30</v>
      </c>
      <c r="AB56" s="30">
        <f t="shared" si="37"/>
        <v>20848.8</v>
      </c>
      <c r="AC56" s="29">
        <v>742640.00396199897</v>
      </c>
      <c r="AD56" s="34">
        <f t="shared" si="40"/>
        <v>-8.8911012592941994</v>
      </c>
      <c r="AE56" s="2"/>
      <c r="AF56" s="78">
        <f t="shared" si="38"/>
        <v>-60</v>
      </c>
      <c r="AG56" s="30">
        <f t="shared" si="41"/>
        <v>47</v>
      </c>
      <c r="AH56" s="29">
        <v>815112.479929692</v>
      </c>
      <c r="AI56" s="34">
        <f t="shared" si="42"/>
        <v>0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114</v>
      </c>
      <c r="P57" s="23">
        <f>SUM(S49)</f>
        <v>271292.0404136774</v>
      </c>
      <c r="Q57" s="2" t="s">
        <v>3</v>
      </c>
      <c r="R57" s="47">
        <f t="shared" si="39"/>
        <v>0.31916710636903223</v>
      </c>
      <c r="S57" s="2" t="s">
        <v>4</v>
      </c>
      <c r="T57" s="2"/>
      <c r="U57" s="53"/>
      <c r="V57" s="2"/>
      <c r="W57" s="33"/>
      <c r="X57" s="33"/>
      <c r="Y57" s="53"/>
      <c r="Z57" s="33"/>
      <c r="AA57" s="26">
        <f t="shared" si="36"/>
        <v>-20</v>
      </c>
      <c r="AB57" s="30">
        <f t="shared" si="37"/>
        <v>23827.200000000001</v>
      </c>
      <c r="AC57" s="29">
        <v>766797.49595122994</v>
      </c>
      <c r="AD57" s="34">
        <f t="shared" si="40"/>
        <v>-5.9274008395294713</v>
      </c>
      <c r="AE57" s="2"/>
      <c r="AF57" s="78">
        <f>AF58-20</f>
        <v>-40</v>
      </c>
      <c r="AG57" s="30">
        <f t="shared" si="41"/>
        <v>70.5</v>
      </c>
      <c r="AH57" s="29">
        <v>815112.479929692</v>
      </c>
      <c r="AI57" s="34">
        <f t="shared" si="42"/>
        <v>0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115</v>
      </c>
      <c r="P58" s="23">
        <f>SUM(T49:U49)</f>
        <v>0</v>
      </c>
      <c r="Q58" s="2" t="s">
        <v>3</v>
      </c>
      <c r="R58" s="47">
        <f t="shared" si="39"/>
        <v>0</v>
      </c>
      <c r="S58" s="2" t="s">
        <v>4</v>
      </c>
      <c r="T58" s="2"/>
      <c r="U58" s="53"/>
      <c r="V58" s="2"/>
      <c r="W58" s="33"/>
      <c r="X58" s="33"/>
      <c r="Y58" s="53"/>
      <c r="Z58" s="33"/>
      <c r="AA58" s="26">
        <f t="shared" si="36"/>
        <v>-10</v>
      </c>
      <c r="AB58" s="30">
        <f t="shared" si="37"/>
        <v>26805.600000000002</v>
      </c>
      <c r="AC58" s="29">
        <v>790954.98794046126</v>
      </c>
      <c r="AD58" s="34">
        <f t="shared" si="40"/>
        <v>-2.9637004197646997</v>
      </c>
      <c r="AE58" s="2"/>
      <c r="AF58" s="78">
        <f>AF59-20</f>
        <v>-20</v>
      </c>
      <c r="AG58" s="30">
        <f t="shared" si="41"/>
        <v>94</v>
      </c>
      <c r="AH58" s="29">
        <v>815112.479929692</v>
      </c>
      <c r="AI58" s="34">
        <f t="shared" si="42"/>
        <v>0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116</v>
      </c>
      <c r="P59" s="23">
        <f>V49</f>
        <v>-78127.775896278603</v>
      </c>
      <c r="Q59" s="2" t="s">
        <v>3</v>
      </c>
      <c r="R59" s="47">
        <f t="shared" si="39"/>
        <v>-9.1915030466210121E-2</v>
      </c>
      <c r="S59" s="2" t="s">
        <v>4</v>
      </c>
      <c r="T59" s="2"/>
      <c r="U59" s="53"/>
      <c r="V59" s="2"/>
      <c r="W59" s="33"/>
      <c r="X59" s="33"/>
      <c r="Y59" s="53"/>
      <c r="Z59" s="33"/>
      <c r="AA59" s="40">
        <v>0</v>
      </c>
      <c r="AB59" s="44">
        <f t="shared" si="37"/>
        <v>29784</v>
      </c>
      <c r="AC59" s="42">
        <v>815112.479929692</v>
      </c>
      <c r="AD59" s="43">
        <f t="shared" si="40"/>
        <v>0</v>
      </c>
      <c r="AE59" s="2"/>
      <c r="AF59" s="81">
        <v>0</v>
      </c>
      <c r="AG59" s="83">
        <f t="shared" si="41"/>
        <v>117.5</v>
      </c>
      <c r="AH59" s="42">
        <v>815112.479929692</v>
      </c>
      <c r="AI59" s="82">
        <f t="shared" si="42"/>
        <v>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815112.47992969223</v>
      </c>
      <c r="Q60" s="1" t="s">
        <v>3</v>
      </c>
      <c r="R60" s="55">
        <f>SUM(R55:R59)</f>
        <v>0.95895585874081413</v>
      </c>
      <c r="S60" s="1" t="s">
        <v>4</v>
      </c>
      <c r="T60" s="2"/>
      <c r="U60" s="53"/>
      <c r="V60" s="2"/>
      <c r="W60" s="33"/>
      <c r="X60" s="33"/>
      <c r="Y60" s="53"/>
      <c r="Z60" s="33"/>
      <c r="AA60" s="26">
        <f t="shared" ref="AA60:AA64" si="43">AA59+10</f>
        <v>10</v>
      </c>
      <c r="AB60" s="30">
        <f t="shared" si="37"/>
        <v>32762.400000000001</v>
      </c>
      <c r="AC60" s="29">
        <v>839269.9719189232</v>
      </c>
      <c r="AD60" s="34">
        <f t="shared" si="40"/>
        <v>2.963700419764757</v>
      </c>
      <c r="AE60" s="2"/>
      <c r="AF60" s="78">
        <f>AF59+20</f>
        <v>20</v>
      </c>
      <c r="AG60" s="30">
        <f t="shared" si="41"/>
        <v>141</v>
      </c>
      <c r="AH60" s="29">
        <v>815112.479929692</v>
      </c>
      <c r="AI60" s="34">
        <f t="shared" si="42"/>
        <v>0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53"/>
      <c r="V61" s="2"/>
      <c r="W61" s="33"/>
      <c r="X61" s="33"/>
      <c r="Y61" s="53"/>
      <c r="Z61" s="33"/>
      <c r="AA61" s="26">
        <f t="shared" si="43"/>
        <v>20</v>
      </c>
      <c r="AB61" s="30">
        <f t="shared" si="37"/>
        <v>35740.799999999996</v>
      </c>
      <c r="AC61" s="29">
        <v>863427.46390815405</v>
      </c>
      <c r="AD61" s="34">
        <f t="shared" si="40"/>
        <v>5.9274008395294713</v>
      </c>
      <c r="AE61" s="2"/>
      <c r="AF61" s="78">
        <f t="shared" ref="AF61:AF64" si="44">AF60+20</f>
        <v>40</v>
      </c>
      <c r="AG61" s="30">
        <f t="shared" si="41"/>
        <v>164.5</v>
      </c>
      <c r="AH61" s="29">
        <v>815112.479929692</v>
      </c>
      <c r="AI61" s="34">
        <f t="shared" si="42"/>
        <v>0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3"/>
      <c r="V62" s="2"/>
      <c r="W62" s="33"/>
      <c r="X62" s="33"/>
      <c r="Y62" s="53"/>
      <c r="Z62" s="33"/>
      <c r="AA62" s="26">
        <f t="shared" si="43"/>
        <v>30</v>
      </c>
      <c r="AB62" s="30">
        <f t="shared" si="37"/>
        <v>38719.200000000004</v>
      </c>
      <c r="AC62" s="29">
        <v>887584.95589738525</v>
      </c>
      <c r="AD62" s="34">
        <f t="shared" si="40"/>
        <v>8.8911012592942278</v>
      </c>
      <c r="AE62" s="2"/>
      <c r="AF62" s="78">
        <f t="shared" si="44"/>
        <v>60</v>
      </c>
      <c r="AG62" s="30">
        <f t="shared" si="41"/>
        <v>188</v>
      </c>
      <c r="AH62" s="29">
        <v>815112.479929692</v>
      </c>
      <c r="AI62" s="34">
        <f t="shared" si="42"/>
        <v>0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53"/>
      <c r="V63" s="2"/>
      <c r="W63" s="33"/>
      <c r="X63" s="33"/>
      <c r="Y63" s="53"/>
      <c r="Z63" s="33"/>
      <c r="AA63" s="26">
        <f t="shared" si="43"/>
        <v>40</v>
      </c>
      <c r="AB63" s="30">
        <f t="shared" si="37"/>
        <v>41697.599999999999</v>
      </c>
      <c r="AC63" s="29">
        <v>911742.44788661611</v>
      </c>
      <c r="AD63" s="34">
        <f t="shared" si="40"/>
        <v>11.854801679058943</v>
      </c>
      <c r="AE63" s="2"/>
      <c r="AF63" s="78">
        <f t="shared" si="44"/>
        <v>80</v>
      </c>
      <c r="AG63" s="30">
        <f t="shared" si="41"/>
        <v>211.5</v>
      </c>
      <c r="AH63" s="29">
        <v>815112.479929692</v>
      </c>
      <c r="AI63" s="34">
        <f t="shared" si="42"/>
        <v>0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53"/>
      <c r="V64" s="2"/>
      <c r="W64" s="33"/>
      <c r="X64" s="33"/>
      <c r="Y64" s="53"/>
      <c r="Z64" s="33"/>
      <c r="AA64" s="26">
        <f t="shared" si="43"/>
        <v>50</v>
      </c>
      <c r="AB64" s="30">
        <f t="shared" si="37"/>
        <v>44676</v>
      </c>
      <c r="AC64" s="29">
        <v>935899.93987584708</v>
      </c>
      <c r="AD64" s="34">
        <f t="shared" si="40"/>
        <v>14.818502098823672</v>
      </c>
      <c r="AE64" s="2"/>
      <c r="AF64" s="78">
        <f t="shared" si="44"/>
        <v>100</v>
      </c>
      <c r="AG64" s="30">
        <f t="shared" si="41"/>
        <v>235</v>
      </c>
      <c r="AH64" s="29">
        <v>815112.479929692</v>
      </c>
      <c r="AI64" s="34">
        <f t="shared" si="42"/>
        <v>0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53"/>
      <c r="V65" s="2"/>
      <c r="W65" s="33"/>
      <c r="X65" s="33"/>
      <c r="Y65" s="53"/>
      <c r="Z65" s="33"/>
      <c r="AA65" s="2"/>
      <c r="AB65" s="2"/>
      <c r="AC65" s="2"/>
      <c r="AD65" s="2"/>
      <c r="AE65" s="2"/>
      <c r="AF65" s="2"/>
      <c r="AG65" s="49"/>
      <c r="AH65" s="6"/>
      <c r="AI65" s="54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53"/>
      <c r="V66" s="2"/>
      <c r="W66" s="33"/>
      <c r="X66" s="33"/>
      <c r="Y66" s="53"/>
      <c r="Z66" s="33"/>
      <c r="AA66" s="77" t="s">
        <v>178</v>
      </c>
      <c r="AB66" s="78"/>
      <c r="AC66" s="78"/>
      <c r="AD66" s="78"/>
      <c r="AE66" s="2"/>
      <c r="AF66" s="2"/>
      <c r="AG66" s="49"/>
      <c r="AH66" s="6"/>
      <c r="AI66" s="54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3"/>
      <c r="V67" s="2"/>
      <c r="W67" s="33"/>
      <c r="X67" s="33"/>
      <c r="Y67" s="53"/>
      <c r="Z67" s="33"/>
      <c r="AA67" s="78" t="s">
        <v>77</v>
      </c>
      <c r="AB67" s="78" t="s">
        <v>178</v>
      </c>
      <c r="AC67" s="78" t="s">
        <v>22</v>
      </c>
      <c r="AD67" s="78" t="s">
        <v>79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53"/>
      <c r="V68" s="2"/>
      <c r="W68" s="33"/>
      <c r="X68" s="33"/>
      <c r="Y68" s="53"/>
      <c r="Z68" s="33"/>
      <c r="AA68" s="78" t="s">
        <v>82</v>
      </c>
      <c r="AB68" s="100">
        <v>0.99</v>
      </c>
      <c r="AC68" s="80">
        <f>W49</f>
        <v>815112.479929692</v>
      </c>
      <c r="AD68" s="78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56"/>
      <c r="X69" s="56"/>
      <c r="Y69" s="2"/>
      <c r="Z69" s="56"/>
      <c r="AA69" s="78">
        <f t="shared" ref="AA69:AA73" si="45">AA70-10</f>
        <v>-50</v>
      </c>
      <c r="AB69" s="100">
        <f>$AB$68*(1+(-AA69/100))</f>
        <v>1.4849999999999999</v>
      </c>
      <c r="AC69" s="80">
        <f t="dataTable" ref="AC69:AC79" dt2D="0" dtr="0" r1="J17"/>
        <v>946925.07731929899</v>
      </c>
      <c r="AD69" s="101">
        <f>100*((AC69-$AC$74)/$AC$74)</f>
        <v>16.17109302521985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78">
        <f t="shared" si="45"/>
        <v>-40</v>
      </c>
      <c r="AB70" s="100">
        <f t="shared" ref="AB70:AB79" si="46">$AB$68*(1+(-AA70/100))</f>
        <v>1.3859999999999999</v>
      </c>
      <c r="AC70" s="80">
        <v>920562.55784137791</v>
      </c>
      <c r="AD70" s="101">
        <f t="shared" ref="AD70:AD79" si="47">100*((AC70-$AC$74)/$AC$74)</f>
        <v>12.936874420175922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78">
        <f t="shared" si="45"/>
        <v>-30</v>
      </c>
      <c r="AB71" s="100">
        <f t="shared" si="46"/>
        <v>1.2869999999999999</v>
      </c>
      <c r="AC71" s="80">
        <v>894200.03836345626</v>
      </c>
      <c r="AD71" s="101">
        <f t="shared" si="47"/>
        <v>9.7026558151319211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78">
        <f t="shared" si="45"/>
        <v>-20</v>
      </c>
      <c r="AB72" s="100">
        <f t="shared" si="46"/>
        <v>1.1879999999999999</v>
      </c>
      <c r="AC72" s="80">
        <v>867837.51888553496</v>
      </c>
      <c r="AD72" s="101">
        <f t="shared" si="47"/>
        <v>6.468437210087961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78">
        <f t="shared" si="45"/>
        <v>-10</v>
      </c>
      <c r="AB73" s="100">
        <f t="shared" si="46"/>
        <v>1.089</v>
      </c>
      <c r="AC73" s="80">
        <v>841474.99940761365</v>
      </c>
      <c r="AD73" s="101">
        <f t="shared" si="47"/>
        <v>3.2342186050440023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81">
        <v>0</v>
      </c>
      <c r="AB74" s="102">
        <f t="shared" si="46"/>
        <v>0.99</v>
      </c>
      <c r="AC74" s="103">
        <v>815112.479929692</v>
      </c>
      <c r="AD74" s="104">
        <f t="shared" si="47"/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78">
        <f t="shared" ref="AA75:AA79" si="48">AA74+10</f>
        <v>10</v>
      </c>
      <c r="AB75" s="100">
        <f t="shared" si="46"/>
        <v>0.89100000000000001</v>
      </c>
      <c r="AC75" s="80">
        <v>788749.96045177069</v>
      </c>
      <c r="AD75" s="101">
        <f t="shared" si="47"/>
        <v>-3.2342186050439592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78">
        <f t="shared" si="48"/>
        <v>20</v>
      </c>
      <c r="AB76" s="100">
        <f t="shared" si="46"/>
        <v>0.79200000000000004</v>
      </c>
      <c r="AC76" s="80">
        <v>762387.44097384927</v>
      </c>
      <c r="AD76" s="101">
        <f t="shared" si="47"/>
        <v>-6.4684372100879326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78">
        <f t="shared" si="48"/>
        <v>30</v>
      </c>
      <c r="AB77" s="100">
        <f t="shared" si="46"/>
        <v>0.69299999999999995</v>
      </c>
      <c r="AC77" s="80">
        <v>736024.92149592785</v>
      </c>
      <c r="AD77" s="101">
        <f t="shared" si="47"/>
        <v>-9.7026558151319051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78">
        <f t="shared" si="48"/>
        <v>40</v>
      </c>
      <c r="AB78" s="100">
        <f t="shared" si="46"/>
        <v>0.59399999999999997</v>
      </c>
      <c r="AC78" s="80">
        <v>709662.40201800666</v>
      </c>
      <c r="AD78" s="101">
        <f t="shared" si="47"/>
        <v>-12.936874420175851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78">
        <f t="shared" si="48"/>
        <v>50</v>
      </c>
      <c r="AB79" s="100">
        <f t="shared" si="46"/>
        <v>0.495</v>
      </c>
      <c r="AC79" s="80">
        <v>683299.88254008512</v>
      </c>
      <c r="AD79" s="101">
        <f t="shared" si="47"/>
        <v>-16.171093025219836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dataValidations count="1">
    <dataValidation type="list" allowBlank="1" showInputMessage="1" showErrorMessage="1" sqref="J24" xr:uid="{96076D28-6CB5-48FF-82D5-50A3B8F2E64F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AP1000"/>
  <sheetViews>
    <sheetView topLeftCell="B1" zoomScale="82" zoomScaleNormal="55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50.140625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2.710937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T49</f>
        <v>937284.76332049945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1.1026879568476464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117</v>
      </c>
      <c r="R7" s="11" t="s">
        <v>118</v>
      </c>
      <c r="S7" s="11" t="s">
        <v>21</v>
      </c>
      <c r="T7" s="12" t="s">
        <v>22</v>
      </c>
      <c r="U7" s="2"/>
      <c r="V7" s="2"/>
      <c r="W7" s="1"/>
      <c r="X7" s="2" t="s">
        <v>23</v>
      </c>
      <c r="Y7" s="2"/>
      <c r="Z7" s="2"/>
      <c r="AA7" s="2" t="s">
        <v>24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25</v>
      </c>
      <c r="B8" s="14">
        <v>1.35</v>
      </c>
      <c r="C8" s="2" t="s">
        <v>26</v>
      </c>
      <c r="D8" s="2"/>
      <c r="E8" s="2"/>
      <c r="F8" s="2"/>
      <c r="G8" s="2"/>
      <c r="H8" s="15"/>
      <c r="I8" s="16" t="s">
        <v>183</v>
      </c>
      <c r="J8" s="6">
        <v>137612.90322580645</v>
      </c>
      <c r="K8" s="2" t="s">
        <v>28</v>
      </c>
      <c r="L8" s="15"/>
      <c r="M8" s="2"/>
      <c r="N8" s="11">
        <v>0</v>
      </c>
      <c r="O8" s="17">
        <f>F31</f>
        <v>49817.461121146946</v>
      </c>
      <c r="P8" s="11"/>
      <c r="Q8" s="11"/>
      <c r="R8" s="11"/>
      <c r="S8" s="11"/>
      <c r="T8" s="18">
        <f t="shared" ref="T8:T48" si="0">SUM(O8:S8)</f>
        <v>49817.461121146946</v>
      </c>
      <c r="U8" s="2"/>
      <c r="V8" s="2"/>
      <c r="W8" s="3"/>
      <c r="X8" s="6"/>
      <c r="Y8" s="2"/>
      <c r="Z8" s="2"/>
      <c r="AA8" s="2" t="s">
        <v>155</v>
      </c>
      <c r="AB8" s="19">
        <f>F36</f>
        <v>1.7407407407407407</v>
      </c>
      <c r="AC8" s="2" t="s">
        <v>120</v>
      </c>
      <c r="AD8" s="2"/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49"/>
      <c r="G9" s="2"/>
      <c r="H9" s="15"/>
      <c r="I9" s="2"/>
      <c r="J9" s="2"/>
      <c r="K9" s="2"/>
      <c r="L9" s="15"/>
      <c r="M9" s="2"/>
      <c r="N9" s="11">
        <v>1</v>
      </c>
      <c r="O9" s="11"/>
      <c r="P9" s="20">
        <f t="shared" ref="P9:P48" si="1">IF(N9&gt;0,IF(N9&lt;=$J$15,(($F$32+$F$33)/$J$15)/((1+($F$11/100))^N9),0),0)</f>
        <v>28501.335929886958</v>
      </c>
      <c r="Q9" s="21">
        <f t="shared" ref="Q9:Q48" si="2">IF(N9&gt;0,($F$38*((1+($F$14/100))^(N9-1)))/((1+($F$11/100))^N9),0)</f>
        <v>69713.319088319084</v>
      </c>
      <c r="R9" s="21">
        <f t="shared" ref="R9:R48" si="3">IF(N9&gt;0,$J$31/((1+($F$11/100))^N9),0)</f>
        <v>20788.390313390311</v>
      </c>
      <c r="S9" s="20">
        <f t="shared" ref="S9:S48" si="4">IF(N9=$B$5,((((1-$J$12/100)^N9)*$B$44)/((1+($F$11/100))^N9))*-1,0)</f>
        <v>0</v>
      </c>
      <c r="T9" s="18">
        <f t="shared" si="0"/>
        <v>119003.04533159635</v>
      </c>
      <c r="U9" s="2"/>
      <c r="V9" s="2"/>
      <c r="W9" s="3"/>
      <c r="X9" s="6">
        <f t="shared" ref="X9:X48" si="5">IF(N9&gt;0,((((1-$J$12/100)^N9)*$B$44/((1+($F$11/100))^N9))),0)</f>
        <v>91257.223884201812</v>
      </c>
      <c r="Y9" s="2"/>
      <c r="Z9" s="2"/>
      <c r="AA9" s="16" t="s">
        <v>150</v>
      </c>
      <c r="AB9" s="23">
        <f>B47</f>
        <v>166058.20373715649</v>
      </c>
      <c r="AC9" s="2" t="s">
        <v>3</v>
      </c>
      <c r="AD9" s="2"/>
      <c r="AE9" s="6"/>
      <c r="AF9" s="2"/>
      <c r="AG9" s="2"/>
      <c r="AH9" s="2"/>
      <c r="AI9" s="2"/>
    </row>
    <row r="10" spans="1:35" x14ac:dyDescent="0.25">
      <c r="A10" s="22" t="s">
        <v>33</v>
      </c>
      <c r="B10" s="2"/>
      <c r="C10" s="2"/>
      <c r="D10" s="2"/>
      <c r="E10" s="1" t="s">
        <v>37</v>
      </c>
      <c r="F10" s="2"/>
      <c r="G10" s="2"/>
      <c r="H10" s="15"/>
      <c r="I10" s="16" t="s">
        <v>121</v>
      </c>
      <c r="J10" s="14">
        <v>0.49</v>
      </c>
      <c r="K10" s="2" t="s">
        <v>122</v>
      </c>
      <c r="L10" s="15"/>
      <c r="M10" s="2"/>
      <c r="N10" s="11">
        <f t="shared" ref="N10:N48" si="6">IF((N9+1)&gt;$B$5,,IF(N9=0,,N9+1))</f>
        <v>2</v>
      </c>
      <c r="O10" s="11"/>
      <c r="P10" s="20">
        <f t="shared" si="1"/>
        <v>27405.130701814378</v>
      </c>
      <c r="Q10" s="21">
        <f t="shared" si="2"/>
        <v>67702.35796077142</v>
      </c>
      <c r="R10" s="21">
        <f t="shared" si="3"/>
        <v>19988.836839798372</v>
      </c>
      <c r="S10" s="20">
        <f t="shared" si="4"/>
        <v>0</v>
      </c>
      <c r="T10" s="18">
        <f t="shared" si="0"/>
        <v>115096.32550238416</v>
      </c>
      <c r="U10" s="2"/>
      <c r="V10" s="2"/>
      <c r="W10" s="3"/>
      <c r="X10" s="6">
        <f t="shared" si="5"/>
        <v>81534.819647308002</v>
      </c>
      <c r="Y10" s="2"/>
      <c r="Z10" s="2"/>
      <c r="AA10" s="2" t="s">
        <v>40</v>
      </c>
      <c r="AB10" s="6">
        <f>F12</f>
        <v>85000</v>
      </c>
      <c r="AC10" s="2" t="s">
        <v>41</v>
      </c>
      <c r="AD10" s="2"/>
      <c r="AE10" s="6"/>
      <c r="AF10" s="2"/>
      <c r="AG10" s="2"/>
      <c r="AH10" s="2"/>
      <c r="AI10" s="2"/>
    </row>
    <row r="11" spans="1:35" x14ac:dyDescent="0.25">
      <c r="A11" s="24" t="s">
        <v>151</v>
      </c>
      <c r="B11" s="2">
        <v>0</v>
      </c>
      <c r="C11" s="2" t="s">
        <v>36</v>
      </c>
      <c r="D11" s="2"/>
      <c r="E11" s="16" t="s">
        <v>43</v>
      </c>
      <c r="F11" s="2">
        <v>4</v>
      </c>
      <c r="G11" s="2" t="s">
        <v>36</v>
      </c>
      <c r="H11" s="15"/>
      <c r="I11" s="16" t="s">
        <v>50</v>
      </c>
      <c r="J11" s="2">
        <v>30</v>
      </c>
      <c r="K11" s="2" t="s">
        <v>51</v>
      </c>
      <c r="L11" s="15"/>
      <c r="M11" s="2"/>
      <c r="N11" s="11">
        <f t="shared" si="6"/>
        <v>3</v>
      </c>
      <c r="O11" s="11"/>
      <c r="P11" s="20">
        <f t="shared" si="1"/>
        <v>26351.087213283059</v>
      </c>
      <c r="Q11" s="21">
        <f t="shared" si="2"/>
        <v>65749.405327287634</v>
      </c>
      <c r="R11" s="21">
        <f t="shared" si="3"/>
        <v>19220.035422883051</v>
      </c>
      <c r="S11" s="20">
        <f t="shared" si="4"/>
        <v>0</v>
      </c>
      <c r="T11" s="18">
        <f t="shared" si="0"/>
        <v>111320.52796345374</v>
      </c>
      <c r="U11" s="2"/>
      <c r="V11" s="2"/>
      <c r="W11" s="3"/>
      <c r="X11" s="6">
        <f t="shared" si="5"/>
        <v>72848.225400267882</v>
      </c>
      <c r="Y11" s="2"/>
      <c r="Z11" s="2"/>
      <c r="AA11" s="16" t="s">
        <v>46</v>
      </c>
      <c r="AB11" s="6">
        <f>J33</f>
        <v>17680</v>
      </c>
      <c r="AC11" s="2" t="s">
        <v>47</v>
      </c>
      <c r="AD11" s="2"/>
      <c r="AE11" s="6"/>
      <c r="AF11" s="2"/>
      <c r="AG11" s="2"/>
      <c r="AH11" s="2"/>
      <c r="AI11" s="2"/>
    </row>
    <row r="12" spans="1:35" x14ac:dyDescent="0.25">
      <c r="A12" s="24" t="s">
        <v>42</v>
      </c>
      <c r="B12" s="2">
        <v>0</v>
      </c>
      <c r="C12" s="2" t="s">
        <v>36</v>
      </c>
      <c r="D12" s="2"/>
      <c r="E12" s="16" t="s">
        <v>49</v>
      </c>
      <c r="F12" s="6">
        <v>85000</v>
      </c>
      <c r="G12" s="2" t="s">
        <v>41</v>
      </c>
      <c r="H12" s="15"/>
      <c r="I12" s="16" t="s">
        <v>58</v>
      </c>
      <c r="J12" s="2">
        <v>7.08</v>
      </c>
      <c r="K12" s="2" t="s">
        <v>59</v>
      </c>
      <c r="L12" s="15"/>
      <c r="M12" s="2"/>
      <c r="N12" s="11">
        <f t="shared" si="6"/>
        <v>4</v>
      </c>
      <c r="O12" s="11"/>
      <c r="P12" s="20">
        <f t="shared" si="1"/>
        <v>25337.583858926017</v>
      </c>
      <c r="Q12" s="21">
        <f t="shared" si="2"/>
        <v>63852.78786592355</v>
      </c>
      <c r="R12" s="21">
        <f t="shared" si="3"/>
        <v>18480.803291233704</v>
      </c>
      <c r="S12" s="20">
        <f t="shared" si="4"/>
        <v>0</v>
      </c>
      <c r="T12" s="18">
        <f t="shared" si="0"/>
        <v>107671.17501608327</v>
      </c>
      <c r="U12" s="2"/>
      <c r="V12" s="2"/>
      <c r="W12" s="3"/>
      <c r="X12" s="6">
        <f t="shared" si="5"/>
        <v>65087.087540316264</v>
      </c>
      <c r="Y12" s="2"/>
      <c r="Z12" s="2"/>
      <c r="AA12" s="69" t="s">
        <v>178</v>
      </c>
      <c r="AB12" s="76">
        <f>J10</f>
        <v>0.49</v>
      </c>
      <c r="AC12" s="69" t="s">
        <v>67</v>
      </c>
      <c r="AD12" s="2"/>
      <c r="AE12" s="6"/>
      <c r="AF12" s="2"/>
      <c r="AG12" s="2"/>
      <c r="AH12" s="2"/>
      <c r="AI12" s="2"/>
    </row>
    <row r="13" spans="1:35" x14ac:dyDescent="0.25">
      <c r="A13" s="24" t="s">
        <v>48</v>
      </c>
      <c r="B13" s="2">
        <v>8</v>
      </c>
      <c r="C13" s="2" t="s">
        <v>36</v>
      </c>
      <c r="D13" s="2"/>
      <c r="E13" s="16" t="s">
        <v>119</v>
      </c>
      <c r="F13" s="14">
        <v>2.35</v>
      </c>
      <c r="G13" s="14" t="s">
        <v>123</v>
      </c>
      <c r="H13" s="15"/>
      <c r="I13" s="16"/>
      <c r="J13" s="6"/>
      <c r="K13" s="2"/>
      <c r="L13" s="15"/>
      <c r="M13" s="2"/>
      <c r="N13" s="11">
        <f t="shared" si="6"/>
        <v>5</v>
      </c>
      <c r="O13" s="11"/>
      <c r="P13" s="20">
        <f t="shared" si="1"/>
        <v>24363.061402813473</v>
      </c>
      <c r="Q13" s="21">
        <f t="shared" si="2"/>
        <v>62010.880523637294</v>
      </c>
      <c r="R13" s="21">
        <f t="shared" si="3"/>
        <v>17770.003164647787</v>
      </c>
      <c r="S13" s="20">
        <f t="shared" si="4"/>
        <v>0</v>
      </c>
      <c r="T13" s="18">
        <f t="shared" si="0"/>
        <v>104143.94509109855</v>
      </c>
      <c r="U13" s="2"/>
      <c r="V13" s="2"/>
      <c r="W13" s="3"/>
      <c r="X13" s="6">
        <f t="shared" si="5"/>
        <v>58152.80936775179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4" t="s">
        <v>52</v>
      </c>
      <c r="B14" s="2">
        <v>274.68</v>
      </c>
      <c r="C14" s="2" t="s">
        <v>28</v>
      </c>
      <c r="D14" s="2"/>
      <c r="E14" s="16" t="s">
        <v>124</v>
      </c>
      <c r="F14" s="2">
        <v>1</v>
      </c>
      <c r="G14" s="2" t="s">
        <v>57</v>
      </c>
      <c r="H14" s="15"/>
      <c r="I14" s="1" t="s">
        <v>76</v>
      </c>
      <c r="J14" s="2"/>
      <c r="K14" s="2"/>
      <c r="L14" s="15"/>
      <c r="M14" s="2"/>
      <c r="N14" s="11">
        <f t="shared" si="6"/>
        <v>6</v>
      </c>
      <c r="O14" s="11"/>
      <c r="P14" s="20">
        <f t="shared" si="1"/>
        <v>0</v>
      </c>
      <c r="Q14" s="21">
        <f t="shared" si="2"/>
        <v>60222.105123916983</v>
      </c>
      <c r="R14" s="21">
        <f t="shared" si="3"/>
        <v>17086.541504469027</v>
      </c>
      <c r="S14" s="20">
        <f t="shared" si="4"/>
        <v>0</v>
      </c>
      <c r="T14" s="18">
        <f t="shared" si="0"/>
        <v>77308.646628386006</v>
      </c>
      <c r="U14" s="2"/>
      <c r="V14" s="2"/>
      <c r="W14" s="3"/>
      <c r="X14" s="6">
        <f t="shared" si="5"/>
        <v>51957.298523572084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4" t="s">
        <v>165</v>
      </c>
      <c r="B15" s="2">
        <v>350</v>
      </c>
      <c r="C15" s="2" t="s">
        <v>28</v>
      </c>
      <c r="D15" s="2"/>
      <c r="E15" s="16" t="s">
        <v>125</v>
      </c>
      <c r="F15" s="2">
        <v>32.700000000000003</v>
      </c>
      <c r="G15" s="2" t="s">
        <v>62</v>
      </c>
      <c r="H15" s="15"/>
      <c r="I15" s="16" t="s">
        <v>81</v>
      </c>
      <c r="J15" s="2">
        <v>5</v>
      </c>
      <c r="K15" s="2" t="s">
        <v>51</v>
      </c>
      <c r="L15" s="15"/>
      <c r="M15" s="2"/>
      <c r="N15" s="11">
        <f t="shared" si="6"/>
        <v>7</v>
      </c>
      <c r="O15" s="11"/>
      <c r="P15" s="20">
        <f t="shared" si="1"/>
        <v>0</v>
      </c>
      <c r="Q15" s="21">
        <f t="shared" si="2"/>
        <v>58484.929014573238</v>
      </c>
      <c r="R15" s="21">
        <f t="shared" si="3"/>
        <v>16429.366831220221</v>
      </c>
      <c r="S15" s="20">
        <f t="shared" si="4"/>
        <v>0</v>
      </c>
      <c r="T15" s="18">
        <f t="shared" si="0"/>
        <v>74914.295845793458</v>
      </c>
      <c r="U15" s="2"/>
      <c r="V15" s="2"/>
      <c r="W15" s="3"/>
      <c r="X15" s="6">
        <f t="shared" si="5"/>
        <v>46421.847873176135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4" t="s">
        <v>126</v>
      </c>
      <c r="B16" s="2">
        <v>5</v>
      </c>
      <c r="C16" s="2" t="s">
        <v>36</v>
      </c>
      <c r="D16" s="2"/>
      <c r="E16" s="16" t="s">
        <v>65</v>
      </c>
      <c r="F16" s="6">
        <f>850*2</f>
        <v>1700</v>
      </c>
      <c r="G16" s="2" t="s">
        <v>62</v>
      </c>
      <c r="H16" s="15"/>
      <c r="I16" s="16" t="s">
        <v>84</v>
      </c>
      <c r="J16" s="2">
        <v>30</v>
      </c>
      <c r="K16" s="2" t="s">
        <v>85</v>
      </c>
      <c r="L16" s="15"/>
      <c r="M16" s="2"/>
      <c r="N16" s="11">
        <f t="shared" si="6"/>
        <v>8</v>
      </c>
      <c r="O16" s="11"/>
      <c r="P16" s="20">
        <f t="shared" si="1"/>
        <v>0</v>
      </c>
      <c r="Q16" s="21">
        <f t="shared" si="2"/>
        <v>56797.863754537444</v>
      </c>
      <c r="R16" s="21">
        <f t="shared" si="3"/>
        <v>15797.468106942517</v>
      </c>
      <c r="S16" s="20">
        <f t="shared" si="4"/>
        <v>0</v>
      </c>
      <c r="T16" s="18">
        <f t="shared" si="0"/>
        <v>72595.331861479965</v>
      </c>
      <c r="U16" s="2"/>
      <c r="V16" s="2"/>
      <c r="W16" s="3"/>
      <c r="X16" s="6">
        <f t="shared" si="5"/>
        <v>41476.135618995446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4" t="s">
        <v>64</v>
      </c>
      <c r="B17" s="6">
        <v>72001</v>
      </c>
      <c r="C17" s="2" t="s">
        <v>28</v>
      </c>
      <c r="D17" s="2"/>
      <c r="E17" s="16" t="s">
        <v>46</v>
      </c>
      <c r="F17" s="33">
        <v>0.28079999999999999</v>
      </c>
      <c r="G17" s="2" t="s">
        <v>133</v>
      </c>
      <c r="H17" s="15"/>
      <c r="I17" s="2"/>
      <c r="J17" s="2"/>
      <c r="K17" s="2"/>
      <c r="L17" s="15"/>
      <c r="M17" s="2"/>
      <c r="N17" s="11">
        <f t="shared" si="6"/>
        <v>9</v>
      </c>
      <c r="O17" s="11"/>
      <c r="P17" s="20">
        <f t="shared" si="1"/>
        <v>0</v>
      </c>
      <c r="Q17" s="21">
        <f t="shared" si="2"/>
        <v>55159.463838541182</v>
      </c>
      <c r="R17" s="21">
        <f t="shared" si="3"/>
        <v>15189.873179752418</v>
      </c>
      <c r="S17" s="20">
        <f t="shared" si="4"/>
        <v>0</v>
      </c>
      <c r="T17" s="18">
        <f t="shared" si="0"/>
        <v>70349.337018293605</v>
      </c>
      <c r="U17" s="2"/>
      <c r="V17" s="2"/>
      <c r="W17" s="3"/>
      <c r="X17" s="6">
        <f t="shared" si="5"/>
        <v>37057.331939587086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24" t="s">
        <v>68</v>
      </c>
      <c r="B18" s="6">
        <v>-5000</v>
      </c>
      <c r="C18" s="2" t="s">
        <v>28</v>
      </c>
      <c r="D18" s="2"/>
      <c r="E18" s="16" t="s">
        <v>73</v>
      </c>
      <c r="F18" s="2">
        <v>5.5</v>
      </c>
      <c r="G18" s="2" t="s">
        <v>59</v>
      </c>
      <c r="H18" s="15"/>
      <c r="I18" s="16"/>
      <c r="J18" s="2"/>
      <c r="K18" s="2"/>
      <c r="L18" s="15"/>
      <c r="M18" s="2"/>
      <c r="N18" s="11">
        <f t="shared" si="6"/>
        <v>10</v>
      </c>
      <c r="O18" s="11"/>
      <c r="P18" s="20">
        <f t="shared" si="1"/>
        <v>0</v>
      </c>
      <c r="Q18" s="21">
        <f t="shared" si="2"/>
        <v>53568.325458583269</v>
      </c>
      <c r="R18" s="21">
        <f t="shared" si="3"/>
        <v>14605.647288223479</v>
      </c>
      <c r="S18" s="20">
        <f t="shared" si="4"/>
        <v>-33109.300806023391</v>
      </c>
      <c r="T18" s="18">
        <f t="shared" si="0"/>
        <v>35064.671940783352</v>
      </c>
      <c r="U18" s="2"/>
      <c r="V18" s="2"/>
      <c r="W18" s="3"/>
      <c r="X18" s="6">
        <f t="shared" si="5"/>
        <v>33109.300806023391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4" t="s">
        <v>71</v>
      </c>
      <c r="B19" s="2">
        <v>28.34</v>
      </c>
      <c r="C19" s="2" t="s">
        <v>28</v>
      </c>
      <c r="D19" s="2"/>
      <c r="E19" s="2"/>
      <c r="F19" s="2"/>
      <c r="G19" s="2"/>
      <c r="H19" s="15"/>
      <c r="I19" s="2"/>
      <c r="J19" s="2"/>
      <c r="K19" s="2"/>
      <c r="L19" s="15"/>
      <c r="M19" s="2"/>
      <c r="N19" s="11">
        <f t="shared" si="6"/>
        <v>0</v>
      </c>
      <c r="O19" s="11"/>
      <c r="P19" s="20">
        <f t="shared" si="1"/>
        <v>0</v>
      </c>
      <c r="Q19" s="21">
        <f t="shared" si="2"/>
        <v>0</v>
      </c>
      <c r="R19" s="21">
        <f t="shared" si="3"/>
        <v>0</v>
      </c>
      <c r="S19" s="20">
        <f t="shared" si="4"/>
        <v>0</v>
      </c>
      <c r="T19" s="18">
        <f t="shared" si="0"/>
        <v>0</v>
      </c>
      <c r="U19" s="2"/>
      <c r="V19" s="2"/>
      <c r="W19" s="3"/>
      <c r="X19" s="6">
        <f t="shared" si="5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4" t="s">
        <v>72</v>
      </c>
      <c r="B20" s="6">
        <v>1000</v>
      </c>
      <c r="C20" s="2" t="s">
        <v>28</v>
      </c>
      <c r="D20" s="2"/>
      <c r="E20" s="16" t="s">
        <v>74</v>
      </c>
      <c r="F20" s="2">
        <v>100</v>
      </c>
      <c r="G20" s="2" t="s">
        <v>62</v>
      </c>
      <c r="H20" s="15"/>
      <c r="I20" s="2"/>
      <c r="J20" s="2"/>
      <c r="K20" s="2"/>
      <c r="L20" s="15"/>
      <c r="M20" s="2"/>
      <c r="N20" s="11">
        <f t="shared" si="6"/>
        <v>0</v>
      </c>
      <c r="O20" s="11"/>
      <c r="P20" s="20">
        <f t="shared" si="1"/>
        <v>0</v>
      </c>
      <c r="Q20" s="21">
        <f t="shared" si="2"/>
        <v>0</v>
      </c>
      <c r="R20" s="21">
        <f t="shared" si="3"/>
        <v>0</v>
      </c>
      <c r="S20" s="20">
        <f t="shared" si="4"/>
        <v>0</v>
      </c>
      <c r="T20" s="18">
        <f t="shared" si="0"/>
        <v>0</v>
      </c>
      <c r="U20" s="2"/>
      <c r="V20" s="2"/>
      <c r="W20" s="3"/>
      <c r="X20" s="6">
        <f t="shared" si="5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"/>
      <c r="B21" s="2"/>
      <c r="C21" s="2"/>
      <c r="D21" s="2"/>
      <c r="E21" s="16" t="s">
        <v>75</v>
      </c>
      <c r="F21" s="2">
        <v>327</v>
      </c>
      <c r="G21" s="2" t="s">
        <v>62</v>
      </c>
      <c r="H21" s="15"/>
      <c r="I21" s="2"/>
      <c r="J21" s="2"/>
      <c r="K21" s="2"/>
      <c r="L21" s="15"/>
      <c r="M21" s="2"/>
      <c r="N21" s="11">
        <f t="shared" si="6"/>
        <v>0</v>
      </c>
      <c r="O21" s="11"/>
      <c r="P21" s="20">
        <f t="shared" si="1"/>
        <v>0</v>
      </c>
      <c r="Q21" s="21">
        <f t="shared" si="2"/>
        <v>0</v>
      </c>
      <c r="R21" s="21">
        <f t="shared" si="3"/>
        <v>0</v>
      </c>
      <c r="S21" s="20">
        <f t="shared" si="4"/>
        <v>0</v>
      </c>
      <c r="T21" s="18">
        <f t="shared" si="0"/>
        <v>0</v>
      </c>
      <c r="U21" s="2"/>
      <c r="V21" s="2"/>
      <c r="W21" s="3"/>
      <c r="X21" s="6">
        <f t="shared" si="5"/>
        <v>0</v>
      </c>
      <c r="Y21" s="2"/>
      <c r="Z21" s="2"/>
      <c r="AA21" s="25" t="s">
        <v>119</v>
      </c>
      <c r="AB21" s="26"/>
      <c r="AC21" s="26"/>
      <c r="AD21" s="26"/>
      <c r="AE21" s="2"/>
      <c r="AF21" s="25" t="s">
        <v>27</v>
      </c>
      <c r="AG21" s="26"/>
      <c r="AH21" s="26"/>
      <c r="AI21" s="26"/>
      <c r="AK21" s="96" t="s">
        <v>169</v>
      </c>
      <c r="AL21" s="96" t="s">
        <v>170</v>
      </c>
      <c r="AM21" s="96" t="s">
        <v>177</v>
      </c>
      <c r="AN21" s="96" t="s">
        <v>173</v>
      </c>
      <c r="AO21" s="96" t="s">
        <v>172</v>
      </c>
      <c r="AP21" s="10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16" t="s">
        <v>161</v>
      </c>
      <c r="F22" s="5">
        <v>87.2</v>
      </c>
      <c r="G22" s="2" t="s">
        <v>62</v>
      </c>
      <c r="H22" s="15"/>
      <c r="I22" s="2"/>
      <c r="J22" s="2"/>
      <c r="K22" s="2"/>
      <c r="L22" s="15"/>
      <c r="M22" s="2"/>
      <c r="N22" s="11">
        <f t="shared" si="6"/>
        <v>0</v>
      </c>
      <c r="O22" s="11"/>
      <c r="P22" s="20">
        <f t="shared" si="1"/>
        <v>0</v>
      </c>
      <c r="Q22" s="21">
        <f t="shared" si="2"/>
        <v>0</v>
      </c>
      <c r="R22" s="21">
        <f t="shared" si="3"/>
        <v>0</v>
      </c>
      <c r="S22" s="20">
        <f t="shared" si="4"/>
        <v>0</v>
      </c>
      <c r="T22" s="18">
        <f t="shared" si="0"/>
        <v>0</v>
      </c>
      <c r="U22" s="2"/>
      <c r="V22" s="2"/>
      <c r="W22" s="3"/>
      <c r="X22" s="6">
        <f t="shared" si="5"/>
        <v>0</v>
      </c>
      <c r="Y22" s="2"/>
      <c r="Z22" s="2"/>
      <c r="AA22" s="26" t="s">
        <v>77</v>
      </c>
      <c r="AB22" s="26" t="s">
        <v>127</v>
      </c>
      <c r="AC22" s="26" t="s">
        <v>22</v>
      </c>
      <c r="AD22" s="26" t="s">
        <v>79</v>
      </c>
      <c r="AE22" s="2"/>
      <c r="AF22" s="26" t="s">
        <v>77</v>
      </c>
      <c r="AG22" s="26" t="s">
        <v>80</v>
      </c>
      <c r="AH22" s="26" t="s">
        <v>22</v>
      </c>
      <c r="AI22" s="26" t="s">
        <v>79</v>
      </c>
      <c r="AK22" s="97">
        <v>-50</v>
      </c>
      <c r="AL22" s="98">
        <f>AI24</f>
        <v>-9.6969281557452263</v>
      </c>
      <c r="AM22" s="98">
        <f>AD24</f>
        <v>-32.714787541381916</v>
      </c>
      <c r="AN22" s="99">
        <f t="shared" ref="AN22:AN32" si="7">AD39</f>
        <v>-7.6497902767017258</v>
      </c>
      <c r="AO22" s="99">
        <f t="shared" ref="AO22:AO32" si="8">AI39</f>
        <v>-40.364577818083632</v>
      </c>
      <c r="AP22" s="107">
        <f>AD54</f>
        <v>32.714787541381909</v>
      </c>
    </row>
    <row r="23" spans="1:42" ht="15.75" customHeight="1" x14ac:dyDescent="0.25">
      <c r="A23" s="2"/>
      <c r="B23" s="2"/>
      <c r="C23" s="2"/>
      <c r="D23" s="2"/>
      <c r="E23" s="16" t="s">
        <v>159</v>
      </c>
      <c r="F23" s="6">
        <v>3000</v>
      </c>
      <c r="G23" s="2" t="s">
        <v>62</v>
      </c>
      <c r="H23" s="15"/>
      <c r="I23" s="2"/>
      <c r="J23" s="2"/>
      <c r="K23" s="2"/>
      <c r="L23" s="15"/>
      <c r="M23" s="2"/>
      <c r="N23" s="11">
        <f t="shared" si="6"/>
        <v>0</v>
      </c>
      <c r="O23" s="11"/>
      <c r="P23" s="20">
        <f t="shared" si="1"/>
        <v>0</v>
      </c>
      <c r="Q23" s="21">
        <f t="shared" si="2"/>
        <v>0</v>
      </c>
      <c r="R23" s="21">
        <f t="shared" si="3"/>
        <v>0</v>
      </c>
      <c r="S23" s="20">
        <f t="shared" si="4"/>
        <v>0</v>
      </c>
      <c r="T23" s="18">
        <f t="shared" si="0"/>
        <v>0</v>
      </c>
      <c r="U23" s="2"/>
      <c r="V23" s="2"/>
      <c r="W23" s="3"/>
      <c r="X23" s="6">
        <f t="shared" si="5"/>
        <v>0</v>
      </c>
      <c r="Y23" s="2"/>
      <c r="Z23" s="2"/>
      <c r="AA23" s="26" t="s">
        <v>83</v>
      </c>
      <c r="AB23" s="28">
        <v>1.7407407407407407</v>
      </c>
      <c r="AC23" s="29">
        <f>T49</f>
        <v>937284.76332049945</v>
      </c>
      <c r="AD23" s="26"/>
      <c r="AE23" s="2"/>
      <c r="AF23" s="26" t="s">
        <v>83</v>
      </c>
      <c r="AG23" s="30">
        <v>166058.20373715649</v>
      </c>
      <c r="AH23" s="29">
        <f>T49</f>
        <v>937284.76332049945</v>
      </c>
      <c r="AI23" s="26"/>
      <c r="AK23" s="97">
        <v>-40</v>
      </c>
      <c r="AL23" s="98">
        <f>AI25</f>
        <v>-7.7575425245961904</v>
      </c>
      <c r="AM23" s="98">
        <f t="shared" ref="AM23:AM32" si="9">AD25</f>
        <v>-26.171830033105525</v>
      </c>
      <c r="AN23" s="99">
        <f t="shared" si="7"/>
        <v>-6.1198322213613832</v>
      </c>
      <c r="AO23" s="99">
        <f t="shared" si="8"/>
        <v>-32.291662254466907</v>
      </c>
      <c r="AP23" s="109">
        <f t="shared" ref="AP23:AP32" si="10">AD55</f>
        <v>26.171830033105486</v>
      </c>
    </row>
    <row r="24" spans="1:42" ht="15.75" customHeight="1" x14ac:dyDescent="0.25">
      <c r="A24" s="2"/>
      <c r="B24" s="2"/>
      <c r="C24" s="2"/>
      <c r="D24" s="2"/>
      <c r="E24" s="16" t="s">
        <v>162</v>
      </c>
      <c r="F24" s="6"/>
      <c r="G24" s="2" t="s">
        <v>62</v>
      </c>
      <c r="H24" s="2"/>
      <c r="I24" s="13"/>
      <c r="J24" s="2"/>
      <c r="K24" s="2"/>
      <c r="L24" s="15"/>
      <c r="M24" s="2"/>
      <c r="N24" s="11">
        <f t="shared" si="6"/>
        <v>0</v>
      </c>
      <c r="O24" s="11"/>
      <c r="P24" s="20">
        <f t="shared" si="1"/>
        <v>0</v>
      </c>
      <c r="Q24" s="21">
        <f t="shared" si="2"/>
        <v>0</v>
      </c>
      <c r="R24" s="21">
        <f t="shared" si="3"/>
        <v>0</v>
      </c>
      <c r="S24" s="20">
        <f t="shared" si="4"/>
        <v>0</v>
      </c>
      <c r="T24" s="18">
        <f t="shared" si="0"/>
        <v>0</v>
      </c>
      <c r="U24" s="2"/>
      <c r="V24" s="2"/>
      <c r="W24" s="3"/>
      <c r="X24" s="6">
        <f t="shared" si="5"/>
        <v>0</v>
      </c>
      <c r="Y24" s="2"/>
      <c r="Z24" s="2"/>
      <c r="AA24" s="26">
        <f t="shared" ref="AA24:AA28" si="11">AA25-10</f>
        <v>-50</v>
      </c>
      <c r="AB24" s="28">
        <f t="shared" ref="AB24:AB34" si="12">$AB$23*(1+(AA24/100))</f>
        <v>0.87037037037037035</v>
      </c>
      <c r="AC24" s="29">
        <f t="dataTable" ref="AC24:AC34" dt2D="0" dtr="0" r1="F36" ca="1"/>
        <v>630654.04434245371</v>
      </c>
      <c r="AD24" s="34">
        <f t="shared" ref="AD24:AD34" si="13">100*((AC24-$AC$29)/$AC$29)</f>
        <v>-32.714787541381916</v>
      </c>
      <c r="AE24" s="2"/>
      <c r="AF24" s="26">
        <f t="shared" ref="AF24:AF28" si="14">AF25-10</f>
        <v>-50</v>
      </c>
      <c r="AG24" s="30">
        <f t="shared" ref="AG24:AG34" si="15">$AG$23*(1+(AF24/100))</f>
        <v>83029.101868578247</v>
      </c>
      <c r="AH24" s="29">
        <f t="dataTable" ref="AH24:AH33" dt2D="0" dtr="0" r1="B47" ca="1"/>
        <v>846396.93320656393</v>
      </c>
      <c r="AI24" s="34">
        <f t="shared" ref="AI24:AI34" si="16">100*((AH24-$AH$29)/$AH$29)</f>
        <v>-9.6969281557452263</v>
      </c>
      <c r="AK24" s="97">
        <v>-30</v>
      </c>
      <c r="AL24" s="98">
        <f t="shared" ref="AL24:AL32" si="17">AI26</f>
        <v>-5.8181568934471306</v>
      </c>
      <c r="AM24" s="98">
        <f t="shared" si="9"/>
        <v>-19.628872524829145</v>
      </c>
      <c r="AN24" s="99">
        <f t="shared" si="7"/>
        <v>-4.589874166021028</v>
      </c>
      <c r="AO24" s="99">
        <f t="shared" si="8"/>
        <v>-24.218746690850196</v>
      </c>
      <c r="AP24" s="109">
        <f t="shared" si="10"/>
        <v>19.62887252482912</v>
      </c>
    </row>
    <row r="25" spans="1:42" ht="15.75" customHeight="1" x14ac:dyDescent="0.25">
      <c r="A25" s="13"/>
      <c r="B25" s="2"/>
      <c r="C25" s="2"/>
      <c r="D25" s="2"/>
      <c r="E25" s="16" t="s">
        <v>164</v>
      </c>
      <c r="F25" s="2">
        <v>72</v>
      </c>
      <c r="G25" s="2" t="s">
        <v>62</v>
      </c>
      <c r="H25" s="15"/>
      <c r="I25" s="2"/>
      <c r="J25" s="2"/>
      <c r="K25" s="2"/>
      <c r="L25" s="15"/>
      <c r="M25" s="2"/>
      <c r="N25" s="11">
        <f t="shared" si="6"/>
        <v>0</v>
      </c>
      <c r="O25" s="11"/>
      <c r="P25" s="20">
        <f t="shared" si="1"/>
        <v>0</v>
      </c>
      <c r="Q25" s="21">
        <f t="shared" si="2"/>
        <v>0</v>
      </c>
      <c r="R25" s="21">
        <f t="shared" si="3"/>
        <v>0</v>
      </c>
      <c r="S25" s="20">
        <f t="shared" si="4"/>
        <v>0</v>
      </c>
      <c r="T25" s="18">
        <f t="shared" si="0"/>
        <v>0</v>
      </c>
      <c r="U25" s="2"/>
      <c r="V25" s="2"/>
      <c r="W25" s="3"/>
      <c r="X25" s="6">
        <f t="shared" si="5"/>
        <v>0</v>
      </c>
      <c r="Y25" s="2"/>
      <c r="Z25" s="2"/>
      <c r="AA25" s="26">
        <f t="shared" si="11"/>
        <v>-40</v>
      </c>
      <c r="AB25" s="28">
        <f t="shared" si="12"/>
        <v>1.0444444444444443</v>
      </c>
      <c r="AC25" s="29">
        <v>691980.18813806295</v>
      </c>
      <c r="AD25" s="34">
        <f t="shared" si="13"/>
        <v>-26.171830033105525</v>
      </c>
      <c r="AE25" s="2"/>
      <c r="AF25" s="26">
        <f t="shared" si="14"/>
        <v>-40</v>
      </c>
      <c r="AG25" s="30">
        <f t="shared" si="15"/>
        <v>99634.922242293891</v>
      </c>
      <c r="AH25" s="29">
        <v>864574.49922935094</v>
      </c>
      <c r="AI25" s="34">
        <f t="shared" si="16"/>
        <v>-7.7575425245961904</v>
      </c>
      <c r="AK25" s="97">
        <v>-20</v>
      </c>
      <c r="AL25" s="98">
        <f t="shared" si="17"/>
        <v>-3.8787712622980952</v>
      </c>
      <c r="AM25" s="98">
        <f t="shared" si="9"/>
        <v>-13.085915016552763</v>
      </c>
      <c r="AN25" s="99">
        <f t="shared" si="7"/>
        <v>-3.0599161106806978</v>
      </c>
      <c r="AO25" s="99">
        <f t="shared" si="8"/>
        <v>-16.14583112723345</v>
      </c>
      <c r="AP25" s="109">
        <f t="shared" si="10"/>
        <v>13.085915016552748</v>
      </c>
    </row>
    <row r="26" spans="1:42" ht="15.75" customHeight="1" x14ac:dyDescent="0.25">
      <c r="A26" s="36"/>
      <c r="B26" s="37"/>
      <c r="C26" s="37"/>
      <c r="D26" s="37"/>
      <c r="E26" s="37"/>
      <c r="F26" s="37"/>
      <c r="G26" s="37"/>
      <c r="H26" s="39"/>
      <c r="I26" s="37"/>
      <c r="J26" s="37"/>
      <c r="K26" s="37"/>
      <c r="L26" s="39"/>
      <c r="M26" s="2"/>
      <c r="N26" s="11">
        <f t="shared" si="6"/>
        <v>0</v>
      </c>
      <c r="O26" s="11"/>
      <c r="P26" s="20">
        <f t="shared" si="1"/>
        <v>0</v>
      </c>
      <c r="Q26" s="21">
        <f t="shared" si="2"/>
        <v>0</v>
      </c>
      <c r="R26" s="21">
        <f t="shared" si="3"/>
        <v>0</v>
      </c>
      <c r="S26" s="20">
        <f t="shared" si="4"/>
        <v>0</v>
      </c>
      <c r="T26" s="18">
        <f t="shared" si="0"/>
        <v>0</v>
      </c>
      <c r="U26" s="2"/>
      <c r="V26" s="2"/>
      <c r="W26" s="3"/>
      <c r="X26" s="6">
        <f t="shared" si="5"/>
        <v>0</v>
      </c>
      <c r="Y26" s="2"/>
      <c r="Z26" s="2"/>
      <c r="AA26" s="26">
        <f t="shared" si="11"/>
        <v>-30</v>
      </c>
      <c r="AB26" s="28">
        <f t="shared" si="12"/>
        <v>1.2185185185185183</v>
      </c>
      <c r="AC26" s="29">
        <v>753306.33193367207</v>
      </c>
      <c r="AD26" s="34">
        <f t="shared" si="13"/>
        <v>-19.628872524829145</v>
      </c>
      <c r="AE26" s="2"/>
      <c r="AF26" s="26">
        <f t="shared" si="14"/>
        <v>-30</v>
      </c>
      <c r="AG26" s="30">
        <f t="shared" si="15"/>
        <v>116240.74261600953</v>
      </c>
      <c r="AH26" s="29">
        <v>882752.06525213819</v>
      </c>
      <c r="AI26" s="34">
        <f t="shared" si="16"/>
        <v>-5.8181568934471306</v>
      </c>
      <c r="AK26" s="97">
        <v>-10</v>
      </c>
      <c r="AL26" s="98">
        <f t="shared" si="17"/>
        <v>-1.9393856311490603</v>
      </c>
      <c r="AM26" s="98">
        <f t="shared" si="9"/>
        <v>-6.5429575082763813</v>
      </c>
      <c r="AN26" s="99">
        <f t="shared" si="7"/>
        <v>-1.5299580553403427</v>
      </c>
      <c r="AO26" s="99">
        <f t="shared" si="8"/>
        <v>-8.0729155636167249</v>
      </c>
      <c r="AP26" s="109">
        <f t="shared" si="10"/>
        <v>6.5429575082763938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6"/>
        <v>0</v>
      </c>
      <c r="O27" s="11"/>
      <c r="P27" s="20">
        <f t="shared" si="1"/>
        <v>0</v>
      </c>
      <c r="Q27" s="21">
        <f t="shared" si="2"/>
        <v>0</v>
      </c>
      <c r="R27" s="21">
        <f t="shared" si="3"/>
        <v>0</v>
      </c>
      <c r="S27" s="20">
        <f t="shared" si="4"/>
        <v>0</v>
      </c>
      <c r="T27" s="18">
        <f t="shared" si="0"/>
        <v>0</v>
      </c>
      <c r="U27" s="2"/>
      <c r="V27" s="2"/>
      <c r="W27" s="3"/>
      <c r="X27" s="6">
        <f t="shared" si="5"/>
        <v>0</v>
      </c>
      <c r="Y27" s="2"/>
      <c r="Z27" s="2"/>
      <c r="AA27" s="26">
        <f t="shared" si="11"/>
        <v>-20</v>
      </c>
      <c r="AB27" s="28">
        <f t="shared" si="12"/>
        <v>1.3925925925925926</v>
      </c>
      <c r="AC27" s="29">
        <v>814632.4757292812</v>
      </c>
      <c r="AD27" s="34">
        <f t="shared" si="13"/>
        <v>-13.085915016552763</v>
      </c>
      <c r="AE27" s="2"/>
      <c r="AF27" s="26">
        <f t="shared" si="14"/>
        <v>-20</v>
      </c>
      <c r="AG27" s="30">
        <f t="shared" si="15"/>
        <v>132846.56298972521</v>
      </c>
      <c r="AH27" s="29">
        <v>900929.6312749252</v>
      </c>
      <c r="AI27" s="34">
        <f t="shared" si="16"/>
        <v>-3.8787712622980952</v>
      </c>
      <c r="AK27" s="97">
        <v>0</v>
      </c>
      <c r="AL27" s="98">
        <f t="shared" si="17"/>
        <v>0</v>
      </c>
      <c r="AM27" s="98">
        <f t="shared" si="9"/>
        <v>0</v>
      </c>
      <c r="AN27" s="99">
        <f t="shared" si="7"/>
        <v>0</v>
      </c>
      <c r="AO27" s="99">
        <f t="shared" si="8"/>
        <v>0</v>
      </c>
      <c r="AP27" s="109">
        <f t="shared" si="10"/>
        <v>0</v>
      </c>
    </row>
    <row r="28" spans="1:42" ht="15.75" customHeight="1" x14ac:dyDescent="0.25">
      <c r="A28" s="1" t="s">
        <v>86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6"/>
        <v>0</v>
      </c>
      <c r="O28" s="11"/>
      <c r="P28" s="20">
        <f t="shared" si="1"/>
        <v>0</v>
      </c>
      <c r="Q28" s="21">
        <f t="shared" si="2"/>
        <v>0</v>
      </c>
      <c r="R28" s="21">
        <f t="shared" si="3"/>
        <v>0</v>
      </c>
      <c r="S28" s="20">
        <f t="shared" si="4"/>
        <v>0</v>
      </c>
      <c r="T28" s="18">
        <f t="shared" si="0"/>
        <v>0</v>
      </c>
      <c r="U28" s="2"/>
      <c r="V28" s="2"/>
      <c r="W28" s="3"/>
      <c r="X28" s="6">
        <f t="shared" si="5"/>
        <v>0</v>
      </c>
      <c r="Y28" s="2"/>
      <c r="Z28" s="2"/>
      <c r="AA28" s="26">
        <f t="shared" si="11"/>
        <v>-10</v>
      </c>
      <c r="AB28" s="28">
        <f t="shared" si="12"/>
        <v>1.5666666666666667</v>
      </c>
      <c r="AC28" s="29">
        <v>875958.61952489032</v>
      </c>
      <c r="AD28" s="34">
        <f t="shared" si="13"/>
        <v>-6.5429575082763813</v>
      </c>
      <c r="AE28" s="2"/>
      <c r="AF28" s="26">
        <f t="shared" si="14"/>
        <v>-10</v>
      </c>
      <c r="AG28" s="30">
        <f t="shared" si="15"/>
        <v>149452.38336344084</v>
      </c>
      <c r="AH28" s="29">
        <v>919107.19729771221</v>
      </c>
      <c r="AI28" s="34">
        <f t="shared" si="16"/>
        <v>-1.9393856311490603</v>
      </c>
      <c r="AK28" s="97">
        <v>10</v>
      </c>
      <c r="AL28" s="98">
        <f t="shared" si="17"/>
        <v>1.9393856311490352</v>
      </c>
      <c r="AM28" s="98">
        <f t="shared" si="9"/>
        <v>6.5429575082763938</v>
      </c>
      <c r="AN28" s="99">
        <f t="shared" si="7"/>
        <v>1.5299580553403427</v>
      </c>
      <c r="AO28" s="99">
        <f t="shared" si="8"/>
        <v>8.0729155636167373</v>
      </c>
      <c r="AP28" s="109">
        <f t="shared" si="10"/>
        <v>-6.5429575082763813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6"/>
        <v>0</v>
      </c>
      <c r="O29" s="11"/>
      <c r="P29" s="20">
        <f t="shared" si="1"/>
        <v>0</v>
      </c>
      <c r="Q29" s="21">
        <f t="shared" si="2"/>
        <v>0</v>
      </c>
      <c r="R29" s="21">
        <f t="shared" si="3"/>
        <v>0</v>
      </c>
      <c r="S29" s="20">
        <f t="shared" si="4"/>
        <v>0</v>
      </c>
      <c r="T29" s="18">
        <f t="shared" si="0"/>
        <v>0</v>
      </c>
      <c r="U29" s="2"/>
      <c r="V29" s="2"/>
      <c r="W29" s="3"/>
      <c r="X29" s="6">
        <f t="shared" si="5"/>
        <v>0</v>
      </c>
      <c r="Y29" s="2"/>
      <c r="Z29" s="2"/>
      <c r="AA29" s="40">
        <v>0</v>
      </c>
      <c r="AB29" s="41">
        <f t="shared" si="12"/>
        <v>1.7407407407407407</v>
      </c>
      <c r="AC29" s="42">
        <v>937284.76332049945</v>
      </c>
      <c r="AD29" s="43">
        <f t="shared" si="13"/>
        <v>0</v>
      </c>
      <c r="AE29" s="2"/>
      <c r="AF29" s="40">
        <v>0</v>
      </c>
      <c r="AG29" s="44">
        <f t="shared" si="15"/>
        <v>166058.20373715649</v>
      </c>
      <c r="AH29" s="42">
        <v>937284.76332049945</v>
      </c>
      <c r="AI29" s="43">
        <f t="shared" si="16"/>
        <v>0</v>
      </c>
      <c r="AK29" s="97">
        <v>20</v>
      </c>
      <c r="AL29" s="98">
        <f t="shared" si="17"/>
        <v>3.8787712622980703</v>
      </c>
      <c r="AM29" s="98">
        <f t="shared" si="9"/>
        <v>13.085915016552748</v>
      </c>
      <c r="AN29" s="99">
        <f t="shared" si="7"/>
        <v>3.0599161106806854</v>
      </c>
      <c r="AO29" s="99">
        <f t="shared" si="8"/>
        <v>16.145831127233436</v>
      </c>
      <c r="AP29" s="109">
        <f t="shared" si="10"/>
        <v>-13.085915016552763</v>
      </c>
    </row>
    <row r="30" spans="1:42" ht="15.75" customHeight="1" x14ac:dyDescent="0.25">
      <c r="A30" s="7" t="s">
        <v>87</v>
      </c>
      <c r="B30" s="8"/>
      <c r="C30" s="8"/>
      <c r="D30" s="8"/>
      <c r="E30" s="10" t="s">
        <v>88</v>
      </c>
      <c r="F30" s="8"/>
      <c r="G30" s="8"/>
      <c r="H30" s="8"/>
      <c r="I30" s="10"/>
      <c r="J30" s="45"/>
      <c r="K30" s="8"/>
      <c r="L30" s="9"/>
      <c r="M30" s="2"/>
      <c r="N30" s="11">
        <f t="shared" si="6"/>
        <v>0</v>
      </c>
      <c r="O30" s="11"/>
      <c r="P30" s="20">
        <f t="shared" si="1"/>
        <v>0</v>
      </c>
      <c r="Q30" s="21">
        <f t="shared" si="2"/>
        <v>0</v>
      </c>
      <c r="R30" s="21">
        <f t="shared" si="3"/>
        <v>0</v>
      </c>
      <c r="S30" s="20">
        <f t="shared" si="4"/>
        <v>0</v>
      </c>
      <c r="T30" s="18">
        <f t="shared" si="0"/>
        <v>0</v>
      </c>
      <c r="U30" s="2"/>
      <c r="V30" s="2"/>
      <c r="W30" s="3"/>
      <c r="X30" s="6">
        <f t="shared" si="5"/>
        <v>0</v>
      </c>
      <c r="Y30" s="2"/>
      <c r="Z30" s="2"/>
      <c r="AA30" s="26">
        <f t="shared" ref="AA30:AA34" si="18">AA29+10</f>
        <v>10</v>
      </c>
      <c r="AB30" s="28">
        <f t="shared" si="12"/>
        <v>1.914814814814815</v>
      </c>
      <c r="AC30" s="29">
        <v>998610.90711610869</v>
      </c>
      <c r="AD30" s="34">
        <f t="shared" si="13"/>
        <v>6.5429575082763938</v>
      </c>
      <c r="AE30" s="2"/>
      <c r="AF30" s="26">
        <f t="shared" ref="AF30:AF34" si="19">AF29+10</f>
        <v>10</v>
      </c>
      <c r="AG30" s="30">
        <f t="shared" si="15"/>
        <v>182664.02411087215</v>
      </c>
      <c r="AH30" s="29">
        <v>955462.32934328646</v>
      </c>
      <c r="AI30" s="34">
        <f t="shared" si="16"/>
        <v>1.9393856311490352</v>
      </c>
      <c r="AK30" s="97">
        <v>30</v>
      </c>
      <c r="AL30" s="98">
        <f t="shared" si="17"/>
        <v>5.8181568934471306</v>
      </c>
      <c r="AM30" s="98">
        <f t="shared" si="9"/>
        <v>19.62887252482912</v>
      </c>
      <c r="AN30" s="99">
        <f t="shared" si="7"/>
        <v>4.5898741660210405</v>
      </c>
      <c r="AO30" s="99">
        <f t="shared" si="8"/>
        <v>24.218746690850182</v>
      </c>
      <c r="AP30" s="109">
        <f t="shared" si="10"/>
        <v>-19.628872524829145</v>
      </c>
    </row>
    <row r="31" spans="1:42" ht="15.75" customHeight="1" x14ac:dyDescent="0.25">
      <c r="A31" s="24" t="s">
        <v>151</v>
      </c>
      <c r="B31" s="6">
        <f t="shared" ref="B31:B32" si="20">IF(B11=0,0,-(B11/100)*$B$45)</f>
        <v>0</v>
      </c>
      <c r="C31" s="2" t="s">
        <v>3</v>
      </c>
      <c r="D31" s="2"/>
      <c r="E31" s="16" t="s">
        <v>90</v>
      </c>
      <c r="F31" s="23">
        <f>(J16/100)*B47</f>
        <v>49817.461121146946</v>
      </c>
      <c r="G31" s="2" t="s">
        <v>3</v>
      </c>
      <c r="H31" s="2"/>
      <c r="I31" s="1" t="s">
        <v>166</v>
      </c>
      <c r="J31" s="46">
        <f>SUM(J32:J40)</f>
        <v>21619.925925925923</v>
      </c>
      <c r="K31" s="1" t="s">
        <v>47</v>
      </c>
      <c r="L31" s="15"/>
      <c r="M31" s="2"/>
      <c r="N31" s="11">
        <f t="shared" si="6"/>
        <v>0</v>
      </c>
      <c r="O31" s="11"/>
      <c r="P31" s="20">
        <f t="shared" si="1"/>
        <v>0</v>
      </c>
      <c r="Q31" s="21">
        <f t="shared" si="2"/>
        <v>0</v>
      </c>
      <c r="R31" s="21">
        <f t="shared" si="3"/>
        <v>0</v>
      </c>
      <c r="S31" s="20">
        <f t="shared" si="4"/>
        <v>0</v>
      </c>
      <c r="T31" s="18">
        <f t="shared" si="0"/>
        <v>0</v>
      </c>
      <c r="U31" s="2"/>
      <c r="V31" s="2"/>
      <c r="W31" s="3"/>
      <c r="X31" s="6">
        <f t="shared" si="5"/>
        <v>0</v>
      </c>
      <c r="Y31" s="2"/>
      <c r="Z31" s="2"/>
      <c r="AA31" s="26">
        <f t="shared" si="18"/>
        <v>20</v>
      </c>
      <c r="AB31" s="28">
        <f t="shared" si="12"/>
        <v>2.0888888888888886</v>
      </c>
      <c r="AC31" s="29">
        <v>1059937.0509117176</v>
      </c>
      <c r="AD31" s="34">
        <f t="shared" si="13"/>
        <v>13.085915016552748</v>
      </c>
      <c r="AE31" s="2"/>
      <c r="AF31" s="26">
        <f t="shared" si="19"/>
        <v>20</v>
      </c>
      <c r="AG31" s="30">
        <f t="shared" si="15"/>
        <v>199269.84448458778</v>
      </c>
      <c r="AH31" s="29">
        <v>973639.89536607347</v>
      </c>
      <c r="AI31" s="34">
        <f t="shared" si="16"/>
        <v>3.8787712622980703</v>
      </c>
      <c r="AK31" s="97">
        <v>40</v>
      </c>
      <c r="AL31" s="98">
        <f t="shared" si="17"/>
        <v>7.7575425245961656</v>
      </c>
      <c r="AM31" s="98">
        <f t="shared" si="9"/>
        <v>26.171830033105486</v>
      </c>
      <c r="AN31" s="99">
        <f t="shared" si="7"/>
        <v>6.1198322213613956</v>
      </c>
      <c r="AO31" s="99">
        <f t="shared" si="8"/>
        <v>32.291662254466878</v>
      </c>
      <c r="AP31" s="109">
        <f t="shared" si="10"/>
        <v>-26.171830033105525</v>
      </c>
    </row>
    <row r="32" spans="1:42" ht="15.75" customHeight="1" x14ac:dyDescent="0.25">
      <c r="A32" s="24" t="s">
        <v>42</v>
      </c>
      <c r="B32" s="6">
        <f t="shared" si="20"/>
        <v>0</v>
      </c>
      <c r="C32" s="2" t="s">
        <v>3</v>
      </c>
      <c r="D32" s="2"/>
      <c r="E32" s="16" t="s">
        <v>92</v>
      </c>
      <c r="F32" s="6">
        <f>B47-F31</f>
        <v>116240.74261600955</v>
      </c>
      <c r="G32" s="2" t="s">
        <v>3</v>
      </c>
      <c r="H32" s="2"/>
      <c r="I32" s="16" t="s">
        <v>125</v>
      </c>
      <c r="J32" s="14">
        <f>F15/$B$8</f>
        <v>24.222222222222221</v>
      </c>
      <c r="K32" s="2" t="s">
        <v>47</v>
      </c>
      <c r="L32" s="15"/>
      <c r="M32" s="2"/>
      <c r="N32" s="11">
        <f t="shared" si="6"/>
        <v>0</v>
      </c>
      <c r="O32" s="11"/>
      <c r="P32" s="20">
        <f t="shared" si="1"/>
        <v>0</v>
      </c>
      <c r="Q32" s="21">
        <f t="shared" si="2"/>
        <v>0</v>
      </c>
      <c r="R32" s="21">
        <f t="shared" si="3"/>
        <v>0</v>
      </c>
      <c r="S32" s="20">
        <f t="shared" si="4"/>
        <v>0</v>
      </c>
      <c r="T32" s="18">
        <f t="shared" si="0"/>
        <v>0</v>
      </c>
      <c r="U32" s="2"/>
      <c r="V32" s="2"/>
      <c r="W32" s="3"/>
      <c r="X32" s="6">
        <f t="shared" si="5"/>
        <v>0</v>
      </c>
      <c r="Y32" s="2"/>
      <c r="Z32" s="2"/>
      <c r="AA32" s="26">
        <f t="shared" si="18"/>
        <v>30</v>
      </c>
      <c r="AB32" s="28">
        <f t="shared" si="12"/>
        <v>2.2629629629629631</v>
      </c>
      <c r="AC32" s="29">
        <v>1121263.1947073266</v>
      </c>
      <c r="AD32" s="34">
        <f t="shared" si="13"/>
        <v>19.62887252482912</v>
      </c>
      <c r="AE32" s="2"/>
      <c r="AF32" s="26">
        <f t="shared" si="19"/>
        <v>30</v>
      </c>
      <c r="AG32" s="30">
        <f t="shared" si="15"/>
        <v>215875.66485830344</v>
      </c>
      <c r="AH32" s="29">
        <v>991817.46138886071</v>
      </c>
      <c r="AI32" s="34">
        <f t="shared" si="16"/>
        <v>5.8181568934471306</v>
      </c>
      <c r="AK32" s="97">
        <v>50</v>
      </c>
      <c r="AL32" s="98">
        <f t="shared" si="17"/>
        <v>18.767793017671337</v>
      </c>
      <c r="AM32" s="98">
        <f t="shared" si="9"/>
        <v>32.714787541381909</v>
      </c>
      <c r="AN32" s="99">
        <f t="shared" si="7"/>
        <v>7.6497902767017258</v>
      </c>
      <c r="AO32" s="99">
        <f t="shared" si="8"/>
        <v>40.364577818083632</v>
      </c>
      <c r="AP32" s="109">
        <f t="shared" si="10"/>
        <v>-32.714787541381916</v>
      </c>
    </row>
    <row r="33" spans="1:35" ht="15.75" customHeight="1" x14ac:dyDescent="0.25">
      <c r="A33" s="24" t="s">
        <v>48</v>
      </c>
      <c r="B33" s="6">
        <f>IF(B13=0,0,(B13/100)*($B$44))</f>
        <v>8171.116043010752</v>
      </c>
      <c r="C33" s="2" t="s">
        <v>3</v>
      </c>
      <c r="D33" s="2"/>
      <c r="E33" s="16" t="s">
        <v>93</v>
      </c>
      <c r="F33" s="23">
        <f>F32*(F18/100)*J15</f>
        <v>31966.204219402625</v>
      </c>
      <c r="G33" s="2" t="s">
        <v>3</v>
      </c>
      <c r="H33" s="2"/>
      <c r="I33" s="16" t="s">
        <v>46</v>
      </c>
      <c r="J33" s="49">
        <f>F17*F12/$B$8</f>
        <v>17680</v>
      </c>
      <c r="K33" s="2" t="s">
        <v>47</v>
      </c>
      <c r="L33" s="15"/>
      <c r="M33" s="2"/>
      <c r="N33" s="11">
        <f t="shared" si="6"/>
        <v>0</v>
      </c>
      <c r="O33" s="11"/>
      <c r="P33" s="20">
        <f t="shared" si="1"/>
        <v>0</v>
      </c>
      <c r="Q33" s="21">
        <f t="shared" si="2"/>
        <v>0</v>
      </c>
      <c r="R33" s="21">
        <f t="shared" si="3"/>
        <v>0</v>
      </c>
      <c r="S33" s="20">
        <f t="shared" si="4"/>
        <v>0</v>
      </c>
      <c r="T33" s="18">
        <f t="shared" si="0"/>
        <v>0</v>
      </c>
      <c r="U33" s="2"/>
      <c r="V33" s="2"/>
      <c r="W33" s="3"/>
      <c r="X33" s="6">
        <f t="shared" si="5"/>
        <v>0</v>
      </c>
      <c r="Y33" s="2"/>
      <c r="Z33" s="2"/>
      <c r="AA33" s="26">
        <f t="shared" si="18"/>
        <v>40</v>
      </c>
      <c r="AB33" s="28">
        <f t="shared" si="12"/>
        <v>2.4370370370370367</v>
      </c>
      <c r="AC33" s="29">
        <v>1182589.3385029356</v>
      </c>
      <c r="AD33" s="34">
        <f t="shared" si="13"/>
        <v>26.171830033105486</v>
      </c>
      <c r="AE33" s="2"/>
      <c r="AF33" s="26">
        <f t="shared" si="19"/>
        <v>40</v>
      </c>
      <c r="AG33" s="30">
        <f t="shared" si="15"/>
        <v>232481.48523201907</v>
      </c>
      <c r="AH33" s="29">
        <v>1009995.0274116477</v>
      </c>
      <c r="AI33" s="34">
        <f t="shared" si="16"/>
        <v>7.7575425245961656</v>
      </c>
    </row>
    <row r="34" spans="1:35" ht="15.75" customHeight="1" x14ac:dyDescent="0.25">
      <c r="A34" s="24" t="s">
        <v>165</v>
      </c>
      <c r="B34" s="49">
        <f>B15/$B$8</f>
        <v>259.25925925925924</v>
      </c>
      <c r="C34" s="2" t="s">
        <v>3</v>
      </c>
      <c r="D34" s="2"/>
      <c r="E34" s="2"/>
      <c r="F34" s="33"/>
      <c r="G34" s="2"/>
      <c r="H34" s="2"/>
      <c r="I34" s="16" t="s">
        <v>74</v>
      </c>
      <c r="J34" s="49">
        <f t="shared" ref="J34:J39" si="21">F20/$B$8</f>
        <v>74.074074074074076</v>
      </c>
      <c r="K34" s="2" t="s">
        <v>47</v>
      </c>
      <c r="L34" s="15"/>
      <c r="M34" s="2"/>
      <c r="N34" s="11">
        <f t="shared" si="6"/>
        <v>0</v>
      </c>
      <c r="O34" s="11"/>
      <c r="P34" s="20">
        <f t="shared" si="1"/>
        <v>0</v>
      </c>
      <c r="Q34" s="21">
        <f t="shared" si="2"/>
        <v>0</v>
      </c>
      <c r="R34" s="21">
        <f t="shared" si="3"/>
        <v>0</v>
      </c>
      <c r="S34" s="20">
        <f t="shared" si="4"/>
        <v>0</v>
      </c>
      <c r="T34" s="18">
        <f t="shared" si="0"/>
        <v>0</v>
      </c>
      <c r="U34" s="2"/>
      <c r="V34" s="2"/>
      <c r="W34" s="3"/>
      <c r="X34" s="6">
        <f t="shared" si="5"/>
        <v>0</v>
      </c>
      <c r="Y34" s="2"/>
      <c r="Z34" s="2"/>
      <c r="AA34" s="26">
        <f t="shared" si="18"/>
        <v>50</v>
      </c>
      <c r="AB34" s="28">
        <f t="shared" si="12"/>
        <v>2.6111111111111112</v>
      </c>
      <c r="AC34" s="29">
        <v>1243915.4822985451</v>
      </c>
      <c r="AD34" s="34">
        <f t="shared" si="13"/>
        <v>32.714787541381909</v>
      </c>
      <c r="AE34" s="2"/>
      <c r="AF34" s="26">
        <f t="shared" si="19"/>
        <v>50</v>
      </c>
      <c r="AG34" s="30">
        <f t="shared" si="15"/>
        <v>249087.30560573476</v>
      </c>
      <c r="AH34" s="29">
        <v>1113192.4276866615</v>
      </c>
      <c r="AI34" s="34">
        <f t="shared" si="16"/>
        <v>18.767793017671337</v>
      </c>
    </row>
    <row r="35" spans="1:35" ht="15.75" customHeight="1" x14ac:dyDescent="0.25">
      <c r="A35" s="24" t="s">
        <v>126</v>
      </c>
      <c r="B35" s="49">
        <f>B16%*B43</f>
        <v>5096.7741935483873</v>
      </c>
      <c r="C35" s="2" t="s">
        <v>3</v>
      </c>
      <c r="D35" s="2"/>
      <c r="E35" s="1" t="s">
        <v>97</v>
      </c>
      <c r="F35" s="2"/>
      <c r="G35" s="2"/>
      <c r="H35" s="2"/>
      <c r="I35" s="16" t="s">
        <v>75</v>
      </c>
      <c r="J35" s="49">
        <f t="shared" si="21"/>
        <v>242.2222222222222</v>
      </c>
      <c r="K35" s="2" t="s">
        <v>47</v>
      </c>
      <c r="L35" s="15"/>
      <c r="M35" s="2"/>
      <c r="N35" s="11">
        <f t="shared" si="6"/>
        <v>0</v>
      </c>
      <c r="O35" s="11"/>
      <c r="P35" s="20">
        <f t="shared" si="1"/>
        <v>0</v>
      </c>
      <c r="Q35" s="21">
        <f t="shared" si="2"/>
        <v>0</v>
      </c>
      <c r="R35" s="21">
        <f t="shared" si="3"/>
        <v>0</v>
      </c>
      <c r="S35" s="20">
        <f t="shared" si="4"/>
        <v>0</v>
      </c>
      <c r="T35" s="18">
        <f t="shared" si="0"/>
        <v>0</v>
      </c>
      <c r="U35" s="2"/>
      <c r="V35" s="2"/>
      <c r="W35" s="3"/>
      <c r="X35" s="6">
        <f t="shared" si="5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4" t="s">
        <v>64</v>
      </c>
      <c r="B36" s="49">
        <f t="shared" ref="B36:B39" si="22">B17/$B$8</f>
        <v>53334.074074074073</v>
      </c>
      <c r="C36" s="2" t="s">
        <v>3</v>
      </c>
      <c r="D36" s="2"/>
      <c r="E36" s="16" t="s">
        <v>153</v>
      </c>
      <c r="F36" s="14">
        <f>F13/$B$8</f>
        <v>1.7407407407407407</v>
      </c>
      <c r="G36" s="2" t="s">
        <v>120</v>
      </c>
      <c r="H36" s="2"/>
      <c r="I36" s="16" t="s">
        <v>161</v>
      </c>
      <c r="J36" s="49">
        <f t="shared" si="21"/>
        <v>64.592592592592595</v>
      </c>
      <c r="K36" s="2" t="s">
        <v>47</v>
      </c>
      <c r="L36" s="15"/>
      <c r="M36" s="2"/>
      <c r="N36" s="11">
        <f t="shared" si="6"/>
        <v>0</v>
      </c>
      <c r="O36" s="11"/>
      <c r="P36" s="20">
        <f t="shared" si="1"/>
        <v>0</v>
      </c>
      <c r="Q36" s="21">
        <f t="shared" si="2"/>
        <v>0</v>
      </c>
      <c r="R36" s="21">
        <f t="shared" si="3"/>
        <v>0</v>
      </c>
      <c r="S36" s="20">
        <f t="shared" si="4"/>
        <v>0</v>
      </c>
      <c r="T36" s="18">
        <f t="shared" si="0"/>
        <v>0</v>
      </c>
      <c r="U36" s="2"/>
      <c r="V36" s="2"/>
      <c r="W36" s="3"/>
      <c r="X36" s="6">
        <f t="shared" si="5"/>
        <v>0</v>
      </c>
      <c r="Y36" s="2"/>
      <c r="Z36" s="2"/>
      <c r="AA36" s="25" t="s">
        <v>46</v>
      </c>
      <c r="AB36" s="26"/>
      <c r="AC36" s="26"/>
      <c r="AD36" s="26"/>
      <c r="AE36" s="2"/>
      <c r="AF36" s="25" t="s">
        <v>98</v>
      </c>
      <c r="AG36" s="26"/>
      <c r="AH36" s="26"/>
      <c r="AI36" s="26"/>
    </row>
    <row r="37" spans="1:35" ht="15.75" customHeight="1" x14ac:dyDescent="0.25">
      <c r="A37" s="24" t="s">
        <v>68</v>
      </c>
      <c r="B37" s="49">
        <f t="shared" si="22"/>
        <v>-3703.7037037037035</v>
      </c>
      <c r="C37" s="2" t="s">
        <v>3</v>
      </c>
      <c r="D37" s="2"/>
      <c r="E37" s="16" t="s">
        <v>154</v>
      </c>
      <c r="F37" s="47">
        <f>F36*J10</f>
        <v>0.85296296296296292</v>
      </c>
      <c r="G37" s="2" t="s">
        <v>4</v>
      </c>
      <c r="H37" s="2"/>
      <c r="I37" s="16" t="s">
        <v>159</v>
      </c>
      <c r="J37" s="49">
        <f t="shared" si="21"/>
        <v>2222.2222222222222</v>
      </c>
      <c r="K37" s="2" t="s">
        <v>47</v>
      </c>
      <c r="L37" s="15"/>
      <c r="M37" s="2"/>
      <c r="N37" s="11">
        <f t="shared" si="6"/>
        <v>0</v>
      </c>
      <c r="O37" s="11"/>
      <c r="P37" s="20">
        <f t="shared" si="1"/>
        <v>0</v>
      </c>
      <c r="Q37" s="21">
        <f t="shared" si="2"/>
        <v>0</v>
      </c>
      <c r="R37" s="21">
        <f t="shared" si="3"/>
        <v>0</v>
      </c>
      <c r="S37" s="20">
        <f t="shared" si="4"/>
        <v>0</v>
      </c>
      <c r="T37" s="18">
        <f t="shared" si="0"/>
        <v>0</v>
      </c>
      <c r="U37" s="2"/>
      <c r="V37" s="2"/>
      <c r="W37" s="3"/>
      <c r="X37" s="6">
        <f t="shared" si="5"/>
        <v>0</v>
      </c>
      <c r="Y37" s="2"/>
      <c r="Z37" s="2"/>
      <c r="AA37" s="26" t="s">
        <v>77</v>
      </c>
      <c r="AB37" s="26" t="s">
        <v>128</v>
      </c>
      <c r="AC37" s="26" t="s">
        <v>22</v>
      </c>
      <c r="AD37" s="26" t="s">
        <v>79</v>
      </c>
      <c r="AE37" s="2"/>
      <c r="AF37" s="26" t="s">
        <v>77</v>
      </c>
      <c r="AG37" s="26" t="s">
        <v>102</v>
      </c>
      <c r="AH37" s="26" t="s">
        <v>22</v>
      </c>
      <c r="AI37" s="26" t="s">
        <v>79</v>
      </c>
    </row>
    <row r="38" spans="1:35" ht="15.75" customHeight="1" x14ac:dyDescent="0.25">
      <c r="A38" s="24" t="s">
        <v>71</v>
      </c>
      <c r="B38" s="49">
        <f t="shared" si="22"/>
        <v>20.99259259259259</v>
      </c>
      <c r="C38" s="2" t="s">
        <v>3</v>
      </c>
      <c r="D38" s="2"/>
      <c r="E38" s="16" t="s">
        <v>129</v>
      </c>
      <c r="F38" s="33">
        <f>F37*F12</f>
        <v>72501.851851851854</v>
      </c>
      <c r="G38" s="48" t="s">
        <v>47</v>
      </c>
      <c r="H38" s="2"/>
      <c r="I38" s="16" t="s">
        <v>162</v>
      </c>
      <c r="J38" s="49">
        <f t="shared" si="21"/>
        <v>0</v>
      </c>
      <c r="K38" s="2" t="s">
        <v>47</v>
      </c>
      <c r="L38" s="15"/>
      <c r="M38" s="2"/>
      <c r="N38" s="11">
        <f t="shared" si="6"/>
        <v>0</v>
      </c>
      <c r="O38" s="11"/>
      <c r="P38" s="20">
        <f t="shared" si="1"/>
        <v>0</v>
      </c>
      <c r="Q38" s="21">
        <f t="shared" si="2"/>
        <v>0</v>
      </c>
      <c r="R38" s="21">
        <f t="shared" si="3"/>
        <v>0</v>
      </c>
      <c r="S38" s="20">
        <f t="shared" si="4"/>
        <v>0</v>
      </c>
      <c r="T38" s="18">
        <f t="shared" si="0"/>
        <v>0</v>
      </c>
      <c r="U38" s="2"/>
      <c r="V38" s="2"/>
      <c r="W38" s="3"/>
      <c r="X38" s="6">
        <f t="shared" si="5"/>
        <v>0</v>
      </c>
      <c r="Y38" s="2"/>
      <c r="Z38" s="2"/>
      <c r="AA38" s="26" t="s">
        <v>83</v>
      </c>
      <c r="AB38" s="28">
        <v>17680</v>
      </c>
      <c r="AC38" s="29">
        <f>T49</f>
        <v>937284.76332049945</v>
      </c>
      <c r="AD38" s="26"/>
      <c r="AE38" s="2"/>
      <c r="AF38" s="26" t="s">
        <v>83</v>
      </c>
      <c r="AG38" s="30">
        <v>85000</v>
      </c>
      <c r="AH38" s="29">
        <f>T49</f>
        <v>937284.76332049945</v>
      </c>
      <c r="AI38" s="26"/>
    </row>
    <row r="39" spans="1:35" ht="15.75" customHeight="1" x14ac:dyDescent="0.25">
      <c r="A39" s="24" t="s">
        <v>72</v>
      </c>
      <c r="B39" s="49">
        <f t="shared" si="22"/>
        <v>740.74074074074065</v>
      </c>
      <c r="C39" s="2" t="s">
        <v>3</v>
      </c>
      <c r="D39" s="2"/>
      <c r="E39" s="2"/>
      <c r="F39" s="2"/>
      <c r="G39" s="2"/>
      <c r="H39" s="2"/>
      <c r="I39" s="16" t="s">
        <v>164</v>
      </c>
      <c r="J39" s="49">
        <f t="shared" si="21"/>
        <v>53.333333333333329</v>
      </c>
      <c r="K39" s="2" t="s">
        <v>47</v>
      </c>
      <c r="L39" s="15"/>
      <c r="M39" s="2"/>
      <c r="N39" s="11">
        <f t="shared" si="6"/>
        <v>0</v>
      </c>
      <c r="O39" s="11"/>
      <c r="P39" s="20">
        <f t="shared" si="1"/>
        <v>0</v>
      </c>
      <c r="Q39" s="21">
        <f t="shared" si="2"/>
        <v>0</v>
      </c>
      <c r="R39" s="21">
        <f t="shared" si="3"/>
        <v>0</v>
      </c>
      <c r="S39" s="20">
        <f t="shared" si="4"/>
        <v>0</v>
      </c>
      <c r="T39" s="18">
        <f t="shared" si="0"/>
        <v>0</v>
      </c>
      <c r="U39" s="2"/>
      <c r="V39" s="2"/>
      <c r="W39" s="3"/>
      <c r="X39" s="6">
        <f t="shared" si="5"/>
        <v>0</v>
      </c>
      <c r="Y39" s="2"/>
      <c r="Z39" s="2"/>
      <c r="AA39" s="26">
        <f t="shared" ref="AA39:AA43" si="23">AA40-10</f>
        <v>-50</v>
      </c>
      <c r="AB39" s="28">
        <f t="shared" ref="AB39:AB49" si="24">$AB$38*(1+(AA39/100))</f>
        <v>8840</v>
      </c>
      <c r="AC39" s="29">
        <f t="dataTable" ref="AC39:AC49" dt2D="0" dtr="0" r1="J33" ca="1"/>
        <v>865584.4446310011</v>
      </c>
      <c r="AD39" s="34">
        <f t="shared" ref="AD39:AD49" si="25">100*((AC39-$AC$44)/$AC$44)</f>
        <v>-7.6497902767017258</v>
      </c>
      <c r="AE39" s="2"/>
      <c r="AF39" s="26">
        <f t="shared" ref="AF39:AF43" si="26">AF40-10</f>
        <v>-50</v>
      </c>
      <c r="AG39" s="30">
        <f t="shared" ref="AG39:AG49" si="27">$AG$38*(1+(AF39/100))</f>
        <v>42500</v>
      </c>
      <c r="AH39" s="29">
        <f t="dataTable" ref="AH39:AH49" dt2D="0" dtr="0" r1="F12" ca="1"/>
        <v>558953.72565295547</v>
      </c>
      <c r="AI39" s="34">
        <f t="shared" ref="AI39:AI49" si="28">100*((AH39-$AH$44)/$AH$44)</f>
        <v>-40.364577818083632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65</v>
      </c>
      <c r="J40" s="14">
        <f>F16/B8</f>
        <v>1259.2592592592591</v>
      </c>
      <c r="K40" s="2" t="s">
        <v>47</v>
      </c>
      <c r="L40" s="15"/>
      <c r="M40" s="2"/>
      <c r="N40" s="11">
        <f t="shared" si="6"/>
        <v>0</v>
      </c>
      <c r="O40" s="11"/>
      <c r="P40" s="20">
        <f t="shared" si="1"/>
        <v>0</v>
      </c>
      <c r="Q40" s="21">
        <f t="shared" si="2"/>
        <v>0</v>
      </c>
      <c r="R40" s="21">
        <f t="shared" si="3"/>
        <v>0</v>
      </c>
      <c r="S40" s="20">
        <f t="shared" si="4"/>
        <v>0</v>
      </c>
      <c r="T40" s="18">
        <f t="shared" si="0"/>
        <v>0</v>
      </c>
      <c r="U40" s="2"/>
      <c r="V40" s="2"/>
      <c r="W40" s="3"/>
      <c r="X40" s="6">
        <f t="shared" si="5"/>
        <v>0</v>
      </c>
      <c r="Y40" s="2"/>
      <c r="Z40" s="2"/>
      <c r="AA40" s="26">
        <f t="shared" si="23"/>
        <v>-40</v>
      </c>
      <c r="AB40" s="28">
        <f t="shared" si="24"/>
        <v>10608</v>
      </c>
      <c r="AC40" s="29">
        <v>879924.50836890074</v>
      </c>
      <c r="AD40" s="34">
        <f t="shared" si="25"/>
        <v>-6.1198322213613832</v>
      </c>
      <c r="AE40" s="2"/>
      <c r="AF40" s="26">
        <f t="shared" si="26"/>
        <v>-40</v>
      </c>
      <c r="AG40" s="30">
        <f t="shared" si="27"/>
        <v>51000</v>
      </c>
      <c r="AH40" s="29">
        <v>634619.93318646424</v>
      </c>
      <c r="AI40" s="34">
        <f t="shared" si="28"/>
        <v>-32.291662254466907</v>
      </c>
    </row>
    <row r="41" spans="1:35" ht="15.75" customHeight="1" x14ac:dyDescent="0.25">
      <c r="A41" s="2"/>
      <c r="B41" s="2"/>
      <c r="C41" s="2"/>
      <c r="D41" s="2"/>
      <c r="E41" s="16" t="s">
        <v>95</v>
      </c>
      <c r="F41" s="6">
        <f>F12*B5</f>
        <v>850000</v>
      </c>
      <c r="G41" s="2" t="s">
        <v>96</v>
      </c>
      <c r="H41" s="2"/>
      <c r="I41" s="2"/>
      <c r="J41" s="2"/>
      <c r="K41" s="2"/>
      <c r="L41" s="15"/>
      <c r="M41" s="2"/>
      <c r="N41" s="11">
        <f t="shared" si="6"/>
        <v>0</v>
      </c>
      <c r="O41" s="11"/>
      <c r="P41" s="20">
        <f t="shared" si="1"/>
        <v>0</v>
      </c>
      <c r="Q41" s="21">
        <f t="shared" si="2"/>
        <v>0</v>
      </c>
      <c r="R41" s="21">
        <f t="shared" si="3"/>
        <v>0</v>
      </c>
      <c r="S41" s="20">
        <f t="shared" si="4"/>
        <v>0</v>
      </c>
      <c r="T41" s="18">
        <f t="shared" si="0"/>
        <v>0</v>
      </c>
      <c r="U41" s="2"/>
      <c r="V41" s="2"/>
      <c r="W41" s="3"/>
      <c r="X41" s="6">
        <f t="shared" si="5"/>
        <v>0</v>
      </c>
      <c r="Y41" s="2"/>
      <c r="Z41" s="2"/>
      <c r="AA41" s="26">
        <f t="shared" si="23"/>
        <v>-30</v>
      </c>
      <c r="AB41" s="28">
        <f t="shared" si="24"/>
        <v>12376</v>
      </c>
      <c r="AC41" s="29">
        <v>894264.57210680051</v>
      </c>
      <c r="AD41" s="34">
        <f t="shared" si="25"/>
        <v>-4.589874166021028</v>
      </c>
      <c r="AE41" s="2"/>
      <c r="AF41" s="26">
        <f t="shared" si="26"/>
        <v>-30</v>
      </c>
      <c r="AG41" s="30">
        <f t="shared" si="27"/>
        <v>59499.999999999993</v>
      </c>
      <c r="AH41" s="29">
        <v>710286.1407199729</v>
      </c>
      <c r="AI41" s="34">
        <f t="shared" si="28"/>
        <v>-24.218746690850196</v>
      </c>
    </row>
    <row r="42" spans="1:35" ht="15.75" customHeight="1" x14ac:dyDescent="0.25">
      <c r="A42" s="22" t="s">
        <v>106</v>
      </c>
      <c r="B42" s="3"/>
      <c r="C42" s="1"/>
      <c r="D42" s="2"/>
      <c r="E42" s="16"/>
      <c r="F42" s="14"/>
      <c r="G42" s="2"/>
      <c r="H42" s="2"/>
      <c r="I42" s="2"/>
      <c r="J42" s="2"/>
      <c r="K42" s="2"/>
      <c r="L42" s="15"/>
      <c r="M42" s="2"/>
      <c r="N42" s="11">
        <f t="shared" si="6"/>
        <v>0</v>
      </c>
      <c r="O42" s="11"/>
      <c r="P42" s="20">
        <f t="shared" si="1"/>
        <v>0</v>
      </c>
      <c r="Q42" s="21">
        <f t="shared" si="2"/>
        <v>0</v>
      </c>
      <c r="R42" s="21">
        <f t="shared" si="3"/>
        <v>0</v>
      </c>
      <c r="S42" s="20">
        <f t="shared" si="4"/>
        <v>0</v>
      </c>
      <c r="T42" s="18">
        <f t="shared" si="0"/>
        <v>0</v>
      </c>
      <c r="U42" s="2"/>
      <c r="V42" s="2"/>
      <c r="W42" s="3"/>
      <c r="X42" s="6">
        <f t="shared" si="5"/>
        <v>0</v>
      </c>
      <c r="Y42" s="2"/>
      <c r="Z42" s="2"/>
      <c r="AA42" s="26">
        <f t="shared" si="23"/>
        <v>-20</v>
      </c>
      <c r="AB42" s="28">
        <f t="shared" si="24"/>
        <v>14144</v>
      </c>
      <c r="AC42" s="29">
        <v>908604.63584470004</v>
      </c>
      <c r="AD42" s="34">
        <f t="shared" si="25"/>
        <v>-3.0599161106806978</v>
      </c>
      <c r="AE42" s="2"/>
      <c r="AF42" s="26">
        <f t="shared" si="26"/>
        <v>-20</v>
      </c>
      <c r="AG42" s="30">
        <f t="shared" si="27"/>
        <v>68000</v>
      </c>
      <c r="AH42" s="29">
        <v>785952.3482534819</v>
      </c>
      <c r="AI42" s="34">
        <f t="shared" si="28"/>
        <v>-16.14583112723345</v>
      </c>
    </row>
    <row r="43" spans="1:35" ht="15.75" customHeight="1" x14ac:dyDescent="0.25">
      <c r="A43" s="16" t="s">
        <v>183</v>
      </c>
      <c r="B43" s="6">
        <f>J8/B8</f>
        <v>101935.48387096774</v>
      </c>
      <c r="C43" s="2" t="s">
        <v>3</v>
      </c>
      <c r="D43" s="2"/>
      <c r="E43" s="2"/>
      <c r="F43" s="2"/>
      <c r="G43" s="2"/>
      <c r="H43" s="2"/>
      <c r="I43" s="16"/>
      <c r="J43" s="49"/>
      <c r="K43" s="2"/>
      <c r="L43" s="15"/>
      <c r="M43" s="2"/>
      <c r="N43" s="11">
        <f t="shared" si="6"/>
        <v>0</v>
      </c>
      <c r="O43" s="11"/>
      <c r="P43" s="20">
        <f t="shared" si="1"/>
        <v>0</v>
      </c>
      <c r="Q43" s="21">
        <f t="shared" si="2"/>
        <v>0</v>
      </c>
      <c r="R43" s="21">
        <f t="shared" si="3"/>
        <v>0</v>
      </c>
      <c r="S43" s="20">
        <f t="shared" si="4"/>
        <v>0</v>
      </c>
      <c r="T43" s="18">
        <f t="shared" si="0"/>
        <v>0</v>
      </c>
      <c r="U43" s="2"/>
      <c r="V43" s="2"/>
      <c r="W43" s="3"/>
      <c r="X43" s="6">
        <f t="shared" si="5"/>
        <v>0</v>
      </c>
      <c r="Y43" s="2"/>
      <c r="Z43" s="2"/>
      <c r="AA43" s="26">
        <f t="shared" si="23"/>
        <v>-10</v>
      </c>
      <c r="AB43" s="28">
        <f t="shared" si="24"/>
        <v>15912</v>
      </c>
      <c r="AC43" s="29">
        <v>922944.6995825998</v>
      </c>
      <c r="AD43" s="34">
        <f t="shared" si="25"/>
        <v>-1.5299580553403427</v>
      </c>
      <c r="AE43" s="2"/>
      <c r="AF43" s="26">
        <f t="shared" si="26"/>
        <v>-10</v>
      </c>
      <c r="AG43" s="30">
        <f t="shared" si="27"/>
        <v>76500</v>
      </c>
      <c r="AH43" s="29">
        <v>861618.55578699068</v>
      </c>
      <c r="AI43" s="34">
        <f t="shared" si="28"/>
        <v>-8.0729155636167249</v>
      </c>
    </row>
    <row r="44" spans="1:35" ht="15.75" customHeight="1" x14ac:dyDescent="0.25">
      <c r="A44" s="2" t="s">
        <v>160</v>
      </c>
      <c r="B44" s="23">
        <f>(B14/B8)+B43</f>
        <v>102138.9505376344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6"/>
        <v>0</v>
      </c>
      <c r="O44" s="11"/>
      <c r="P44" s="20">
        <f t="shared" si="1"/>
        <v>0</v>
      </c>
      <c r="Q44" s="21">
        <f t="shared" si="2"/>
        <v>0</v>
      </c>
      <c r="R44" s="21">
        <f t="shared" si="3"/>
        <v>0</v>
      </c>
      <c r="S44" s="20">
        <f t="shared" si="4"/>
        <v>0</v>
      </c>
      <c r="T44" s="18">
        <f t="shared" si="0"/>
        <v>0</v>
      </c>
      <c r="U44" s="2"/>
      <c r="V44" s="2"/>
      <c r="W44" s="3"/>
      <c r="X44" s="6">
        <f t="shared" si="5"/>
        <v>0</v>
      </c>
      <c r="Y44" s="2"/>
      <c r="Z44" s="2"/>
      <c r="AA44" s="40">
        <v>0</v>
      </c>
      <c r="AB44" s="41">
        <f t="shared" si="24"/>
        <v>17680</v>
      </c>
      <c r="AC44" s="42">
        <v>937284.76332049945</v>
      </c>
      <c r="AD44" s="43">
        <f t="shared" si="25"/>
        <v>0</v>
      </c>
      <c r="AE44" s="2"/>
      <c r="AF44" s="40">
        <v>0</v>
      </c>
      <c r="AG44" s="44">
        <f t="shared" si="27"/>
        <v>85000</v>
      </c>
      <c r="AH44" s="42">
        <v>937284.76332049945</v>
      </c>
      <c r="AI44" s="43">
        <f t="shared" si="28"/>
        <v>0</v>
      </c>
    </row>
    <row r="45" spans="1:35" ht="15.75" customHeight="1" x14ac:dyDescent="0.25">
      <c r="A45" s="24" t="s">
        <v>130</v>
      </c>
      <c r="B45" s="6">
        <f>SUM(B33:B39)+B44</f>
        <v>166058.20373715649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6"/>
        <v>0</v>
      </c>
      <c r="O45" s="11"/>
      <c r="P45" s="20">
        <f t="shared" si="1"/>
        <v>0</v>
      </c>
      <c r="Q45" s="21">
        <f t="shared" si="2"/>
        <v>0</v>
      </c>
      <c r="R45" s="21">
        <f t="shared" si="3"/>
        <v>0</v>
      </c>
      <c r="S45" s="20">
        <f t="shared" si="4"/>
        <v>0</v>
      </c>
      <c r="T45" s="18">
        <f t="shared" si="0"/>
        <v>0</v>
      </c>
      <c r="U45" s="2"/>
      <c r="V45" s="2"/>
      <c r="W45" s="3"/>
      <c r="X45" s="6">
        <f t="shared" si="5"/>
        <v>0</v>
      </c>
      <c r="Y45" s="2"/>
      <c r="Z45" s="2"/>
      <c r="AA45" s="26">
        <f t="shared" ref="AA45:AA49" si="29">AA44+10</f>
        <v>10</v>
      </c>
      <c r="AB45" s="28">
        <f t="shared" si="24"/>
        <v>19448</v>
      </c>
      <c r="AC45" s="29">
        <v>951624.8270583991</v>
      </c>
      <c r="AD45" s="34">
        <f t="shared" si="25"/>
        <v>1.5299580553403427</v>
      </c>
      <c r="AE45" s="2"/>
      <c r="AF45" s="26">
        <f t="shared" ref="AF45:AF49" si="30">AF44+10</f>
        <v>10</v>
      </c>
      <c r="AG45" s="30">
        <f t="shared" si="27"/>
        <v>93500.000000000015</v>
      </c>
      <c r="AH45" s="29">
        <v>1012950.9708540083</v>
      </c>
      <c r="AI45" s="34">
        <f t="shared" si="28"/>
        <v>8.0729155636167373</v>
      </c>
    </row>
    <row r="46" spans="1:35" ht="15.75" customHeight="1" x14ac:dyDescent="0.25">
      <c r="A46" s="24" t="s">
        <v>152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6"/>
        <v>0</v>
      </c>
      <c r="O46" s="11"/>
      <c r="P46" s="20">
        <f t="shared" si="1"/>
        <v>0</v>
      </c>
      <c r="Q46" s="21">
        <f t="shared" si="2"/>
        <v>0</v>
      </c>
      <c r="R46" s="21">
        <f t="shared" si="3"/>
        <v>0</v>
      </c>
      <c r="S46" s="20">
        <f t="shared" si="4"/>
        <v>0</v>
      </c>
      <c r="T46" s="18">
        <f t="shared" si="0"/>
        <v>0</v>
      </c>
      <c r="U46" s="2"/>
      <c r="V46" s="2"/>
      <c r="W46" s="3"/>
      <c r="X46" s="6">
        <f t="shared" si="5"/>
        <v>0</v>
      </c>
      <c r="Y46" s="2"/>
      <c r="Z46" s="2"/>
      <c r="AA46" s="26">
        <f t="shared" si="29"/>
        <v>20</v>
      </c>
      <c r="AB46" s="28">
        <f t="shared" si="24"/>
        <v>21216</v>
      </c>
      <c r="AC46" s="29">
        <v>965964.89079629874</v>
      </c>
      <c r="AD46" s="34">
        <f t="shared" si="25"/>
        <v>3.0599161106806854</v>
      </c>
      <c r="AE46" s="2"/>
      <c r="AF46" s="26">
        <f t="shared" si="30"/>
        <v>20</v>
      </c>
      <c r="AG46" s="30">
        <f t="shared" si="27"/>
        <v>102000</v>
      </c>
      <c r="AH46" s="29">
        <v>1088617.1783875169</v>
      </c>
      <c r="AI46" s="34">
        <f t="shared" si="28"/>
        <v>16.145831127233436</v>
      </c>
    </row>
    <row r="47" spans="1:35" ht="15.75" customHeight="1" x14ac:dyDescent="0.25">
      <c r="A47" s="24" t="s">
        <v>150</v>
      </c>
      <c r="B47" s="6">
        <f>SUM(B45:B46)</f>
        <v>166058.20373715649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6"/>
        <v>0</v>
      </c>
      <c r="O47" s="11"/>
      <c r="P47" s="20">
        <f t="shared" si="1"/>
        <v>0</v>
      </c>
      <c r="Q47" s="21">
        <f t="shared" si="2"/>
        <v>0</v>
      </c>
      <c r="R47" s="21">
        <f t="shared" si="3"/>
        <v>0</v>
      </c>
      <c r="S47" s="20">
        <f t="shared" si="4"/>
        <v>0</v>
      </c>
      <c r="T47" s="18">
        <f t="shared" si="0"/>
        <v>0</v>
      </c>
      <c r="U47" s="2"/>
      <c r="V47" s="2"/>
      <c r="W47" s="3"/>
      <c r="X47" s="6">
        <f t="shared" si="5"/>
        <v>0</v>
      </c>
      <c r="Y47" s="2"/>
      <c r="Z47" s="2"/>
      <c r="AA47" s="26">
        <f t="shared" si="29"/>
        <v>30</v>
      </c>
      <c r="AB47" s="28">
        <f t="shared" si="24"/>
        <v>22984</v>
      </c>
      <c r="AC47" s="29">
        <v>980304.95453419851</v>
      </c>
      <c r="AD47" s="34">
        <f t="shared" si="25"/>
        <v>4.5898741660210405</v>
      </c>
      <c r="AE47" s="2"/>
      <c r="AF47" s="26">
        <f t="shared" si="30"/>
        <v>30</v>
      </c>
      <c r="AG47" s="30">
        <f t="shared" si="27"/>
        <v>110500</v>
      </c>
      <c r="AH47" s="29">
        <v>1164283.3859210259</v>
      </c>
      <c r="AI47" s="34">
        <f t="shared" si="28"/>
        <v>24.218746690850182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6"/>
        <v>0</v>
      </c>
      <c r="O48" s="11"/>
      <c r="P48" s="20">
        <f t="shared" si="1"/>
        <v>0</v>
      </c>
      <c r="Q48" s="21">
        <f t="shared" si="2"/>
        <v>0</v>
      </c>
      <c r="R48" s="21">
        <f t="shared" si="3"/>
        <v>0</v>
      </c>
      <c r="S48" s="20">
        <f t="shared" si="4"/>
        <v>0</v>
      </c>
      <c r="T48" s="18">
        <f t="shared" si="0"/>
        <v>0</v>
      </c>
      <c r="U48" s="2"/>
      <c r="V48" s="2"/>
      <c r="W48" s="3"/>
      <c r="X48" s="6">
        <f t="shared" si="5"/>
        <v>0</v>
      </c>
      <c r="Y48" s="2"/>
      <c r="Z48" s="2"/>
      <c r="AA48" s="26">
        <f t="shared" si="29"/>
        <v>40</v>
      </c>
      <c r="AB48" s="28">
        <f t="shared" si="24"/>
        <v>24752</v>
      </c>
      <c r="AC48" s="29">
        <v>994645.01827209827</v>
      </c>
      <c r="AD48" s="34">
        <f t="shared" si="25"/>
        <v>6.1198322213613956</v>
      </c>
      <c r="AE48" s="2"/>
      <c r="AF48" s="26">
        <f t="shared" si="30"/>
        <v>40</v>
      </c>
      <c r="AG48" s="30">
        <f t="shared" si="27"/>
        <v>118999.99999999999</v>
      </c>
      <c r="AH48" s="29">
        <v>1239949.5934545344</v>
      </c>
      <c r="AI48" s="34">
        <f t="shared" si="28"/>
        <v>32.291662254466878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110</v>
      </c>
      <c r="O49" s="18">
        <f t="shared" ref="O49:T49" si="31">SUM(O8:O48)</f>
        <v>49817.461121146946</v>
      </c>
      <c r="P49" s="18">
        <f t="shared" si="31"/>
        <v>131958.19910672389</v>
      </c>
      <c r="Q49" s="18">
        <f t="shared" si="31"/>
        <v>613261.43795609113</v>
      </c>
      <c r="R49" s="18">
        <f t="shared" si="31"/>
        <v>175356.96594256087</v>
      </c>
      <c r="S49" s="18">
        <f t="shared" si="31"/>
        <v>-33109.300806023391</v>
      </c>
      <c r="T49" s="18">
        <f t="shared" si="31"/>
        <v>937284.76332049945</v>
      </c>
      <c r="U49" s="2"/>
      <c r="V49" s="2"/>
      <c r="W49" s="3"/>
      <c r="X49" s="3"/>
      <c r="Y49" s="2"/>
      <c r="Z49" s="2"/>
      <c r="AA49" s="26">
        <f t="shared" si="29"/>
        <v>50</v>
      </c>
      <c r="AB49" s="28">
        <f t="shared" si="24"/>
        <v>26520</v>
      </c>
      <c r="AC49" s="29">
        <v>1008985.0820099978</v>
      </c>
      <c r="AD49" s="34">
        <f t="shared" si="25"/>
        <v>7.6497902767017258</v>
      </c>
      <c r="AE49" s="2"/>
      <c r="AF49" s="26">
        <f t="shared" si="30"/>
        <v>50</v>
      </c>
      <c r="AG49" s="30">
        <f t="shared" si="27"/>
        <v>127500</v>
      </c>
      <c r="AH49" s="29">
        <v>1315615.8009880434</v>
      </c>
      <c r="AI49" s="34">
        <f t="shared" si="28"/>
        <v>40.364577818083632</v>
      </c>
    </row>
    <row r="50" spans="1:35" ht="15.75" customHeight="1" x14ac:dyDescent="0.25">
      <c r="A50" s="2"/>
      <c r="B50" s="33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3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77" t="s">
        <v>178</v>
      </c>
      <c r="AB51" s="78"/>
      <c r="AC51" s="78"/>
      <c r="AD51" s="7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78" t="s">
        <v>77</v>
      </c>
      <c r="AB52" s="78" t="s">
        <v>178</v>
      </c>
      <c r="AC52" s="78" t="s">
        <v>22</v>
      </c>
      <c r="AD52" s="78" t="s">
        <v>79</v>
      </c>
      <c r="AE52" s="2"/>
      <c r="AF52" s="2"/>
      <c r="AG52" s="2"/>
      <c r="AH52" s="2"/>
      <c r="AI52" s="2"/>
    </row>
    <row r="53" spans="1:35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9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3"/>
      <c r="Z53" s="2"/>
      <c r="AA53" s="78" t="s">
        <v>83</v>
      </c>
      <c r="AB53" s="100">
        <v>0.49</v>
      </c>
      <c r="AC53" s="80">
        <f>T49</f>
        <v>937284.76332049945</v>
      </c>
      <c r="AD53" s="7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0"/>
      <c r="O54" s="51" t="s">
        <v>112</v>
      </c>
      <c r="P54" s="52" t="str">
        <f>B1</f>
        <v>Singapore</v>
      </c>
      <c r="Q54" s="50"/>
      <c r="R54" s="50"/>
      <c r="S54" s="50"/>
      <c r="T54" s="50"/>
      <c r="U54" s="50"/>
      <c r="V54" s="2"/>
      <c r="W54" s="2"/>
      <c r="X54" s="2"/>
      <c r="Y54" s="33"/>
      <c r="Z54" s="2"/>
      <c r="AA54" s="78">
        <f t="shared" ref="AA54:AA58" si="32">AA55-10</f>
        <v>-50</v>
      </c>
      <c r="AB54" s="100">
        <f>$AB$53*(1+(-AA54/100))</f>
        <v>0.73499999999999999</v>
      </c>
      <c r="AC54" s="80">
        <f t="dataTable" ref="AC54:AC64" dt2D="0" dtr="0" r1="J10"/>
        <v>1243915.4822985451</v>
      </c>
      <c r="AD54" s="101">
        <f>100*((AC54-$AC$59)/$AC$59)</f>
        <v>32.714787541381909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113</v>
      </c>
      <c r="P55" s="23">
        <f>SUM(O49:P49)</f>
        <v>181775.66022787083</v>
      </c>
      <c r="Q55" s="2" t="s">
        <v>3</v>
      </c>
      <c r="R55" s="47">
        <f t="shared" ref="R55:R58" si="33">P55/$F$41</f>
        <v>0.21385371791514216</v>
      </c>
      <c r="S55" s="2" t="s">
        <v>4</v>
      </c>
      <c r="T55" s="2"/>
      <c r="U55" s="2"/>
      <c r="V55" s="2"/>
      <c r="W55" s="2"/>
      <c r="X55" s="2"/>
      <c r="Y55" s="33"/>
      <c r="Z55" s="2"/>
      <c r="AA55" s="78">
        <f t="shared" si="32"/>
        <v>-40</v>
      </c>
      <c r="AB55" s="100">
        <f t="shared" ref="AB55:AB64" si="34">$AB$53*(1+(-AA55/100))</f>
        <v>0.68599999999999994</v>
      </c>
      <c r="AC55" s="80">
        <v>1182589.3385029356</v>
      </c>
      <c r="AD55" s="101">
        <f t="shared" ref="AD55:AD64" si="35">100*((AC55-$AC$59)/$AC$59)</f>
        <v>26.171830033105486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97</v>
      </c>
      <c r="P56" s="23">
        <f>SUM(Q49)</f>
        <v>613261.43795609113</v>
      </c>
      <c r="Q56" s="2" t="s">
        <v>3</v>
      </c>
      <c r="R56" s="47">
        <f t="shared" si="33"/>
        <v>0.72148404465422489</v>
      </c>
      <c r="S56" s="2" t="s">
        <v>4</v>
      </c>
      <c r="T56" s="2"/>
      <c r="U56" s="2"/>
      <c r="V56" s="2"/>
      <c r="W56" s="2"/>
      <c r="X56" s="2"/>
      <c r="Y56" s="33"/>
      <c r="Z56" s="2"/>
      <c r="AA56" s="78">
        <f t="shared" si="32"/>
        <v>-30</v>
      </c>
      <c r="AB56" s="100">
        <f t="shared" si="34"/>
        <v>0.63700000000000001</v>
      </c>
      <c r="AC56" s="80">
        <v>1121263.1947073266</v>
      </c>
      <c r="AD56" s="101">
        <f t="shared" si="35"/>
        <v>19.62887252482912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114</v>
      </c>
      <c r="P57" s="23">
        <f>SUM(R49)</f>
        <v>175356.96594256087</v>
      </c>
      <c r="Q57" s="2" t="s">
        <v>3</v>
      </c>
      <c r="R57" s="47">
        <f t="shared" si="33"/>
        <v>0.20630231287360101</v>
      </c>
      <c r="S57" s="2" t="s">
        <v>4</v>
      </c>
      <c r="T57" s="2"/>
      <c r="U57" s="2"/>
      <c r="V57" s="2"/>
      <c r="W57" s="2"/>
      <c r="X57" s="2"/>
      <c r="Y57" s="33"/>
      <c r="Z57" s="2"/>
      <c r="AA57" s="78">
        <f t="shared" si="32"/>
        <v>-20</v>
      </c>
      <c r="AB57" s="100">
        <f t="shared" si="34"/>
        <v>0.58799999999999997</v>
      </c>
      <c r="AC57" s="80">
        <v>1059937.0509117176</v>
      </c>
      <c r="AD57" s="101">
        <f t="shared" si="35"/>
        <v>13.085915016552748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116</v>
      </c>
      <c r="P58" s="23">
        <f>S49</f>
        <v>-33109.300806023391</v>
      </c>
      <c r="Q58" s="2" t="s">
        <v>3</v>
      </c>
      <c r="R58" s="47">
        <f t="shared" si="33"/>
        <v>-3.895211859532164E-2</v>
      </c>
      <c r="S58" s="2" t="s">
        <v>4</v>
      </c>
      <c r="T58" s="2"/>
      <c r="U58" s="2"/>
      <c r="V58" s="2"/>
      <c r="W58" s="2"/>
      <c r="X58" s="2"/>
      <c r="Y58" s="33"/>
      <c r="Z58" s="2"/>
      <c r="AA58" s="78">
        <f t="shared" si="32"/>
        <v>-10</v>
      </c>
      <c r="AB58" s="100">
        <f t="shared" si="34"/>
        <v>0.53900000000000003</v>
      </c>
      <c r="AC58" s="80">
        <v>998610.90711610869</v>
      </c>
      <c r="AD58" s="101">
        <f t="shared" si="35"/>
        <v>6.5429575082763938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3"/>
      <c r="Z59" s="2"/>
      <c r="AA59" s="81">
        <v>0</v>
      </c>
      <c r="AB59" s="102">
        <f t="shared" si="34"/>
        <v>0.49</v>
      </c>
      <c r="AC59" s="103">
        <v>937284.76332049945</v>
      </c>
      <c r="AD59" s="104">
        <f t="shared" si="35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937284.76332049933</v>
      </c>
      <c r="Q60" s="1" t="s">
        <v>3</v>
      </c>
      <c r="R60" s="55">
        <f>SUM(R55:R58)</f>
        <v>1.1026879568476464</v>
      </c>
      <c r="S60" s="1" t="s">
        <v>4</v>
      </c>
      <c r="T60" s="1"/>
      <c r="U60" s="2"/>
      <c r="V60" s="2"/>
      <c r="W60" s="2"/>
      <c r="X60" s="2"/>
      <c r="Y60" s="33"/>
      <c r="Z60" s="2"/>
      <c r="AA60" s="78">
        <f t="shared" ref="AA60:AA64" si="36">AA59+10</f>
        <v>10</v>
      </c>
      <c r="AB60" s="100">
        <f t="shared" si="34"/>
        <v>0.441</v>
      </c>
      <c r="AC60" s="80">
        <v>875958.61952489032</v>
      </c>
      <c r="AD60" s="101">
        <f t="shared" si="35"/>
        <v>-6.5429575082763813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3"/>
      <c r="Z61" s="2"/>
      <c r="AA61" s="78">
        <f t="shared" si="36"/>
        <v>20</v>
      </c>
      <c r="AB61" s="100">
        <f t="shared" si="34"/>
        <v>0.39200000000000002</v>
      </c>
      <c r="AC61" s="80">
        <v>814632.4757292812</v>
      </c>
      <c r="AD61" s="101">
        <f t="shared" si="35"/>
        <v>-13.085915016552763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3"/>
      <c r="Z62" s="2"/>
      <c r="AA62" s="78">
        <f t="shared" si="36"/>
        <v>30</v>
      </c>
      <c r="AB62" s="100">
        <f t="shared" si="34"/>
        <v>0.34299999999999997</v>
      </c>
      <c r="AC62" s="80">
        <v>753306.33193367207</v>
      </c>
      <c r="AD62" s="101">
        <f t="shared" si="35"/>
        <v>-19.628872524829145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3"/>
      <c r="Z63" s="2"/>
      <c r="AA63" s="78">
        <f t="shared" si="36"/>
        <v>40</v>
      </c>
      <c r="AB63" s="100">
        <f t="shared" si="34"/>
        <v>0.29399999999999998</v>
      </c>
      <c r="AC63" s="80">
        <v>691980.18813806295</v>
      </c>
      <c r="AD63" s="101">
        <f t="shared" si="35"/>
        <v>-26.171830033105525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3"/>
      <c r="Z64" s="2"/>
      <c r="AA64" s="78">
        <f t="shared" si="36"/>
        <v>50</v>
      </c>
      <c r="AB64" s="100">
        <f t="shared" si="34"/>
        <v>0.245</v>
      </c>
      <c r="AC64" s="80">
        <v>630654.04434245371</v>
      </c>
      <c r="AD64" s="101">
        <f t="shared" si="35"/>
        <v>-32.714787541381916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3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3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3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X1000"/>
  <sheetViews>
    <sheetView zoomScale="70" zoomScaleNormal="7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1" width="31.28515625" customWidth="1"/>
    <col min="22" max="22" width="23.85546875" customWidth="1"/>
    <col min="23" max="24" width="13.42578125" customWidth="1"/>
    <col min="25" max="25" width="19.5703125" customWidth="1"/>
    <col min="26" max="26" width="12.28515625" customWidth="1"/>
    <col min="27" max="27" width="20.140625" customWidth="1"/>
    <col min="28" max="28" width="19.285156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  <col min="36" max="37" width="8.85546875" customWidth="1"/>
    <col min="38" max="38" width="17.5703125" customWidth="1"/>
    <col min="39" max="39" width="9.7109375" customWidth="1"/>
    <col min="40" max="40" width="15.5703125" customWidth="1"/>
    <col min="41" max="41" width="8.85546875" customWidth="1"/>
    <col min="42" max="43" width="12.7109375" customWidth="1"/>
    <col min="44" max="50" width="8.85546875" customWidth="1"/>
  </cols>
  <sheetData>
    <row r="1" spans="1:50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1" t="s">
        <v>2</v>
      </c>
      <c r="B2" s="3">
        <f>W49</f>
        <v>182584.36421048481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2"/>
      <c r="B3" s="4">
        <f>B2/J34</f>
        <v>0.52166961202995665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2" t="s">
        <v>22</v>
      </c>
      <c r="X7" s="1"/>
      <c r="Y7" s="2" t="s">
        <v>23</v>
      </c>
      <c r="Z7" s="2"/>
      <c r="AA7" s="2" t="s">
        <v>24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13" t="s">
        <v>25</v>
      </c>
      <c r="B8" s="14">
        <v>1.35</v>
      </c>
      <c r="C8" s="2" t="s">
        <v>26</v>
      </c>
      <c r="D8" s="2"/>
      <c r="E8" s="2"/>
      <c r="F8" s="2"/>
      <c r="G8" s="2"/>
      <c r="H8" s="15"/>
      <c r="I8" s="16" t="s">
        <v>183</v>
      </c>
      <c r="J8" s="6">
        <v>57483.870967741947</v>
      </c>
      <c r="K8" s="2" t="s">
        <v>28</v>
      </c>
      <c r="L8" s="15"/>
      <c r="M8" s="2"/>
      <c r="N8" s="11">
        <v>0</v>
      </c>
      <c r="O8" s="17">
        <f>F31</f>
        <v>33628.825109677418</v>
      </c>
      <c r="P8" s="11"/>
      <c r="Q8" s="11"/>
      <c r="R8" s="11"/>
      <c r="S8" s="11"/>
      <c r="T8" s="11"/>
      <c r="U8" s="11"/>
      <c r="V8" s="11"/>
      <c r="W8" s="18">
        <f t="shared" ref="W8:W48" si="0">SUM(O8:V8)</f>
        <v>33628.825109677418</v>
      </c>
      <c r="X8" s="3"/>
      <c r="Y8" s="6"/>
      <c r="Z8" s="2"/>
      <c r="AA8" s="2" t="s">
        <v>29</v>
      </c>
      <c r="AB8" s="19">
        <f>F36</f>
        <v>0.37037037037037035</v>
      </c>
      <c r="AC8" s="2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13"/>
      <c r="B9" s="2"/>
      <c r="C9" s="2"/>
      <c r="D9" s="2"/>
      <c r="E9" s="2"/>
      <c r="F9" s="2"/>
      <c r="G9" s="2"/>
      <c r="H9" s="15"/>
      <c r="I9" s="16" t="s">
        <v>31</v>
      </c>
      <c r="J9" s="6">
        <v>105</v>
      </c>
      <c r="K9" s="2" t="s">
        <v>30</v>
      </c>
      <c r="L9" s="15"/>
      <c r="M9" s="2"/>
      <c r="N9" s="11">
        <v>1</v>
      </c>
      <c r="O9" s="11"/>
      <c r="P9" s="20">
        <f t="shared" ref="P9:P48" si="1">IF(N9&gt;0,IF(N9&lt;=$J$20,(($F$32+$F$33)/$J$20)/((1+($F$12/100))^N9),0),0)</f>
        <v>19239.568211786598</v>
      </c>
      <c r="Q9" s="21">
        <f t="shared" ref="Q9:Q48" si="2">IF(N9&gt;0,($F$41*((1+($F$15/100))^(N9-1)))/((1+($F$12/100))^N9),0)</f>
        <v>2368.233618233618</v>
      </c>
      <c r="R9" s="21">
        <f t="shared" ref="R9:R48" si="3">IF(N9&gt;0,$F$40/((1+($F$12/100))^N9),0)</f>
        <v>0</v>
      </c>
      <c r="S9" s="21">
        <f t="shared" ref="S9:S48" si="4">IF(N9&gt;0,$J$37/((1+($F$12/100))^N9),0)</f>
        <v>4980.5270655270651</v>
      </c>
      <c r="T9" s="21">
        <f t="shared" ref="T9:T48" si="5">IF(AND(MOD(N9,$J$31)=0,N9&gt;0),$B$46/((1+($F$12/100))^N9),0)</f>
        <v>0</v>
      </c>
      <c r="U9" s="21">
        <f t="shared" ref="U9:U48" si="6">IF(N9&gt;0,$J$32/((1+($F$12/100))^N9),0)</f>
        <v>0</v>
      </c>
      <c r="V9" s="20">
        <f t="shared" ref="V9:V18" si="7">IF(N9=$B$5,((((1-$J$15/100)^N9)*$B$47+((1-$J$16/100)^N9)*$B$48)/((1+($F$12/100))^N9))*-1,0)</f>
        <v>0</v>
      </c>
      <c r="W9" s="18">
        <f t="shared" si="0"/>
        <v>26588.328895547282</v>
      </c>
      <c r="X9" s="3"/>
      <c r="Y9" s="6">
        <f t="shared" ref="Y9:Y48" si="8">IF(N9&gt;0,((((1-$J$15/100)^N9)*$B$47+((1-$J$16/100)^N9)*$B$48)/((1+($F$12/100))^N9)),0)</f>
        <v>45678.396196029782</v>
      </c>
      <c r="Z9" s="2"/>
      <c r="AA9" s="2" t="s">
        <v>32</v>
      </c>
      <c r="AB9" s="5">
        <f>B48</f>
        <v>8708.4666666666672</v>
      </c>
      <c r="AC9" s="2" t="s">
        <v>3</v>
      </c>
      <c r="AD9" s="2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2" t="s">
        <v>33</v>
      </c>
      <c r="B10" s="2"/>
      <c r="C10" s="2"/>
      <c r="D10" s="2"/>
      <c r="E10" s="2"/>
      <c r="F10" s="2"/>
      <c r="G10" s="2"/>
      <c r="H10" s="15"/>
      <c r="I10" s="16" t="s">
        <v>34</v>
      </c>
      <c r="J10" s="6">
        <v>81</v>
      </c>
      <c r="K10" s="2" t="s">
        <v>35</v>
      </c>
      <c r="L10" s="15"/>
      <c r="M10" s="2"/>
      <c r="N10" s="11">
        <f t="shared" ref="N10:N48" si="9">IF((N9+1)&gt;$B$5,,IF(N9=0,,N9+1))</f>
        <v>2</v>
      </c>
      <c r="O10" s="11"/>
      <c r="P10" s="20">
        <f t="shared" si="1"/>
        <v>18499.584819025575</v>
      </c>
      <c r="Q10" s="21">
        <f t="shared" si="2"/>
        <v>2299.9191869384172</v>
      </c>
      <c r="R10" s="21">
        <f t="shared" si="3"/>
        <v>0</v>
      </c>
      <c r="S10" s="21">
        <f t="shared" si="4"/>
        <v>4788.9683322375622</v>
      </c>
      <c r="T10" s="21">
        <f t="shared" si="5"/>
        <v>0</v>
      </c>
      <c r="U10" s="21">
        <f t="shared" si="6"/>
        <v>0</v>
      </c>
      <c r="V10" s="20">
        <f t="shared" si="7"/>
        <v>0</v>
      </c>
      <c r="W10" s="18">
        <f t="shared" si="0"/>
        <v>25588.472338201551</v>
      </c>
      <c r="X10" s="3"/>
      <c r="Y10" s="6">
        <f t="shared" si="8"/>
        <v>40530.990560371894</v>
      </c>
      <c r="Z10" s="2"/>
      <c r="AA10" s="16" t="s">
        <v>150</v>
      </c>
      <c r="AB10" s="23">
        <f>B52</f>
        <v>112096.08369892473</v>
      </c>
      <c r="AC10" s="2" t="s">
        <v>3</v>
      </c>
      <c r="AD10" s="2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24" t="s">
        <v>151</v>
      </c>
      <c r="B11" s="2">
        <v>0</v>
      </c>
      <c r="C11" s="2" t="s">
        <v>36</v>
      </c>
      <c r="D11" s="2"/>
      <c r="E11" s="1" t="s">
        <v>37</v>
      </c>
      <c r="F11" s="2"/>
      <c r="G11" s="2"/>
      <c r="H11" s="15"/>
      <c r="I11" s="16" t="s">
        <v>38</v>
      </c>
      <c r="J11" s="6">
        <v>900</v>
      </c>
      <c r="K11" s="2" t="s">
        <v>39</v>
      </c>
      <c r="L11" s="15"/>
      <c r="M11" s="2"/>
      <c r="N11" s="11">
        <f t="shared" si="9"/>
        <v>3</v>
      </c>
      <c r="O11" s="11"/>
      <c r="P11" s="20">
        <f t="shared" si="1"/>
        <v>17788.062325986131</v>
      </c>
      <c r="Q11" s="21">
        <f t="shared" si="2"/>
        <v>2233.5753642382706</v>
      </c>
      <c r="R11" s="21">
        <f t="shared" si="3"/>
        <v>0</v>
      </c>
      <c r="S11" s="21">
        <f t="shared" si="4"/>
        <v>4604.7772425361181</v>
      </c>
      <c r="T11" s="21">
        <f t="shared" si="5"/>
        <v>0</v>
      </c>
      <c r="U11" s="21">
        <f t="shared" si="6"/>
        <v>0</v>
      </c>
      <c r="V11" s="20">
        <f t="shared" si="7"/>
        <v>0</v>
      </c>
      <c r="W11" s="18">
        <f t="shared" si="0"/>
        <v>24626.414932760519</v>
      </c>
      <c r="X11" s="3"/>
      <c r="Y11" s="6">
        <f t="shared" si="8"/>
        <v>35972.495964463218</v>
      </c>
      <c r="Z11" s="2"/>
      <c r="AA11" s="2" t="s">
        <v>40</v>
      </c>
      <c r="AB11" s="6">
        <f>F13</f>
        <v>35000</v>
      </c>
      <c r="AC11" s="2" t="s">
        <v>41</v>
      </c>
      <c r="AD11" s="2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A12" s="24" t="s">
        <v>42</v>
      </c>
      <c r="B12" s="2">
        <v>0</v>
      </c>
      <c r="C12" s="2" t="s">
        <v>36</v>
      </c>
      <c r="D12" s="2"/>
      <c r="E12" s="16" t="s">
        <v>43</v>
      </c>
      <c r="F12" s="2">
        <v>4</v>
      </c>
      <c r="G12" s="2" t="s">
        <v>36</v>
      </c>
      <c r="H12" s="15"/>
      <c r="I12" s="16" t="s">
        <v>44</v>
      </c>
      <c r="J12" s="6">
        <v>200</v>
      </c>
      <c r="K12" s="2" t="s">
        <v>45</v>
      </c>
      <c r="L12" s="15"/>
      <c r="M12" s="2"/>
      <c r="N12" s="11">
        <f t="shared" si="9"/>
        <v>4</v>
      </c>
      <c r="O12" s="11"/>
      <c r="P12" s="20">
        <f t="shared" si="1"/>
        <v>17103.906082678968</v>
      </c>
      <c r="Q12" s="21">
        <f t="shared" si="2"/>
        <v>2169.1453056544738</v>
      </c>
      <c r="R12" s="21">
        <f t="shared" si="3"/>
        <v>0</v>
      </c>
      <c r="S12" s="21">
        <f t="shared" si="4"/>
        <v>4427.6704255154973</v>
      </c>
      <c r="T12" s="21">
        <f t="shared" si="5"/>
        <v>0</v>
      </c>
      <c r="U12" s="21">
        <f t="shared" si="6"/>
        <v>0</v>
      </c>
      <c r="V12" s="20">
        <f t="shared" si="7"/>
        <v>0</v>
      </c>
      <c r="W12" s="18">
        <f t="shared" si="0"/>
        <v>23700.721813848941</v>
      </c>
      <c r="X12" s="3"/>
      <c r="Y12" s="6">
        <f t="shared" si="8"/>
        <v>31934.3273144903</v>
      </c>
      <c r="Z12" s="2"/>
      <c r="AA12" s="16" t="s">
        <v>46</v>
      </c>
      <c r="AB12" s="23">
        <f>J44</f>
        <v>2100</v>
      </c>
      <c r="AC12" s="2" t="s">
        <v>47</v>
      </c>
      <c r="AD12" s="2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A13" s="24" t="s">
        <v>48</v>
      </c>
      <c r="B13" s="2">
        <v>8</v>
      </c>
      <c r="C13" s="2" t="s">
        <v>36</v>
      </c>
      <c r="D13" s="2"/>
      <c r="E13" s="16" t="s">
        <v>49</v>
      </c>
      <c r="F13" s="6">
        <v>35000</v>
      </c>
      <c r="G13" s="2" t="s">
        <v>41</v>
      </c>
      <c r="H13" s="15"/>
      <c r="I13" s="16" t="s">
        <v>50</v>
      </c>
      <c r="J13" s="2">
        <v>30</v>
      </c>
      <c r="K13" s="2" t="s">
        <v>51</v>
      </c>
      <c r="L13" s="15"/>
      <c r="M13" s="2"/>
      <c r="N13" s="11">
        <f t="shared" si="9"/>
        <v>5</v>
      </c>
      <c r="O13" s="11"/>
      <c r="P13" s="20">
        <f t="shared" si="1"/>
        <v>16446.063541037467</v>
      </c>
      <c r="Q13" s="21">
        <f t="shared" si="2"/>
        <v>2106.5738064529028</v>
      </c>
      <c r="R13" s="21">
        <f t="shared" si="3"/>
        <v>0</v>
      </c>
      <c r="S13" s="21">
        <f t="shared" si="4"/>
        <v>4257.3754091495166</v>
      </c>
      <c r="T13" s="21">
        <f t="shared" si="5"/>
        <v>6990.4900429882846</v>
      </c>
      <c r="U13" s="21">
        <f t="shared" si="6"/>
        <v>0</v>
      </c>
      <c r="V13" s="20">
        <f t="shared" si="7"/>
        <v>0</v>
      </c>
      <c r="W13" s="18">
        <f t="shared" si="0"/>
        <v>29800.502799628171</v>
      </c>
      <c r="X13" s="3"/>
      <c r="Y13" s="6">
        <f t="shared" si="8"/>
        <v>28356.049267642455</v>
      </c>
      <c r="Z13" s="2"/>
      <c r="AA13" s="69" t="s">
        <v>148</v>
      </c>
      <c r="AB13" s="67">
        <f>J26</f>
        <v>100</v>
      </c>
      <c r="AC13" s="69" t="s">
        <v>140</v>
      </c>
      <c r="AD13" s="2"/>
      <c r="AE13" s="6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A14" s="24" t="s">
        <v>52</v>
      </c>
      <c r="B14" s="2">
        <v>274.68</v>
      </c>
      <c r="C14" s="2" t="s">
        <v>28</v>
      </c>
      <c r="D14" s="2"/>
      <c r="E14" s="16" t="s">
        <v>29</v>
      </c>
      <c r="F14" s="14">
        <v>0.5</v>
      </c>
      <c r="G14" s="2" t="s">
        <v>53</v>
      </c>
      <c r="H14" s="15"/>
      <c r="I14" s="16" t="s">
        <v>54</v>
      </c>
      <c r="J14" s="5">
        <v>20</v>
      </c>
      <c r="K14" s="2" t="s">
        <v>36</v>
      </c>
      <c r="L14" s="15"/>
      <c r="M14" s="2"/>
      <c r="N14" s="11">
        <f t="shared" si="9"/>
        <v>6</v>
      </c>
      <c r="O14" s="11"/>
      <c r="P14" s="20">
        <f t="shared" si="1"/>
        <v>0</v>
      </c>
      <c r="Q14" s="21">
        <f t="shared" si="2"/>
        <v>2045.8072543436838</v>
      </c>
      <c r="R14" s="21">
        <f t="shared" si="3"/>
        <v>0</v>
      </c>
      <c r="S14" s="21">
        <f t="shared" si="4"/>
        <v>4093.6302011053044</v>
      </c>
      <c r="T14" s="21">
        <f t="shared" si="5"/>
        <v>0</v>
      </c>
      <c r="U14" s="21">
        <f t="shared" si="6"/>
        <v>0</v>
      </c>
      <c r="V14" s="20">
        <f t="shared" si="7"/>
        <v>0</v>
      </c>
      <c r="W14" s="18">
        <f t="shared" si="0"/>
        <v>6139.4374554489877</v>
      </c>
      <c r="X14" s="3"/>
      <c r="Y14" s="6">
        <f t="shared" si="8"/>
        <v>25184.386412395761</v>
      </c>
      <c r="Z14" s="2"/>
      <c r="AA14" s="69" t="s">
        <v>178</v>
      </c>
      <c r="AB14" s="76">
        <f>J17</f>
        <v>0.19</v>
      </c>
      <c r="AC14" s="69" t="s">
        <v>67</v>
      </c>
      <c r="AD14" s="2"/>
      <c r="AE14" s="6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A15" s="24" t="s">
        <v>165</v>
      </c>
      <c r="B15" s="2">
        <v>350</v>
      </c>
      <c r="C15" s="2" t="s">
        <v>28</v>
      </c>
      <c r="D15" s="2"/>
      <c r="E15" s="16" t="s">
        <v>56</v>
      </c>
      <c r="F15" s="2">
        <v>1</v>
      </c>
      <c r="G15" s="2" t="s">
        <v>57</v>
      </c>
      <c r="H15" s="15"/>
      <c r="I15" s="16" t="s">
        <v>58</v>
      </c>
      <c r="J15" s="2">
        <v>7.08</v>
      </c>
      <c r="K15" s="2" t="s">
        <v>59</v>
      </c>
      <c r="L15" s="15"/>
      <c r="M15" s="2"/>
      <c r="N15" s="11">
        <f t="shared" si="9"/>
        <v>7</v>
      </c>
      <c r="O15" s="11"/>
      <c r="P15" s="20">
        <f t="shared" si="1"/>
        <v>0</v>
      </c>
      <c r="Q15" s="21">
        <f t="shared" si="2"/>
        <v>1986.793583545309</v>
      </c>
      <c r="R15" s="21">
        <f t="shared" si="3"/>
        <v>0</v>
      </c>
      <c r="S15" s="21">
        <f t="shared" si="4"/>
        <v>3936.1828856781776</v>
      </c>
      <c r="T15" s="21">
        <f t="shared" si="5"/>
        <v>0</v>
      </c>
      <c r="U15" s="21">
        <f t="shared" si="6"/>
        <v>0</v>
      </c>
      <c r="V15" s="20">
        <f t="shared" si="7"/>
        <v>0</v>
      </c>
      <c r="W15" s="18">
        <f t="shared" si="0"/>
        <v>5922.9764692234867</v>
      </c>
      <c r="X15" s="3"/>
      <c r="Y15" s="6">
        <f t="shared" si="8"/>
        <v>22372.356435039284</v>
      </c>
      <c r="Z15" s="2"/>
      <c r="AA15" s="2"/>
      <c r="AB15" s="2"/>
      <c r="AC15" s="2"/>
      <c r="AD15" s="2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A16" s="24" t="s">
        <v>60</v>
      </c>
      <c r="B16" s="2">
        <v>5</v>
      </c>
      <c r="C16" s="2" t="s">
        <v>36</v>
      </c>
      <c r="D16" s="2"/>
      <c r="E16" s="16" t="s">
        <v>61</v>
      </c>
      <c r="F16" s="2">
        <v>0</v>
      </c>
      <c r="G16" s="2" t="s">
        <v>62</v>
      </c>
      <c r="H16" s="15"/>
      <c r="I16" s="16" t="s">
        <v>63</v>
      </c>
      <c r="J16" s="2">
        <v>11</v>
      </c>
      <c r="K16" s="2" t="s">
        <v>59</v>
      </c>
      <c r="L16" s="15"/>
      <c r="M16" s="2"/>
      <c r="N16" s="11">
        <f t="shared" si="9"/>
        <v>8</v>
      </c>
      <c r="O16" s="11"/>
      <c r="P16" s="20">
        <f t="shared" si="1"/>
        <v>0</v>
      </c>
      <c r="Q16" s="21">
        <f t="shared" si="2"/>
        <v>1929.4822301738088</v>
      </c>
      <c r="R16" s="21">
        <f t="shared" si="3"/>
        <v>0</v>
      </c>
      <c r="S16" s="21">
        <f t="shared" si="4"/>
        <v>3784.7912362290162</v>
      </c>
      <c r="T16" s="21">
        <f t="shared" si="5"/>
        <v>0</v>
      </c>
      <c r="U16" s="21">
        <f t="shared" si="6"/>
        <v>0</v>
      </c>
      <c r="V16" s="20">
        <f t="shared" si="7"/>
        <v>0</v>
      </c>
      <c r="W16" s="18">
        <f t="shared" si="0"/>
        <v>5714.2734664028249</v>
      </c>
      <c r="X16" s="3"/>
      <c r="Y16" s="6">
        <f t="shared" si="8"/>
        <v>19878.510640970835</v>
      </c>
      <c r="Z16" s="2"/>
      <c r="AA16" s="2"/>
      <c r="AB16" s="2"/>
      <c r="AC16" s="2"/>
      <c r="AD16" s="2"/>
      <c r="AE16" s="6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s="24" t="s">
        <v>64</v>
      </c>
      <c r="B17" s="6">
        <v>72001</v>
      </c>
      <c r="C17" s="2" t="s">
        <v>28</v>
      </c>
      <c r="D17" s="2"/>
      <c r="E17" s="16" t="s">
        <v>65</v>
      </c>
      <c r="F17" s="6">
        <v>578</v>
      </c>
      <c r="G17" s="2" t="s">
        <v>62</v>
      </c>
      <c r="H17" s="15"/>
      <c r="I17" s="16" t="s">
        <v>66</v>
      </c>
      <c r="J17" s="14">
        <v>0.19</v>
      </c>
      <c r="K17" s="2" t="s">
        <v>67</v>
      </c>
      <c r="L17" s="15"/>
      <c r="M17" s="2"/>
      <c r="N17" s="11">
        <f t="shared" si="9"/>
        <v>9</v>
      </c>
      <c r="O17" s="11"/>
      <c r="P17" s="20">
        <f t="shared" si="1"/>
        <v>0</v>
      </c>
      <c r="Q17" s="21">
        <f t="shared" si="2"/>
        <v>1873.8240889187955</v>
      </c>
      <c r="R17" s="21">
        <f t="shared" si="3"/>
        <v>0</v>
      </c>
      <c r="S17" s="21">
        <f t="shared" si="4"/>
        <v>3639.2223425278999</v>
      </c>
      <c r="T17" s="21">
        <f t="shared" si="5"/>
        <v>0</v>
      </c>
      <c r="U17" s="21">
        <f t="shared" si="6"/>
        <v>0</v>
      </c>
      <c r="V17" s="20">
        <f t="shared" si="7"/>
        <v>0</v>
      </c>
      <c r="W17" s="18">
        <f t="shared" si="0"/>
        <v>5513.0464314466954</v>
      </c>
      <c r="X17" s="3"/>
      <c r="Y17" s="6">
        <f t="shared" si="8"/>
        <v>17666.268229360241</v>
      </c>
      <c r="Z17" s="2"/>
      <c r="AA17" s="2"/>
      <c r="AB17" s="2"/>
      <c r="AC17" s="2"/>
      <c r="AD17" s="2"/>
      <c r="AE17" s="6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s="24" t="s">
        <v>68</v>
      </c>
      <c r="B18" s="6">
        <v>0</v>
      </c>
      <c r="C18" s="2" t="s">
        <v>28</v>
      </c>
      <c r="D18" s="2"/>
      <c r="E18" s="16" t="s">
        <v>69</v>
      </c>
      <c r="F18" s="6">
        <v>0</v>
      </c>
      <c r="G18" s="2" t="s">
        <v>70</v>
      </c>
      <c r="H18" s="15"/>
      <c r="I18" s="2"/>
      <c r="J18" s="2"/>
      <c r="K18" s="2"/>
      <c r="L18" s="15"/>
      <c r="M18" s="2"/>
      <c r="N18" s="11">
        <f t="shared" si="9"/>
        <v>10</v>
      </c>
      <c r="O18" s="11"/>
      <c r="P18" s="20">
        <f t="shared" si="1"/>
        <v>0</v>
      </c>
      <c r="Q18" s="21">
        <f t="shared" si="2"/>
        <v>1819.7714709692152</v>
      </c>
      <c r="R18" s="21">
        <f t="shared" si="3"/>
        <v>0</v>
      </c>
      <c r="S18" s="21">
        <f t="shared" si="4"/>
        <v>3499.2522524306728</v>
      </c>
      <c r="T18" s="21">
        <f t="shared" si="5"/>
        <v>5745.6732558634167</v>
      </c>
      <c r="U18" s="21">
        <f t="shared" si="6"/>
        <v>0</v>
      </c>
      <c r="V18" s="20">
        <f t="shared" si="7"/>
        <v>-15703.332480964364</v>
      </c>
      <c r="W18" s="18">
        <f t="shared" si="0"/>
        <v>-4638.6355017010592</v>
      </c>
      <c r="X18" s="3"/>
      <c r="Y18" s="6">
        <f t="shared" si="8"/>
        <v>15703.332480964364</v>
      </c>
      <c r="Z18" s="2"/>
      <c r="AA18" s="2"/>
      <c r="AB18" s="2"/>
      <c r="AC18" s="2"/>
      <c r="AD18" s="2"/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24" t="s">
        <v>71</v>
      </c>
      <c r="B19" s="2">
        <v>28.34</v>
      </c>
      <c r="C19" s="2" t="s">
        <v>28</v>
      </c>
      <c r="D19" s="2"/>
      <c r="E19" s="16" t="s">
        <v>46</v>
      </c>
      <c r="F19" s="33">
        <v>8.1000000000000003E-2</v>
      </c>
      <c r="G19" s="2" t="s">
        <v>133</v>
      </c>
      <c r="H19" s="15"/>
      <c r="I19" s="1" t="s">
        <v>76</v>
      </c>
      <c r="J19" s="2"/>
      <c r="K19" s="2"/>
      <c r="L19" s="15"/>
      <c r="M19" s="2"/>
      <c r="N19" s="11">
        <f t="shared" si="9"/>
        <v>0</v>
      </c>
      <c r="O19" s="11"/>
      <c r="P19" s="20">
        <f t="shared" si="1"/>
        <v>0</v>
      </c>
      <c r="Q19" s="21">
        <f t="shared" si="2"/>
        <v>0</v>
      </c>
      <c r="R19" s="21">
        <f t="shared" si="3"/>
        <v>0</v>
      </c>
      <c r="S19" s="21">
        <f t="shared" si="4"/>
        <v>0</v>
      </c>
      <c r="T19" s="21">
        <f t="shared" si="5"/>
        <v>0</v>
      </c>
      <c r="U19" s="21">
        <f t="shared" si="6"/>
        <v>0</v>
      </c>
      <c r="V19" s="20">
        <f t="shared" ref="V19:V48" si="10">IF(N19=$B$5,((((1-$J$15/100)^N19)*$B$52+((1-$J$16/100)^N19)*$B$48)/((1+($F$12/100))^N19))*-1,0)</f>
        <v>0</v>
      </c>
      <c r="W19" s="18">
        <f t="shared" si="0"/>
        <v>0</v>
      </c>
      <c r="X19" s="3"/>
      <c r="Y19" s="6">
        <f t="shared" si="8"/>
        <v>0</v>
      </c>
      <c r="Z19" s="2"/>
      <c r="AA19" s="2"/>
      <c r="AB19" s="2"/>
      <c r="AC19" s="2"/>
      <c r="AD19" s="2"/>
      <c r="AE19" s="6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24" t="s">
        <v>72</v>
      </c>
      <c r="B20" s="6">
        <v>1000</v>
      </c>
      <c r="C20" s="2" t="s">
        <v>28</v>
      </c>
      <c r="D20" s="2"/>
      <c r="E20" s="16" t="s">
        <v>73</v>
      </c>
      <c r="F20" s="2">
        <v>5.5</v>
      </c>
      <c r="G20" s="2" t="s">
        <v>59</v>
      </c>
      <c r="H20" s="15"/>
      <c r="I20" s="24" t="s">
        <v>81</v>
      </c>
      <c r="J20" s="2">
        <v>5</v>
      </c>
      <c r="K20" s="2" t="s">
        <v>51</v>
      </c>
      <c r="L20" s="15"/>
      <c r="M20" s="2"/>
      <c r="N20" s="11">
        <f t="shared" si="9"/>
        <v>0</v>
      </c>
      <c r="O20" s="11"/>
      <c r="P20" s="20">
        <f t="shared" si="1"/>
        <v>0</v>
      </c>
      <c r="Q20" s="21">
        <f t="shared" si="2"/>
        <v>0</v>
      </c>
      <c r="R20" s="21">
        <f t="shared" si="3"/>
        <v>0</v>
      </c>
      <c r="S20" s="21">
        <f t="shared" si="4"/>
        <v>0</v>
      </c>
      <c r="T20" s="21">
        <f t="shared" si="5"/>
        <v>0</v>
      </c>
      <c r="U20" s="21">
        <f t="shared" si="6"/>
        <v>0</v>
      </c>
      <c r="V20" s="20">
        <f t="shared" si="10"/>
        <v>0</v>
      </c>
      <c r="W20" s="18">
        <f t="shared" si="0"/>
        <v>0</v>
      </c>
      <c r="X20" s="3"/>
      <c r="Y20" s="6">
        <f t="shared" si="8"/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16" t="s">
        <v>74</v>
      </c>
      <c r="F21" s="2">
        <v>100</v>
      </c>
      <c r="G21" s="2" t="s">
        <v>62</v>
      </c>
      <c r="H21" s="15"/>
      <c r="I21" s="16" t="s">
        <v>84</v>
      </c>
      <c r="J21" s="2">
        <v>30</v>
      </c>
      <c r="K21" s="2" t="s">
        <v>85</v>
      </c>
      <c r="L21" s="15"/>
      <c r="M21" s="2"/>
      <c r="N21" s="11">
        <f t="shared" si="9"/>
        <v>0</v>
      </c>
      <c r="O21" s="11"/>
      <c r="P21" s="20">
        <f t="shared" si="1"/>
        <v>0</v>
      </c>
      <c r="Q21" s="21">
        <f t="shared" si="2"/>
        <v>0</v>
      </c>
      <c r="R21" s="21">
        <f t="shared" si="3"/>
        <v>0</v>
      </c>
      <c r="S21" s="21">
        <f t="shared" si="4"/>
        <v>0</v>
      </c>
      <c r="T21" s="21">
        <f t="shared" si="5"/>
        <v>0</v>
      </c>
      <c r="U21" s="21">
        <f t="shared" si="6"/>
        <v>0</v>
      </c>
      <c r="V21" s="20">
        <f t="shared" si="10"/>
        <v>0</v>
      </c>
      <c r="W21" s="18">
        <f t="shared" si="0"/>
        <v>0</v>
      </c>
      <c r="X21" s="3"/>
      <c r="Y21" s="6">
        <f t="shared" si="8"/>
        <v>0</v>
      </c>
      <c r="Z21" s="2"/>
      <c r="AA21" s="25" t="s">
        <v>29</v>
      </c>
      <c r="AB21" s="26"/>
      <c r="AC21" s="26"/>
      <c r="AD21" s="26"/>
      <c r="AE21" s="2"/>
      <c r="AF21" s="25" t="s">
        <v>27</v>
      </c>
      <c r="AG21" s="26"/>
      <c r="AH21" s="26"/>
      <c r="AI21" s="26"/>
      <c r="AJ21" s="2"/>
      <c r="AK21" s="96" t="s">
        <v>169</v>
      </c>
      <c r="AL21" s="96" t="s">
        <v>170</v>
      </c>
      <c r="AM21" s="96" t="s">
        <v>171</v>
      </c>
      <c r="AN21" s="96" t="s">
        <v>32</v>
      </c>
      <c r="AO21" s="96" t="s">
        <v>172</v>
      </c>
      <c r="AP21" s="96" t="s">
        <v>173</v>
      </c>
      <c r="AQ21" s="105" t="str">
        <f>AA66</f>
        <v>Energy Efficiency</v>
      </c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16" t="s">
        <v>75</v>
      </c>
      <c r="F22" s="2">
        <v>327</v>
      </c>
      <c r="G22" s="2" t="s">
        <v>62</v>
      </c>
      <c r="H22" s="15"/>
      <c r="I22" s="65"/>
      <c r="J22" s="65"/>
      <c r="K22" s="65"/>
      <c r="L22" s="15"/>
      <c r="M22" s="2"/>
      <c r="N22" s="11">
        <f t="shared" si="9"/>
        <v>0</v>
      </c>
      <c r="O22" s="11"/>
      <c r="P22" s="20">
        <f t="shared" si="1"/>
        <v>0</v>
      </c>
      <c r="Q22" s="21">
        <f t="shared" si="2"/>
        <v>0</v>
      </c>
      <c r="R22" s="21">
        <f t="shared" si="3"/>
        <v>0</v>
      </c>
      <c r="S22" s="21">
        <f t="shared" si="4"/>
        <v>0</v>
      </c>
      <c r="T22" s="21">
        <f t="shared" si="5"/>
        <v>0</v>
      </c>
      <c r="U22" s="21">
        <f t="shared" si="6"/>
        <v>0</v>
      </c>
      <c r="V22" s="20">
        <f t="shared" si="10"/>
        <v>0</v>
      </c>
      <c r="W22" s="18">
        <f t="shared" si="0"/>
        <v>0</v>
      </c>
      <c r="X22" s="3"/>
      <c r="Y22" s="6">
        <f t="shared" si="8"/>
        <v>0</v>
      </c>
      <c r="Z22" s="2"/>
      <c r="AA22" s="26" t="s">
        <v>77</v>
      </c>
      <c r="AB22" s="26" t="s">
        <v>78</v>
      </c>
      <c r="AC22" s="26" t="s">
        <v>22</v>
      </c>
      <c r="AD22" s="26" t="s">
        <v>79</v>
      </c>
      <c r="AE22" s="2"/>
      <c r="AF22" s="26" t="s">
        <v>77</v>
      </c>
      <c r="AG22" s="26" t="s">
        <v>80</v>
      </c>
      <c r="AH22" s="26" t="s">
        <v>22</v>
      </c>
      <c r="AI22" s="26" t="s">
        <v>79</v>
      </c>
      <c r="AJ22" s="2"/>
      <c r="AK22" s="97">
        <v>-50</v>
      </c>
      <c r="AL22" s="98">
        <f>AI24</f>
        <v>-33.602551516606212</v>
      </c>
      <c r="AM22" s="98">
        <f>AD24</f>
        <v>-5.7050684486465242</v>
      </c>
      <c r="AN22" s="99">
        <f t="shared" ref="AN22:AN32" si="11">AD39</f>
        <v>-2.3169790843337736</v>
      </c>
      <c r="AO22" s="99">
        <f t="shared" ref="AO22:AO32" si="12">AI39</f>
        <v>-14.198090662440544</v>
      </c>
      <c r="AP22" s="99">
        <f>AD54</f>
        <v>-4.6643865728310265</v>
      </c>
      <c r="AQ22" s="106">
        <f>AD69</f>
        <v>5.7050684486465402</v>
      </c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16" t="s">
        <v>161</v>
      </c>
      <c r="F23" s="2">
        <v>80.66</v>
      </c>
      <c r="G23" s="2" t="s">
        <v>62</v>
      </c>
      <c r="H23" s="15"/>
      <c r="I23" s="57" t="s">
        <v>135</v>
      </c>
      <c r="J23" s="58"/>
      <c r="K23" s="58"/>
      <c r="L23" s="59"/>
      <c r="M23" s="2"/>
      <c r="N23" s="11">
        <f t="shared" si="9"/>
        <v>0</v>
      </c>
      <c r="O23" s="11"/>
      <c r="P23" s="20">
        <f t="shared" si="1"/>
        <v>0</v>
      </c>
      <c r="Q23" s="21">
        <f t="shared" si="2"/>
        <v>0</v>
      </c>
      <c r="R23" s="21">
        <f t="shared" si="3"/>
        <v>0</v>
      </c>
      <c r="S23" s="21">
        <f t="shared" si="4"/>
        <v>0</v>
      </c>
      <c r="T23" s="21">
        <f t="shared" si="5"/>
        <v>0</v>
      </c>
      <c r="U23" s="21">
        <f t="shared" si="6"/>
        <v>0</v>
      </c>
      <c r="V23" s="20">
        <f t="shared" si="10"/>
        <v>0</v>
      </c>
      <c r="W23" s="18">
        <f t="shared" si="0"/>
        <v>0</v>
      </c>
      <c r="X23" s="3"/>
      <c r="Y23" s="6">
        <f t="shared" si="8"/>
        <v>0</v>
      </c>
      <c r="Z23" s="2"/>
      <c r="AA23" s="26" t="s">
        <v>82</v>
      </c>
      <c r="AB23" s="28">
        <v>0.37037037037037035</v>
      </c>
      <c r="AC23" s="29">
        <f>W49</f>
        <v>182584.36421048481</v>
      </c>
      <c r="AD23" s="26"/>
      <c r="AE23" s="2"/>
      <c r="AF23" s="26" t="s">
        <v>83</v>
      </c>
      <c r="AG23" s="30">
        <v>112096.08369892473</v>
      </c>
      <c r="AH23" s="29">
        <f>W49</f>
        <v>182584.36421048481</v>
      </c>
      <c r="AI23" s="26"/>
      <c r="AJ23" s="2"/>
      <c r="AK23" s="97">
        <v>-40</v>
      </c>
      <c r="AL23" s="98">
        <f>AI25</f>
        <v>-26.882041213284968</v>
      </c>
      <c r="AM23" s="98">
        <f t="shared" ref="AM23:AM32" si="13">AD25</f>
        <v>-4.5640547589172158</v>
      </c>
      <c r="AN23" s="99">
        <f t="shared" si="11"/>
        <v>-1.8535832674670156</v>
      </c>
      <c r="AO23" s="99">
        <f t="shared" si="12"/>
        <v>-11.867415929863693</v>
      </c>
      <c r="AP23" s="99">
        <f t="shared" ref="AP23:AP32" si="14">AD55</f>
        <v>-3.7315092582648242</v>
      </c>
      <c r="AQ23" s="106">
        <f t="shared" ref="AQ23:AQ32" si="15">AD70</f>
        <v>4.5640547589172318</v>
      </c>
      <c r="AR23" s="33"/>
      <c r="AS23" s="33"/>
      <c r="AT23" s="33"/>
      <c r="AU23" s="33"/>
      <c r="AV23" s="33"/>
      <c r="AW23" s="33"/>
      <c r="AX23" s="33"/>
    </row>
    <row r="24" spans="1:50" ht="15.75" customHeight="1" x14ac:dyDescent="0.25">
      <c r="A24" s="13"/>
      <c r="B24" s="2"/>
      <c r="C24" s="2"/>
      <c r="D24" s="2"/>
      <c r="E24" s="16" t="s">
        <v>159</v>
      </c>
      <c r="F24" s="6">
        <v>3000</v>
      </c>
      <c r="G24" s="2" t="s">
        <v>62</v>
      </c>
      <c r="H24" s="15"/>
      <c r="I24" s="58" t="s">
        <v>136</v>
      </c>
      <c r="J24" s="60" t="s">
        <v>134</v>
      </c>
      <c r="K24" s="58"/>
      <c r="L24" s="59"/>
      <c r="M24" s="2"/>
      <c r="N24" s="11">
        <f t="shared" si="9"/>
        <v>0</v>
      </c>
      <c r="O24" s="11"/>
      <c r="P24" s="20">
        <f t="shared" si="1"/>
        <v>0</v>
      </c>
      <c r="Q24" s="21">
        <f t="shared" si="2"/>
        <v>0</v>
      </c>
      <c r="R24" s="21">
        <f t="shared" si="3"/>
        <v>0</v>
      </c>
      <c r="S24" s="21">
        <f t="shared" si="4"/>
        <v>0</v>
      </c>
      <c r="T24" s="21">
        <f t="shared" si="5"/>
        <v>0</v>
      </c>
      <c r="U24" s="21">
        <f t="shared" si="6"/>
        <v>0</v>
      </c>
      <c r="V24" s="20">
        <f t="shared" si="10"/>
        <v>0</v>
      </c>
      <c r="W24" s="18">
        <f t="shared" si="0"/>
        <v>0</v>
      </c>
      <c r="X24" s="3"/>
      <c r="Y24" s="6">
        <f t="shared" si="8"/>
        <v>0</v>
      </c>
      <c r="Z24" s="2"/>
      <c r="AA24" s="26">
        <f t="shared" ref="AA24:AA28" si="16">AA25-10</f>
        <v>-50</v>
      </c>
      <c r="AB24" s="28">
        <f t="shared" ref="AB24:AB34" si="17">$AB$23*(1+(AA24/100))</f>
        <v>0.18518518518518517</v>
      </c>
      <c r="AC24" s="29">
        <f t="dataTable" ref="AC24:AC34" dt2D="0" dtr="0" r1="F36" ca="1"/>
        <v>172167.80125575059</v>
      </c>
      <c r="AD24" s="34">
        <f t="shared" ref="AD24:AD34" si="18">100*((AC24-$AC$29)/$AC$29)</f>
        <v>-5.7050684486465242</v>
      </c>
      <c r="AE24" s="2"/>
      <c r="AF24" s="26">
        <f t="shared" ref="AF24:AF28" si="19">AF25-10</f>
        <v>-50</v>
      </c>
      <c r="AG24" s="30">
        <f t="shared" ref="AG24:AG34" si="20">$AG$23*(1+(AF24/100))</f>
        <v>56048.041849462366</v>
      </c>
      <c r="AH24" s="29">
        <f t="dataTable" ref="AH24:AH34" dt2D="0" dtr="0" r1="B52" ca="1"/>
        <v>121231.35916538874</v>
      </c>
      <c r="AI24" s="34">
        <f t="shared" ref="AI24:AI34" si="21">100*((AH24-$AH$29)/$AH$29)</f>
        <v>-33.602551516606212</v>
      </c>
      <c r="AJ24" s="2"/>
      <c r="AK24" s="97">
        <v>-30</v>
      </c>
      <c r="AL24" s="98">
        <f t="shared" ref="AL24:AL32" si="22">AI26</f>
        <v>-20.161530909963744</v>
      </c>
      <c r="AM24" s="98">
        <f t="shared" si="13"/>
        <v>-3.4230410691879238</v>
      </c>
      <c r="AN24" s="99">
        <f t="shared" si="11"/>
        <v>-1.3901874506002576</v>
      </c>
      <c r="AO24" s="99">
        <f t="shared" si="12"/>
        <v>-9.6573791998284477</v>
      </c>
      <c r="AP24" s="99">
        <f t="shared" si="14"/>
        <v>-2.7986319436985907</v>
      </c>
      <c r="AQ24" s="106">
        <f t="shared" si="15"/>
        <v>3.4230410691879558</v>
      </c>
      <c r="AR24" s="33"/>
      <c r="AS24" s="33"/>
      <c r="AT24" s="33"/>
      <c r="AU24" s="33"/>
      <c r="AV24" s="33"/>
      <c r="AW24" s="33"/>
      <c r="AX24" s="33"/>
    </row>
    <row r="25" spans="1:50" ht="15.75" customHeight="1" x14ac:dyDescent="0.25">
      <c r="A25" s="13"/>
      <c r="B25" s="2"/>
      <c r="C25" s="2"/>
      <c r="D25" s="2"/>
      <c r="E25" s="16" t="s">
        <v>162</v>
      </c>
      <c r="F25" s="6"/>
      <c r="G25" s="2" t="s">
        <v>62</v>
      </c>
      <c r="H25" s="15"/>
      <c r="I25" s="61" t="s">
        <v>137</v>
      </c>
      <c r="J25" s="61">
        <v>1.3</v>
      </c>
      <c r="K25" s="61" t="s">
        <v>138</v>
      </c>
      <c r="L25" s="59"/>
      <c r="M25" s="2"/>
      <c r="N25" s="11">
        <f t="shared" si="9"/>
        <v>0</v>
      </c>
      <c r="O25" s="11"/>
      <c r="P25" s="20">
        <f t="shared" si="1"/>
        <v>0</v>
      </c>
      <c r="Q25" s="21">
        <f t="shared" si="2"/>
        <v>0</v>
      </c>
      <c r="R25" s="21">
        <f t="shared" si="3"/>
        <v>0</v>
      </c>
      <c r="S25" s="21">
        <f t="shared" si="4"/>
        <v>0</v>
      </c>
      <c r="T25" s="21">
        <f t="shared" si="5"/>
        <v>0</v>
      </c>
      <c r="U25" s="21">
        <f t="shared" si="6"/>
        <v>0</v>
      </c>
      <c r="V25" s="20">
        <f t="shared" si="10"/>
        <v>0</v>
      </c>
      <c r="W25" s="18">
        <f t="shared" si="0"/>
        <v>0</v>
      </c>
      <c r="X25" s="3"/>
      <c r="Y25" s="6">
        <f t="shared" si="8"/>
        <v>0</v>
      </c>
      <c r="Z25" s="2"/>
      <c r="AA25" s="26">
        <f t="shared" si="16"/>
        <v>-40</v>
      </c>
      <c r="AB25" s="28">
        <f t="shared" si="17"/>
        <v>0.22222222222222221</v>
      </c>
      <c r="AC25" s="29">
        <v>174251.11384669744</v>
      </c>
      <c r="AD25" s="34">
        <f t="shared" si="18"/>
        <v>-4.5640547589172158</v>
      </c>
      <c r="AE25" s="2"/>
      <c r="AF25" s="26">
        <f t="shared" si="19"/>
        <v>-40</v>
      </c>
      <c r="AG25" s="30">
        <f t="shared" si="20"/>
        <v>67257.650219354837</v>
      </c>
      <c r="AH25" s="29">
        <v>133501.96017440796</v>
      </c>
      <c r="AI25" s="34">
        <f t="shared" si="21"/>
        <v>-26.882041213284968</v>
      </c>
      <c r="AJ25" s="2"/>
      <c r="AK25" s="97">
        <v>-20</v>
      </c>
      <c r="AL25" s="98">
        <f t="shared" si="22"/>
        <v>-13.441020606642484</v>
      </c>
      <c r="AM25" s="98">
        <f t="shared" si="13"/>
        <v>-2.2820273794585999</v>
      </c>
      <c r="AN25" s="99">
        <f t="shared" si="11"/>
        <v>-0.92679163373354767</v>
      </c>
      <c r="AO25" s="99">
        <f t="shared" si="12"/>
        <v>-7.4418966407635887</v>
      </c>
      <c r="AP25" s="99">
        <f t="shared" si="14"/>
        <v>-1.8657546291324201</v>
      </c>
      <c r="AQ25" s="106">
        <f t="shared" si="15"/>
        <v>2.2820273794586319</v>
      </c>
      <c r="AR25" s="33"/>
      <c r="AS25" s="33"/>
      <c r="AT25" s="33"/>
      <c r="AU25" s="33"/>
      <c r="AV25" s="33"/>
      <c r="AW25" s="33"/>
      <c r="AX25" s="33"/>
    </row>
    <row r="26" spans="1:50" ht="15.75" customHeight="1" x14ac:dyDescent="0.25">
      <c r="A26" s="36"/>
      <c r="B26" s="37"/>
      <c r="C26" s="37"/>
      <c r="D26" s="37"/>
      <c r="E26" s="38" t="s">
        <v>164</v>
      </c>
      <c r="F26" s="37">
        <v>72</v>
      </c>
      <c r="G26" s="37" t="s">
        <v>62</v>
      </c>
      <c r="H26" s="39"/>
      <c r="I26" s="62" t="s">
        <v>139</v>
      </c>
      <c r="J26" s="63">
        <f>J12/2</f>
        <v>100</v>
      </c>
      <c r="K26" s="62" t="s">
        <v>140</v>
      </c>
      <c r="L26" s="64"/>
      <c r="M26" s="2"/>
      <c r="N26" s="11">
        <f t="shared" si="9"/>
        <v>0</v>
      </c>
      <c r="O26" s="11"/>
      <c r="P26" s="20">
        <f t="shared" si="1"/>
        <v>0</v>
      </c>
      <c r="Q26" s="21">
        <f t="shared" si="2"/>
        <v>0</v>
      </c>
      <c r="R26" s="21">
        <f t="shared" si="3"/>
        <v>0</v>
      </c>
      <c r="S26" s="21">
        <f t="shared" si="4"/>
        <v>0</v>
      </c>
      <c r="T26" s="21">
        <f t="shared" si="5"/>
        <v>0</v>
      </c>
      <c r="U26" s="21">
        <f t="shared" si="6"/>
        <v>0</v>
      </c>
      <c r="V26" s="20">
        <f t="shared" si="10"/>
        <v>0</v>
      </c>
      <c r="W26" s="18">
        <f t="shared" si="0"/>
        <v>0</v>
      </c>
      <c r="X26" s="3"/>
      <c r="Y26" s="6">
        <f t="shared" si="8"/>
        <v>0</v>
      </c>
      <c r="Z26" s="2"/>
      <c r="AA26" s="26">
        <f t="shared" si="16"/>
        <v>-30</v>
      </c>
      <c r="AB26" s="28">
        <f t="shared" si="17"/>
        <v>0.25925925925925924</v>
      </c>
      <c r="AC26" s="29">
        <v>176334.42643764426</v>
      </c>
      <c r="AD26" s="34">
        <f t="shared" si="18"/>
        <v>-3.4230410691879238</v>
      </c>
      <c r="AE26" s="2"/>
      <c r="AF26" s="26">
        <f t="shared" si="19"/>
        <v>-30</v>
      </c>
      <c r="AG26" s="30">
        <f t="shared" si="20"/>
        <v>78467.258589247314</v>
      </c>
      <c r="AH26" s="29">
        <v>145772.56118342714</v>
      </c>
      <c r="AI26" s="34">
        <f t="shared" si="21"/>
        <v>-20.161530909963744</v>
      </c>
      <c r="AJ26" s="2"/>
      <c r="AK26" s="97">
        <v>-10</v>
      </c>
      <c r="AL26" s="98">
        <f t="shared" si="22"/>
        <v>-6.720510303321257</v>
      </c>
      <c r="AM26" s="98">
        <f t="shared" si="13"/>
        <v>-1.141013689729292</v>
      </c>
      <c r="AN26" s="99">
        <f t="shared" si="11"/>
        <v>-0.46339581686675785</v>
      </c>
      <c r="AO26" s="99">
        <f t="shared" si="12"/>
        <v>-2.0738910042955259</v>
      </c>
      <c r="AP26" s="99">
        <f t="shared" si="14"/>
        <v>-0.93287731456620204</v>
      </c>
      <c r="AQ26" s="106">
        <f t="shared" si="15"/>
        <v>1.141013689729292</v>
      </c>
      <c r="AR26" s="33"/>
      <c r="AS26" s="33"/>
      <c r="AT26" s="33"/>
      <c r="AU26" s="33"/>
      <c r="AV26" s="33"/>
      <c r="AW26" s="33"/>
      <c r="AX26" s="33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9"/>
        <v>0</v>
      </c>
      <c r="O27" s="11"/>
      <c r="P27" s="20">
        <f t="shared" si="1"/>
        <v>0</v>
      </c>
      <c r="Q27" s="21">
        <f t="shared" si="2"/>
        <v>0</v>
      </c>
      <c r="R27" s="21">
        <f t="shared" si="3"/>
        <v>0</v>
      </c>
      <c r="S27" s="21">
        <f t="shared" si="4"/>
        <v>0</v>
      </c>
      <c r="T27" s="21">
        <f t="shared" si="5"/>
        <v>0</v>
      </c>
      <c r="U27" s="21">
        <f t="shared" si="6"/>
        <v>0</v>
      </c>
      <c r="V27" s="20">
        <f t="shared" si="10"/>
        <v>0</v>
      </c>
      <c r="W27" s="18">
        <f t="shared" si="0"/>
        <v>0</v>
      </c>
      <c r="X27" s="3"/>
      <c r="Y27" s="6">
        <f t="shared" si="8"/>
        <v>0</v>
      </c>
      <c r="Z27" s="2"/>
      <c r="AA27" s="26">
        <f t="shared" si="16"/>
        <v>-20</v>
      </c>
      <c r="AB27" s="28">
        <f t="shared" si="17"/>
        <v>0.29629629629629628</v>
      </c>
      <c r="AC27" s="29">
        <v>178417.73902859114</v>
      </c>
      <c r="AD27" s="34">
        <f t="shared" si="18"/>
        <v>-2.2820273794585999</v>
      </c>
      <c r="AE27" s="2"/>
      <c r="AF27" s="26">
        <f t="shared" si="19"/>
        <v>-20</v>
      </c>
      <c r="AG27" s="30">
        <f t="shared" si="20"/>
        <v>89676.866959139792</v>
      </c>
      <c r="AH27" s="29">
        <v>158043.16219244638</v>
      </c>
      <c r="AI27" s="34">
        <f t="shared" si="21"/>
        <v>-13.441020606642484</v>
      </c>
      <c r="AJ27" s="2"/>
      <c r="AK27" s="97">
        <v>0</v>
      </c>
      <c r="AL27" s="98">
        <f t="shared" si="22"/>
        <v>0</v>
      </c>
      <c r="AM27" s="98">
        <f t="shared" si="13"/>
        <v>0</v>
      </c>
      <c r="AN27" s="99">
        <f t="shared" si="11"/>
        <v>0</v>
      </c>
      <c r="AO27" s="99">
        <f t="shared" si="12"/>
        <v>0</v>
      </c>
      <c r="AP27" s="99">
        <f t="shared" si="14"/>
        <v>0</v>
      </c>
      <c r="AQ27" s="106">
        <f t="shared" si="15"/>
        <v>0</v>
      </c>
      <c r="AR27" s="33"/>
      <c r="AS27" s="33"/>
      <c r="AT27" s="33"/>
      <c r="AU27" s="33"/>
      <c r="AV27" s="33"/>
      <c r="AW27" s="33"/>
      <c r="AX27" s="33"/>
    </row>
    <row r="28" spans="1:50" ht="15.75" customHeight="1" x14ac:dyDescent="0.25">
      <c r="A28" s="1" t="s">
        <v>86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9"/>
        <v>0</v>
      </c>
      <c r="O28" s="11"/>
      <c r="P28" s="20">
        <f t="shared" si="1"/>
        <v>0</v>
      </c>
      <c r="Q28" s="21">
        <f t="shared" si="2"/>
        <v>0</v>
      </c>
      <c r="R28" s="21">
        <f t="shared" si="3"/>
        <v>0</v>
      </c>
      <c r="S28" s="21">
        <f t="shared" si="4"/>
        <v>0</v>
      </c>
      <c r="T28" s="21">
        <f t="shared" si="5"/>
        <v>0</v>
      </c>
      <c r="U28" s="21">
        <f t="shared" si="6"/>
        <v>0</v>
      </c>
      <c r="V28" s="20">
        <f t="shared" si="10"/>
        <v>0</v>
      </c>
      <c r="W28" s="18">
        <f t="shared" si="0"/>
        <v>0</v>
      </c>
      <c r="X28" s="3"/>
      <c r="Y28" s="6">
        <f t="shared" si="8"/>
        <v>0</v>
      </c>
      <c r="Z28" s="2"/>
      <c r="AA28" s="26">
        <f t="shared" si="16"/>
        <v>-10</v>
      </c>
      <c r="AB28" s="28">
        <f t="shared" si="17"/>
        <v>0.33333333333333331</v>
      </c>
      <c r="AC28" s="29">
        <v>180501.05161953799</v>
      </c>
      <c r="AD28" s="34">
        <f t="shared" si="18"/>
        <v>-1.141013689729292</v>
      </c>
      <c r="AE28" s="2"/>
      <c r="AF28" s="26">
        <f t="shared" si="19"/>
        <v>-10</v>
      </c>
      <c r="AG28" s="30">
        <f t="shared" si="20"/>
        <v>100886.47532903226</v>
      </c>
      <c r="AH28" s="29">
        <v>170313.76320146557</v>
      </c>
      <c r="AI28" s="34">
        <f t="shared" si="21"/>
        <v>-6.720510303321257</v>
      </c>
      <c r="AJ28" s="2"/>
      <c r="AK28" s="97">
        <v>10</v>
      </c>
      <c r="AL28" s="98">
        <f t="shared" si="22"/>
        <v>6.720510303321257</v>
      </c>
      <c r="AM28" s="98">
        <f t="shared" si="13"/>
        <v>1.141013689729292</v>
      </c>
      <c r="AN28" s="99">
        <f t="shared" si="11"/>
        <v>0.46339581686675785</v>
      </c>
      <c r="AO28" s="99">
        <f t="shared" si="12"/>
        <v>2.4838201582153623</v>
      </c>
      <c r="AP28" s="99">
        <f t="shared" si="14"/>
        <v>0.93287731456621803</v>
      </c>
      <c r="AQ28" s="106">
        <f t="shared" si="15"/>
        <v>-1.141013689729292</v>
      </c>
      <c r="AR28" s="33"/>
      <c r="AS28" s="33"/>
      <c r="AT28" s="33"/>
      <c r="AU28" s="33"/>
      <c r="AV28" s="33"/>
      <c r="AW28" s="33"/>
      <c r="AX28" s="33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9"/>
        <v>0</v>
      </c>
      <c r="O29" s="11"/>
      <c r="P29" s="20">
        <f t="shared" si="1"/>
        <v>0</v>
      </c>
      <c r="Q29" s="21">
        <f t="shared" si="2"/>
        <v>0</v>
      </c>
      <c r="R29" s="21">
        <f t="shared" si="3"/>
        <v>0</v>
      </c>
      <c r="S29" s="21">
        <f t="shared" si="4"/>
        <v>0</v>
      </c>
      <c r="T29" s="21">
        <f t="shared" si="5"/>
        <v>0</v>
      </c>
      <c r="U29" s="21">
        <f t="shared" si="6"/>
        <v>0</v>
      </c>
      <c r="V29" s="20">
        <f t="shared" si="10"/>
        <v>0</v>
      </c>
      <c r="W29" s="18">
        <f t="shared" si="0"/>
        <v>0</v>
      </c>
      <c r="X29" s="3"/>
      <c r="Y29" s="6">
        <f t="shared" si="8"/>
        <v>0</v>
      </c>
      <c r="Z29" s="2"/>
      <c r="AA29" s="40">
        <v>0</v>
      </c>
      <c r="AB29" s="41">
        <f t="shared" si="17"/>
        <v>0.37037037037037035</v>
      </c>
      <c r="AC29" s="42">
        <v>182584.36421048481</v>
      </c>
      <c r="AD29" s="43">
        <f t="shared" si="18"/>
        <v>0</v>
      </c>
      <c r="AE29" s="2"/>
      <c r="AF29" s="40">
        <v>0</v>
      </c>
      <c r="AG29" s="44">
        <f t="shared" si="20"/>
        <v>112096.08369892473</v>
      </c>
      <c r="AH29" s="42">
        <v>182584.36421048481</v>
      </c>
      <c r="AI29" s="43">
        <f t="shared" si="21"/>
        <v>0</v>
      </c>
      <c r="AJ29" s="2"/>
      <c r="AK29" s="97">
        <v>20</v>
      </c>
      <c r="AL29" s="98">
        <f t="shared" si="22"/>
        <v>13.441020606642484</v>
      </c>
      <c r="AM29" s="98">
        <f t="shared" si="13"/>
        <v>2.2820273794586319</v>
      </c>
      <c r="AN29" s="99">
        <f t="shared" si="11"/>
        <v>0.9267916337335157</v>
      </c>
      <c r="AO29" s="99">
        <f t="shared" si="12"/>
        <v>4.5577111625108566</v>
      </c>
      <c r="AP29" s="99">
        <f t="shared" si="14"/>
        <v>1.8657546291324041</v>
      </c>
      <c r="AQ29" s="106">
        <f t="shared" si="15"/>
        <v>-2.2820273794585999</v>
      </c>
      <c r="AR29" s="33"/>
      <c r="AS29" s="33"/>
      <c r="AT29" s="33"/>
      <c r="AU29" s="33"/>
      <c r="AV29" s="33"/>
      <c r="AW29" s="33"/>
      <c r="AX29" s="33"/>
    </row>
    <row r="30" spans="1:50" ht="15.75" customHeight="1" x14ac:dyDescent="0.25">
      <c r="A30" s="7" t="s">
        <v>87</v>
      </c>
      <c r="B30" s="8"/>
      <c r="C30" s="8"/>
      <c r="D30" s="8"/>
      <c r="E30" s="10" t="s">
        <v>88</v>
      </c>
      <c r="F30" s="8"/>
      <c r="G30" s="8"/>
      <c r="H30" s="8"/>
      <c r="I30" s="10" t="s">
        <v>89</v>
      </c>
      <c r="J30" s="45"/>
      <c r="K30" s="8"/>
      <c r="L30" s="9"/>
      <c r="M30" s="2"/>
      <c r="N30" s="11">
        <f t="shared" si="9"/>
        <v>0</v>
      </c>
      <c r="O30" s="11"/>
      <c r="P30" s="20">
        <f t="shared" si="1"/>
        <v>0</v>
      </c>
      <c r="Q30" s="21">
        <f t="shared" si="2"/>
        <v>0</v>
      </c>
      <c r="R30" s="21">
        <f t="shared" si="3"/>
        <v>0</v>
      </c>
      <c r="S30" s="21">
        <f t="shared" si="4"/>
        <v>0</v>
      </c>
      <c r="T30" s="21">
        <f t="shared" si="5"/>
        <v>0</v>
      </c>
      <c r="U30" s="21">
        <f t="shared" si="6"/>
        <v>0</v>
      </c>
      <c r="V30" s="20">
        <f t="shared" si="10"/>
        <v>0</v>
      </c>
      <c r="W30" s="18">
        <f t="shared" si="0"/>
        <v>0</v>
      </c>
      <c r="X30" s="3"/>
      <c r="Y30" s="6">
        <f t="shared" si="8"/>
        <v>0</v>
      </c>
      <c r="Z30" s="2"/>
      <c r="AA30" s="26">
        <f t="shared" ref="AA30:AA34" si="23">AA29+10</f>
        <v>10</v>
      </c>
      <c r="AB30" s="28">
        <f t="shared" si="17"/>
        <v>0.40740740740740744</v>
      </c>
      <c r="AC30" s="29">
        <v>184667.67680143163</v>
      </c>
      <c r="AD30" s="34">
        <f t="shared" si="18"/>
        <v>1.141013689729292</v>
      </c>
      <c r="AE30" s="2"/>
      <c r="AF30" s="26">
        <f t="shared" ref="AF30:AF34" si="24">AF29+10</f>
        <v>10</v>
      </c>
      <c r="AG30" s="30">
        <f t="shared" si="20"/>
        <v>123305.69206881721</v>
      </c>
      <c r="AH30" s="29">
        <v>194854.96521950405</v>
      </c>
      <c r="AI30" s="34">
        <f t="shared" si="21"/>
        <v>6.720510303321257</v>
      </c>
      <c r="AJ30" s="2"/>
      <c r="AK30" s="97">
        <v>30</v>
      </c>
      <c r="AL30" s="98">
        <f t="shared" si="22"/>
        <v>20.161530909963709</v>
      </c>
      <c r="AM30" s="98">
        <f t="shared" si="13"/>
        <v>3.4230410691879558</v>
      </c>
      <c r="AN30" s="99">
        <f t="shared" si="11"/>
        <v>1.3901874506002736</v>
      </c>
      <c r="AO30" s="99">
        <f t="shared" si="12"/>
        <v>10.341344481800508</v>
      </c>
      <c r="AP30" s="99">
        <f t="shared" si="14"/>
        <v>2.7986319436986062</v>
      </c>
      <c r="AQ30" s="106">
        <f t="shared" si="15"/>
        <v>-3.4230410691879238</v>
      </c>
      <c r="AR30" s="33"/>
      <c r="AS30" s="33"/>
      <c r="AT30" s="33"/>
      <c r="AU30" s="33"/>
      <c r="AV30" s="33"/>
      <c r="AW30" s="33"/>
      <c r="AX30" s="33"/>
    </row>
    <row r="31" spans="1:50" ht="15.75" customHeight="1" x14ac:dyDescent="0.25">
      <c r="A31" s="24" t="s">
        <v>151</v>
      </c>
      <c r="B31" s="6">
        <f t="shared" ref="B31:B32" si="25">IF(B11=0,0,-(B11/100)*$B$50)</f>
        <v>0</v>
      </c>
      <c r="C31" s="2" t="s">
        <v>3</v>
      </c>
      <c r="D31" s="2"/>
      <c r="E31" s="16" t="s">
        <v>90</v>
      </c>
      <c r="F31" s="23">
        <f>(J21/100)*B52</f>
        <v>33628.825109677418</v>
      </c>
      <c r="G31" s="2" t="s">
        <v>3</v>
      </c>
      <c r="H31" s="2"/>
      <c r="I31" s="16" t="s">
        <v>91</v>
      </c>
      <c r="J31" s="33">
        <f>ROUNDDOWN(J11/(F13/J12),0)</f>
        <v>5</v>
      </c>
      <c r="K31" s="2" t="s">
        <v>51</v>
      </c>
      <c r="L31" s="15"/>
      <c r="M31" s="2"/>
      <c r="N31" s="11">
        <f t="shared" si="9"/>
        <v>0</v>
      </c>
      <c r="O31" s="11"/>
      <c r="P31" s="20">
        <f t="shared" si="1"/>
        <v>0</v>
      </c>
      <c r="Q31" s="21">
        <f t="shared" si="2"/>
        <v>0</v>
      </c>
      <c r="R31" s="21">
        <f t="shared" si="3"/>
        <v>0</v>
      </c>
      <c r="S31" s="21">
        <f t="shared" si="4"/>
        <v>0</v>
      </c>
      <c r="T31" s="21">
        <f t="shared" si="5"/>
        <v>0</v>
      </c>
      <c r="U31" s="21">
        <f t="shared" si="6"/>
        <v>0</v>
      </c>
      <c r="V31" s="20">
        <f t="shared" si="10"/>
        <v>0</v>
      </c>
      <c r="W31" s="18">
        <f t="shared" si="0"/>
        <v>0</v>
      </c>
      <c r="X31" s="3"/>
      <c r="Y31" s="6">
        <f t="shared" si="8"/>
        <v>0</v>
      </c>
      <c r="Z31" s="2"/>
      <c r="AA31" s="26">
        <f t="shared" si="23"/>
        <v>20</v>
      </c>
      <c r="AB31" s="28">
        <f t="shared" si="17"/>
        <v>0.44444444444444442</v>
      </c>
      <c r="AC31" s="29">
        <v>186750.98939237854</v>
      </c>
      <c r="AD31" s="34">
        <f t="shared" si="18"/>
        <v>2.2820273794586319</v>
      </c>
      <c r="AE31" s="2"/>
      <c r="AF31" s="26">
        <f t="shared" si="24"/>
        <v>20</v>
      </c>
      <c r="AG31" s="30">
        <f t="shared" si="20"/>
        <v>134515.30043870967</v>
      </c>
      <c r="AH31" s="29">
        <v>207125.56622852324</v>
      </c>
      <c r="AI31" s="34">
        <f t="shared" si="21"/>
        <v>13.441020606642484</v>
      </c>
      <c r="AJ31" s="2"/>
      <c r="AK31" s="97">
        <v>40</v>
      </c>
      <c r="AL31" s="98">
        <f t="shared" si="22"/>
        <v>26.882041213284968</v>
      </c>
      <c r="AM31" s="98">
        <f t="shared" si="13"/>
        <v>4.5640547589172318</v>
      </c>
      <c r="AN31" s="99">
        <f t="shared" si="11"/>
        <v>1.8535832674669996</v>
      </c>
      <c r="AO31" s="99">
        <f t="shared" si="12"/>
        <v>12.415235486096002</v>
      </c>
      <c r="AP31" s="99">
        <f t="shared" si="14"/>
        <v>3.7315092582648401</v>
      </c>
      <c r="AQ31" s="106">
        <f t="shared" si="15"/>
        <v>-4.5640547589172158</v>
      </c>
      <c r="AR31" s="33"/>
      <c r="AS31" s="33"/>
      <c r="AT31" s="33"/>
      <c r="AU31" s="33"/>
      <c r="AV31" s="33"/>
      <c r="AW31" s="33"/>
      <c r="AX31" s="33"/>
    </row>
    <row r="32" spans="1:50" ht="15.75" customHeight="1" x14ac:dyDescent="0.25">
      <c r="A32" s="24" t="s">
        <v>42</v>
      </c>
      <c r="B32" s="6">
        <f t="shared" si="25"/>
        <v>0</v>
      </c>
      <c r="C32" s="2" t="s">
        <v>3</v>
      </c>
      <c r="D32" s="2"/>
      <c r="E32" s="16" t="s">
        <v>92</v>
      </c>
      <c r="F32" s="6">
        <f>B52-F31</f>
        <v>78467.258589247314</v>
      </c>
      <c r="G32" s="2" t="s">
        <v>3</v>
      </c>
      <c r="H32" s="2"/>
      <c r="I32" s="16" t="s">
        <v>61</v>
      </c>
      <c r="J32" s="76">
        <f>IF(J24="Yes",SUM(F50:F51),0)</f>
        <v>0</v>
      </c>
      <c r="K32" s="2" t="s">
        <v>47</v>
      </c>
      <c r="L32" s="15"/>
      <c r="M32" s="2"/>
      <c r="N32" s="11">
        <f t="shared" si="9"/>
        <v>0</v>
      </c>
      <c r="O32" s="11"/>
      <c r="P32" s="20">
        <f t="shared" si="1"/>
        <v>0</v>
      </c>
      <c r="Q32" s="21">
        <f t="shared" si="2"/>
        <v>0</v>
      </c>
      <c r="R32" s="21">
        <f t="shared" si="3"/>
        <v>0</v>
      </c>
      <c r="S32" s="21">
        <f t="shared" si="4"/>
        <v>0</v>
      </c>
      <c r="T32" s="21">
        <f t="shared" si="5"/>
        <v>0</v>
      </c>
      <c r="U32" s="21">
        <f t="shared" si="6"/>
        <v>0</v>
      </c>
      <c r="V32" s="20">
        <f t="shared" si="10"/>
        <v>0</v>
      </c>
      <c r="W32" s="18">
        <f t="shared" si="0"/>
        <v>0</v>
      </c>
      <c r="X32" s="3"/>
      <c r="Y32" s="6">
        <f t="shared" si="8"/>
        <v>0</v>
      </c>
      <c r="Z32" s="2"/>
      <c r="AA32" s="26">
        <f t="shared" si="23"/>
        <v>30</v>
      </c>
      <c r="AB32" s="28">
        <f t="shared" si="17"/>
        <v>0.48148148148148145</v>
      </c>
      <c r="AC32" s="29">
        <v>188834.30198332542</v>
      </c>
      <c r="AD32" s="34">
        <f t="shared" si="18"/>
        <v>3.4230410691879558</v>
      </c>
      <c r="AE32" s="2"/>
      <c r="AF32" s="26">
        <f t="shared" si="24"/>
        <v>30</v>
      </c>
      <c r="AG32" s="30">
        <f t="shared" si="20"/>
        <v>145724.90880860217</v>
      </c>
      <c r="AH32" s="29">
        <v>219396.16723754242</v>
      </c>
      <c r="AI32" s="34">
        <f t="shared" si="21"/>
        <v>20.161530909963709</v>
      </c>
      <c r="AJ32" s="2"/>
      <c r="AK32" s="97">
        <v>50</v>
      </c>
      <c r="AL32" s="98">
        <f t="shared" si="22"/>
        <v>33.602551516606191</v>
      </c>
      <c r="AM32" s="98">
        <f t="shared" si="13"/>
        <v>5.7050684486465402</v>
      </c>
      <c r="AN32" s="99">
        <f t="shared" si="11"/>
        <v>2.3169790843337896</v>
      </c>
      <c r="AO32" s="99">
        <f t="shared" si="12"/>
        <v>14.489126490391513</v>
      </c>
      <c r="AP32" s="99">
        <f t="shared" si="14"/>
        <v>4.6643865728310265</v>
      </c>
      <c r="AQ32" s="106">
        <f t="shared" si="15"/>
        <v>-5.7050684486465242</v>
      </c>
      <c r="AR32" s="33"/>
      <c r="AS32" s="33"/>
      <c r="AT32" s="33"/>
      <c r="AU32" s="33"/>
      <c r="AV32" s="33"/>
      <c r="AW32" s="33"/>
      <c r="AX32" s="33"/>
    </row>
    <row r="33" spans="1:50" ht="15.75" customHeight="1" x14ac:dyDescent="0.25">
      <c r="A33" s="24" t="s">
        <v>48</v>
      </c>
      <c r="B33" s="6">
        <f>IF(B13=0,0,(B13/100)*($B$49))</f>
        <v>4119.4062795698928</v>
      </c>
      <c r="C33" s="2" t="s">
        <v>3</v>
      </c>
      <c r="D33" s="2"/>
      <c r="E33" s="16" t="s">
        <v>93</v>
      </c>
      <c r="F33" s="23">
        <f>F32*(F20/100)*J20</f>
        <v>21578.496112043013</v>
      </c>
      <c r="G33" s="2" t="s">
        <v>3</v>
      </c>
      <c r="H33" s="2"/>
      <c r="I33" s="2"/>
      <c r="J33" s="2"/>
      <c r="K33" s="2"/>
      <c r="L33" s="15"/>
      <c r="M33" s="2"/>
      <c r="N33" s="11">
        <f t="shared" si="9"/>
        <v>0</v>
      </c>
      <c r="O33" s="11"/>
      <c r="P33" s="20">
        <f t="shared" si="1"/>
        <v>0</v>
      </c>
      <c r="Q33" s="21">
        <f t="shared" si="2"/>
        <v>0</v>
      </c>
      <c r="R33" s="21">
        <f t="shared" si="3"/>
        <v>0</v>
      </c>
      <c r="S33" s="21">
        <f t="shared" si="4"/>
        <v>0</v>
      </c>
      <c r="T33" s="21">
        <f t="shared" si="5"/>
        <v>0</v>
      </c>
      <c r="U33" s="21">
        <f t="shared" si="6"/>
        <v>0</v>
      </c>
      <c r="V33" s="20">
        <f t="shared" si="10"/>
        <v>0</v>
      </c>
      <c r="W33" s="18">
        <f t="shared" si="0"/>
        <v>0</v>
      </c>
      <c r="X33" s="3"/>
      <c r="Y33" s="6">
        <f t="shared" si="8"/>
        <v>0</v>
      </c>
      <c r="Z33" s="2"/>
      <c r="AA33" s="26">
        <f t="shared" si="23"/>
        <v>40</v>
      </c>
      <c r="AB33" s="28">
        <f t="shared" si="17"/>
        <v>0.51851851851851849</v>
      </c>
      <c r="AC33" s="29">
        <v>190917.61457427221</v>
      </c>
      <c r="AD33" s="34">
        <f t="shared" si="18"/>
        <v>4.5640547589172318</v>
      </c>
      <c r="AE33" s="2"/>
      <c r="AF33" s="26">
        <f t="shared" si="24"/>
        <v>40</v>
      </c>
      <c r="AG33" s="30">
        <f t="shared" si="20"/>
        <v>156934.51717849463</v>
      </c>
      <c r="AH33" s="29">
        <v>231666.76824656167</v>
      </c>
      <c r="AI33" s="34">
        <f t="shared" si="21"/>
        <v>26.882041213284968</v>
      </c>
      <c r="AJ33" s="2"/>
      <c r="AK33" s="27"/>
      <c r="AL33" s="31"/>
      <c r="AM33" s="32"/>
      <c r="AN33" s="35"/>
      <c r="AO33" s="2"/>
      <c r="AP33" s="33"/>
      <c r="AQ33" s="33"/>
      <c r="AR33" s="33"/>
      <c r="AS33" s="33"/>
      <c r="AT33" s="33"/>
      <c r="AU33" s="33"/>
      <c r="AV33" s="33"/>
      <c r="AW33" s="33"/>
      <c r="AX33" s="33"/>
    </row>
    <row r="34" spans="1:50" ht="15.75" customHeight="1" x14ac:dyDescent="0.25">
      <c r="A34" s="24" t="s">
        <v>165</v>
      </c>
      <c r="B34" s="14">
        <f>IF(B15=0,0,(B15/B8))</f>
        <v>259.25925925925924</v>
      </c>
      <c r="C34" s="2" t="s">
        <v>3</v>
      </c>
      <c r="D34" s="2"/>
      <c r="E34" s="2"/>
      <c r="F34" s="33"/>
      <c r="G34" s="2"/>
      <c r="H34" s="2"/>
      <c r="I34" s="16" t="s">
        <v>95</v>
      </c>
      <c r="J34" s="6">
        <f>F13*B5</f>
        <v>350000</v>
      </c>
      <c r="K34" s="2" t="s">
        <v>96</v>
      </c>
      <c r="L34" s="15"/>
      <c r="M34" s="2"/>
      <c r="N34" s="11">
        <f t="shared" si="9"/>
        <v>0</v>
      </c>
      <c r="O34" s="11"/>
      <c r="P34" s="20">
        <f t="shared" si="1"/>
        <v>0</v>
      </c>
      <c r="Q34" s="21">
        <f t="shared" si="2"/>
        <v>0</v>
      </c>
      <c r="R34" s="21">
        <f t="shared" si="3"/>
        <v>0</v>
      </c>
      <c r="S34" s="21">
        <f t="shared" si="4"/>
        <v>0</v>
      </c>
      <c r="T34" s="21">
        <f t="shared" si="5"/>
        <v>0</v>
      </c>
      <c r="U34" s="21">
        <f t="shared" si="6"/>
        <v>0</v>
      </c>
      <c r="V34" s="20">
        <f t="shared" si="10"/>
        <v>0</v>
      </c>
      <c r="W34" s="18">
        <f t="shared" si="0"/>
        <v>0</v>
      </c>
      <c r="X34" s="3"/>
      <c r="Y34" s="6">
        <f t="shared" si="8"/>
        <v>0</v>
      </c>
      <c r="Z34" s="2"/>
      <c r="AA34" s="26">
        <f t="shared" si="23"/>
        <v>50</v>
      </c>
      <c r="AB34" s="28">
        <f t="shared" si="17"/>
        <v>0.55555555555555558</v>
      </c>
      <c r="AC34" s="29">
        <v>193000.92716521907</v>
      </c>
      <c r="AD34" s="34">
        <f t="shared" si="18"/>
        <v>5.7050684486465402</v>
      </c>
      <c r="AE34" s="2"/>
      <c r="AF34" s="26">
        <f t="shared" si="24"/>
        <v>50</v>
      </c>
      <c r="AG34" s="30">
        <f t="shared" si="20"/>
        <v>168144.12554838709</v>
      </c>
      <c r="AH34" s="29">
        <v>243937.36925558085</v>
      </c>
      <c r="AI34" s="34">
        <f t="shared" si="21"/>
        <v>33.602551516606191</v>
      </c>
      <c r="AJ34" s="2"/>
      <c r="AK34" s="27"/>
      <c r="AL34" s="31"/>
      <c r="AM34" s="32"/>
      <c r="AN34" s="35"/>
      <c r="AO34" s="2"/>
      <c r="AP34" s="33"/>
      <c r="AQ34" s="33"/>
      <c r="AR34" s="33"/>
      <c r="AS34" s="33"/>
      <c r="AT34" s="33"/>
      <c r="AU34" s="33"/>
      <c r="AV34" s="33"/>
      <c r="AW34" s="33"/>
      <c r="AX34" s="33"/>
    </row>
    <row r="35" spans="1:50" ht="15.75" customHeight="1" x14ac:dyDescent="0.25">
      <c r="A35" s="24" t="s">
        <v>60</v>
      </c>
      <c r="B35" s="6">
        <f>(B16%*J8)/B8</f>
        <v>2129.0322580645166</v>
      </c>
      <c r="C35" s="2" t="s">
        <v>3</v>
      </c>
      <c r="D35" s="2"/>
      <c r="E35" s="1" t="s">
        <v>97</v>
      </c>
      <c r="F35" s="2"/>
      <c r="G35" s="2"/>
      <c r="H35" s="2"/>
      <c r="I35" s="2"/>
      <c r="J35" s="2"/>
      <c r="K35" s="2"/>
      <c r="L35" s="15"/>
      <c r="M35" s="2"/>
      <c r="N35" s="11">
        <f t="shared" si="9"/>
        <v>0</v>
      </c>
      <c r="O35" s="11"/>
      <c r="P35" s="20">
        <f t="shared" si="1"/>
        <v>0</v>
      </c>
      <c r="Q35" s="21">
        <f t="shared" si="2"/>
        <v>0</v>
      </c>
      <c r="R35" s="21">
        <f t="shared" si="3"/>
        <v>0</v>
      </c>
      <c r="S35" s="21">
        <f t="shared" si="4"/>
        <v>0</v>
      </c>
      <c r="T35" s="21">
        <f t="shared" si="5"/>
        <v>0</v>
      </c>
      <c r="U35" s="21">
        <f t="shared" si="6"/>
        <v>0</v>
      </c>
      <c r="V35" s="20">
        <f t="shared" si="10"/>
        <v>0</v>
      </c>
      <c r="W35" s="18">
        <f t="shared" si="0"/>
        <v>0</v>
      </c>
      <c r="X35" s="3"/>
      <c r="Y35" s="6">
        <f t="shared" si="8"/>
        <v>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4" t="s">
        <v>64</v>
      </c>
      <c r="B36" s="6">
        <f>B17/B8</f>
        <v>53334.074074074073</v>
      </c>
      <c r="C36" s="2" t="s">
        <v>3</v>
      </c>
      <c r="D36" s="2"/>
      <c r="E36" s="16" t="s">
        <v>29</v>
      </c>
      <c r="F36" s="14">
        <f>F14/$B$8</f>
        <v>0.37037037037037035</v>
      </c>
      <c r="G36" s="2" t="s">
        <v>30</v>
      </c>
      <c r="H36" s="2"/>
      <c r="I36" s="2"/>
      <c r="J36" s="2"/>
      <c r="K36" s="2"/>
      <c r="L36" s="15"/>
      <c r="M36" s="2"/>
      <c r="N36" s="11">
        <f t="shared" si="9"/>
        <v>0</v>
      </c>
      <c r="O36" s="11"/>
      <c r="P36" s="20">
        <f t="shared" si="1"/>
        <v>0</v>
      </c>
      <c r="Q36" s="21">
        <f t="shared" si="2"/>
        <v>0</v>
      </c>
      <c r="R36" s="21">
        <f t="shared" si="3"/>
        <v>0</v>
      </c>
      <c r="S36" s="21">
        <f t="shared" si="4"/>
        <v>0</v>
      </c>
      <c r="T36" s="21">
        <f t="shared" si="5"/>
        <v>0</v>
      </c>
      <c r="U36" s="21">
        <f t="shared" si="6"/>
        <v>0</v>
      </c>
      <c r="V36" s="20">
        <f t="shared" si="10"/>
        <v>0</v>
      </c>
      <c r="W36" s="18">
        <f t="shared" si="0"/>
        <v>0</v>
      </c>
      <c r="X36" s="3"/>
      <c r="Y36" s="6">
        <f t="shared" si="8"/>
        <v>0</v>
      </c>
      <c r="Z36" s="2"/>
      <c r="AA36" s="25" t="s">
        <v>32</v>
      </c>
      <c r="AB36" s="26"/>
      <c r="AC36" s="26"/>
      <c r="AD36" s="26"/>
      <c r="AE36" s="2"/>
      <c r="AF36" s="25" t="s">
        <v>98</v>
      </c>
      <c r="AG36" s="26"/>
      <c r="AH36" s="26"/>
      <c r="AI36" s="26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4" t="s">
        <v>68</v>
      </c>
      <c r="B37" s="6">
        <f>B18/B8</f>
        <v>0</v>
      </c>
      <c r="C37" s="2" t="s">
        <v>3</v>
      </c>
      <c r="D37" s="2"/>
      <c r="E37" s="16" t="s">
        <v>99</v>
      </c>
      <c r="F37" s="6">
        <f>(F18/((1-J14%)*J10))/B8</f>
        <v>0</v>
      </c>
      <c r="G37" s="2" t="s">
        <v>30</v>
      </c>
      <c r="H37" s="2"/>
      <c r="I37" s="1" t="s">
        <v>100</v>
      </c>
      <c r="J37" s="46">
        <f>SUM(J38:J45)</f>
        <v>5179.7481481481482</v>
      </c>
      <c r="K37" s="1" t="s">
        <v>47</v>
      </c>
      <c r="L37" s="15"/>
      <c r="M37" s="2"/>
      <c r="N37" s="11">
        <f t="shared" si="9"/>
        <v>0</v>
      </c>
      <c r="O37" s="11"/>
      <c r="P37" s="20">
        <f t="shared" si="1"/>
        <v>0</v>
      </c>
      <c r="Q37" s="21">
        <f t="shared" si="2"/>
        <v>0</v>
      </c>
      <c r="R37" s="21">
        <f t="shared" si="3"/>
        <v>0</v>
      </c>
      <c r="S37" s="21">
        <f t="shared" si="4"/>
        <v>0</v>
      </c>
      <c r="T37" s="21">
        <f t="shared" si="5"/>
        <v>0</v>
      </c>
      <c r="U37" s="21">
        <f t="shared" si="6"/>
        <v>0</v>
      </c>
      <c r="V37" s="20">
        <f t="shared" si="10"/>
        <v>0</v>
      </c>
      <c r="W37" s="18">
        <f t="shared" si="0"/>
        <v>0</v>
      </c>
      <c r="X37" s="3"/>
      <c r="Y37" s="6">
        <f t="shared" si="8"/>
        <v>0</v>
      </c>
      <c r="Z37" s="2"/>
      <c r="AA37" s="26" t="s">
        <v>77</v>
      </c>
      <c r="AB37" s="26" t="s">
        <v>101</v>
      </c>
      <c r="AC37" s="26" t="s">
        <v>22</v>
      </c>
      <c r="AD37" s="26" t="s">
        <v>79</v>
      </c>
      <c r="AE37" s="2"/>
      <c r="AF37" s="26" t="s">
        <v>77</v>
      </c>
      <c r="AG37" s="26" t="s">
        <v>102</v>
      </c>
      <c r="AH37" s="26" t="s">
        <v>22</v>
      </c>
      <c r="AI37" s="26" t="s">
        <v>79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4" t="s">
        <v>71</v>
      </c>
      <c r="B38" s="14">
        <f>IF(B19=0,0,(B19/B8))</f>
        <v>20.99259259259259</v>
      </c>
      <c r="C38" s="2" t="s">
        <v>3</v>
      </c>
      <c r="D38" s="2"/>
      <c r="E38" s="16" t="s">
        <v>103</v>
      </c>
      <c r="F38" s="47">
        <f>F36*J17</f>
        <v>7.0370370370370361E-2</v>
      </c>
      <c r="G38" s="2" t="s">
        <v>4</v>
      </c>
      <c r="H38" s="2"/>
      <c r="I38" s="16" t="s">
        <v>74</v>
      </c>
      <c r="J38" s="14">
        <f t="shared" ref="J38:J43" si="26">F21/$B$8</f>
        <v>74.074074074074076</v>
      </c>
      <c r="K38" s="2" t="s">
        <v>47</v>
      </c>
      <c r="L38" s="15"/>
      <c r="M38" s="2"/>
      <c r="N38" s="11">
        <f t="shared" si="9"/>
        <v>0</v>
      </c>
      <c r="O38" s="11"/>
      <c r="P38" s="20">
        <f t="shared" si="1"/>
        <v>0</v>
      </c>
      <c r="Q38" s="21">
        <f t="shared" si="2"/>
        <v>0</v>
      </c>
      <c r="R38" s="21">
        <f t="shared" si="3"/>
        <v>0</v>
      </c>
      <c r="S38" s="21">
        <f t="shared" si="4"/>
        <v>0</v>
      </c>
      <c r="T38" s="21">
        <f t="shared" si="5"/>
        <v>0</v>
      </c>
      <c r="U38" s="21">
        <f t="shared" si="6"/>
        <v>0</v>
      </c>
      <c r="V38" s="20">
        <f t="shared" si="10"/>
        <v>0</v>
      </c>
      <c r="W38" s="18">
        <f t="shared" si="0"/>
        <v>0</v>
      </c>
      <c r="X38" s="3"/>
      <c r="Y38" s="6">
        <f t="shared" si="8"/>
        <v>0</v>
      </c>
      <c r="Z38" s="2"/>
      <c r="AA38" s="26" t="s">
        <v>82</v>
      </c>
      <c r="AB38" s="30">
        <v>8708.4666666666672</v>
      </c>
      <c r="AC38" s="29">
        <f>W49</f>
        <v>182584.36421048481</v>
      </c>
      <c r="AD38" s="26"/>
      <c r="AE38" s="2"/>
      <c r="AF38" s="26" t="s">
        <v>82</v>
      </c>
      <c r="AG38" s="30">
        <v>35000</v>
      </c>
      <c r="AH38" s="29">
        <f>W49</f>
        <v>182584.36421048481</v>
      </c>
      <c r="AI38" s="26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4" t="s">
        <v>72</v>
      </c>
      <c r="B39" s="6">
        <f>IF(B20=0,0,(B20/B8))</f>
        <v>740.74074074074065</v>
      </c>
      <c r="C39" s="2" t="s">
        <v>3</v>
      </c>
      <c r="D39" s="2"/>
      <c r="E39" s="2"/>
      <c r="F39" s="2"/>
      <c r="G39" s="2"/>
      <c r="H39" s="2"/>
      <c r="I39" s="16" t="s">
        <v>75</v>
      </c>
      <c r="J39" s="14">
        <f t="shared" si="26"/>
        <v>242.2222222222222</v>
      </c>
      <c r="K39" s="2" t="s">
        <v>47</v>
      </c>
      <c r="L39" s="15"/>
      <c r="M39" s="2"/>
      <c r="N39" s="11">
        <f t="shared" si="9"/>
        <v>0</v>
      </c>
      <c r="O39" s="11"/>
      <c r="P39" s="20">
        <f t="shared" si="1"/>
        <v>0</v>
      </c>
      <c r="Q39" s="21">
        <f t="shared" si="2"/>
        <v>0</v>
      </c>
      <c r="R39" s="21">
        <f t="shared" si="3"/>
        <v>0</v>
      </c>
      <c r="S39" s="21">
        <f t="shared" si="4"/>
        <v>0</v>
      </c>
      <c r="T39" s="21">
        <f t="shared" si="5"/>
        <v>0</v>
      </c>
      <c r="U39" s="21">
        <f t="shared" si="6"/>
        <v>0</v>
      </c>
      <c r="V39" s="20">
        <f t="shared" si="10"/>
        <v>0</v>
      </c>
      <c r="W39" s="18">
        <f t="shared" si="0"/>
        <v>0</v>
      </c>
      <c r="X39" s="3"/>
      <c r="Y39" s="6">
        <f t="shared" si="8"/>
        <v>0</v>
      </c>
      <c r="Z39" s="2"/>
      <c r="AA39" s="26">
        <f t="shared" ref="AA39:AA43" si="27">AA40-10</f>
        <v>-50</v>
      </c>
      <c r="AB39" s="30">
        <f t="shared" ref="AB39:AB49" si="28">$AB$38*(1+(AA39/100))</f>
        <v>4354.2333333333336</v>
      </c>
      <c r="AC39" s="29">
        <f t="dataTable" ref="AC39:AC49" dt2D="0" dtr="0" r1="B48" ca="1"/>
        <v>178353.92268046408</v>
      </c>
      <c r="AD39" s="34">
        <f>100*((AC39-$AC$44)/$AC$44)</f>
        <v>-2.3169790843337736</v>
      </c>
      <c r="AE39" s="2"/>
      <c r="AF39" s="26">
        <f t="shared" ref="AF39:AF43" si="29">AF40-10</f>
        <v>-50</v>
      </c>
      <c r="AG39" s="30">
        <f t="shared" ref="AG39:AG49" si="30">$AG$38*(1+(AF39/100))</f>
        <v>17500</v>
      </c>
      <c r="AH39" s="29">
        <f t="dataTable" ref="AH39:AH49" dt2D="0" dtr="0" r1="F13" ca="1"/>
        <v>156660.87064443954</v>
      </c>
      <c r="AI39" s="34">
        <f t="shared" ref="AI39:AI49" si="31">100*((AH39-$AH$44)/$AH$44)</f>
        <v>-14.198090662440544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16" t="s">
        <v>104</v>
      </c>
      <c r="F40" s="14">
        <f>F37*F13*J17</f>
        <v>0</v>
      </c>
      <c r="G40" s="2" t="s">
        <v>47</v>
      </c>
      <c r="H40" s="2"/>
      <c r="I40" s="16" t="s">
        <v>161</v>
      </c>
      <c r="J40" s="14">
        <f t="shared" si="26"/>
        <v>59.74814814814814</v>
      </c>
      <c r="K40" s="2" t="s">
        <v>47</v>
      </c>
      <c r="L40" s="15"/>
      <c r="M40" s="2"/>
      <c r="N40" s="11">
        <f t="shared" si="9"/>
        <v>0</v>
      </c>
      <c r="O40" s="11"/>
      <c r="P40" s="20">
        <f t="shared" si="1"/>
        <v>0</v>
      </c>
      <c r="Q40" s="21">
        <f t="shared" si="2"/>
        <v>0</v>
      </c>
      <c r="R40" s="21">
        <f t="shared" si="3"/>
        <v>0</v>
      </c>
      <c r="S40" s="21">
        <f t="shared" si="4"/>
        <v>0</v>
      </c>
      <c r="T40" s="21">
        <f t="shared" si="5"/>
        <v>0</v>
      </c>
      <c r="U40" s="21">
        <f t="shared" si="6"/>
        <v>0</v>
      </c>
      <c r="V40" s="20">
        <f t="shared" si="10"/>
        <v>0</v>
      </c>
      <c r="W40" s="18">
        <f t="shared" si="0"/>
        <v>0</v>
      </c>
      <c r="X40" s="3"/>
      <c r="Y40" s="6">
        <f t="shared" si="8"/>
        <v>0</v>
      </c>
      <c r="Z40" s="2"/>
      <c r="AA40" s="26">
        <f t="shared" si="27"/>
        <v>-40</v>
      </c>
      <c r="AB40" s="30">
        <f t="shared" si="28"/>
        <v>5225.08</v>
      </c>
      <c r="AC40" s="29">
        <v>179200.01098646823</v>
      </c>
      <c r="AD40" s="34">
        <f t="shared" ref="AD40:AD49" si="32">100*((AC40-$AC$29)/$AC$29)</f>
        <v>-1.8535832674670156</v>
      </c>
      <c r="AE40" s="2"/>
      <c r="AF40" s="26">
        <f t="shared" si="29"/>
        <v>-40</v>
      </c>
      <c r="AG40" s="30">
        <f t="shared" si="30"/>
        <v>21000</v>
      </c>
      <c r="AH40" s="29">
        <v>160916.31828672939</v>
      </c>
      <c r="AI40" s="34">
        <f t="shared" si="31"/>
        <v>-11.867415929863693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16" t="s">
        <v>105</v>
      </c>
      <c r="F41" s="33">
        <f>F38*F13</f>
        <v>2462.9629629629626</v>
      </c>
      <c r="G41" s="48" t="s">
        <v>47</v>
      </c>
      <c r="H41" s="2"/>
      <c r="I41" s="16" t="s">
        <v>159</v>
      </c>
      <c r="J41" s="14">
        <f t="shared" si="26"/>
        <v>2222.2222222222222</v>
      </c>
      <c r="K41" s="2" t="s">
        <v>47</v>
      </c>
      <c r="L41" s="15"/>
      <c r="M41" s="2"/>
      <c r="N41" s="11">
        <f t="shared" si="9"/>
        <v>0</v>
      </c>
      <c r="O41" s="11"/>
      <c r="P41" s="20">
        <f t="shared" si="1"/>
        <v>0</v>
      </c>
      <c r="Q41" s="21">
        <f t="shared" si="2"/>
        <v>0</v>
      </c>
      <c r="R41" s="21">
        <f t="shared" si="3"/>
        <v>0</v>
      </c>
      <c r="S41" s="21">
        <f t="shared" si="4"/>
        <v>0</v>
      </c>
      <c r="T41" s="21">
        <f t="shared" si="5"/>
        <v>0</v>
      </c>
      <c r="U41" s="21">
        <f t="shared" si="6"/>
        <v>0</v>
      </c>
      <c r="V41" s="20">
        <f t="shared" si="10"/>
        <v>0</v>
      </c>
      <c r="W41" s="18">
        <f t="shared" si="0"/>
        <v>0</v>
      </c>
      <c r="X41" s="3"/>
      <c r="Y41" s="6">
        <f t="shared" si="8"/>
        <v>0</v>
      </c>
      <c r="Z41" s="2"/>
      <c r="AA41" s="26">
        <f t="shared" si="27"/>
        <v>-30</v>
      </c>
      <c r="AB41" s="30">
        <f t="shared" si="28"/>
        <v>6095.9266666666663</v>
      </c>
      <c r="AC41" s="29">
        <v>180046.09929247238</v>
      </c>
      <c r="AD41" s="34">
        <f t="shared" si="32"/>
        <v>-1.3901874506002576</v>
      </c>
      <c r="AE41" s="2"/>
      <c r="AF41" s="26">
        <f t="shared" si="29"/>
        <v>-30</v>
      </c>
      <c r="AG41" s="30">
        <f t="shared" si="30"/>
        <v>24500</v>
      </c>
      <c r="AH41" s="29">
        <v>164951.49979908243</v>
      </c>
      <c r="AI41" s="34">
        <f t="shared" si="31"/>
        <v>-9.6573791998284477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16" t="s">
        <v>162</v>
      </c>
      <c r="J42" s="14">
        <f t="shared" si="26"/>
        <v>0</v>
      </c>
      <c r="K42" s="2" t="s">
        <v>47</v>
      </c>
      <c r="L42" s="15"/>
      <c r="M42" s="2"/>
      <c r="N42" s="11">
        <f t="shared" si="9"/>
        <v>0</v>
      </c>
      <c r="O42" s="11"/>
      <c r="P42" s="20">
        <f t="shared" si="1"/>
        <v>0</v>
      </c>
      <c r="Q42" s="21">
        <f t="shared" si="2"/>
        <v>0</v>
      </c>
      <c r="R42" s="21">
        <f t="shared" si="3"/>
        <v>0</v>
      </c>
      <c r="S42" s="21">
        <f t="shared" si="4"/>
        <v>0</v>
      </c>
      <c r="T42" s="21">
        <f t="shared" si="5"/>
        <v>0</v>
      </c>
      <c r="U42" s="21">
        <f t="shared" si="6"/>
        <v>0</v>
      </c>
      <c r="V42" s="20">
        <f t="shared" si="10"/>
        <v>0</v>
      </c>
      <c r="W42" s="18">
        <f t="shared" si="0"/>
        <v>0</v>
      </c>
      <c r="X42" s="3"/>
      <c r="Y42" s="6">
        <f t="shared" si="8"/>
        <v>0</v>
      </c>
      <c r="Z42" s="2"/>
      <c r="AA42" s="26">
        <f t="shared" si="27"/>
        <v>-20</v>
      </c>
      <c r="AB42" s="30">
        <f t="shared" si="28"/>
        <v>6966.7733333333344</v>
      </c>
      <c r="AC42" s="29">
        <v>180892.18759847645</v>
      </c>
      <c r="AD42" s="34">
        <f t="shared" si="32"/>
        <v>-0.92679163373354767</v>
      </c>
      <c r="AE42" s="2"/>
      <c r="AF42" s="26">
        <f t="shared" si="29"/>
        <v>-20</v>
      </c>
      <c r="AG42" s="30">
        <f t="shared" si="30"/>
        <v>28000</v>
      </c>
      <c r="AH42" s="29">
        <v>168996.62454374519</v>
      </c>
      <c r="AI42" s="34">
        <f t="shared" si="31"/>
        <v>-7.4418966407635887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16" t="s">
        <v>164</v>
      </c>
      <c r="J43" s="14">
        <f t="shared" si="26"/>
        <v>53.333333333333329</v>
      </c>
      <c r="K43" s="2" t="s">
        <v>47</v>
      </c>
      <c r="L43" s="15"/>
      <c r="M43" s="2"/>
      <c r="N43" s="11">
        <f t="shared" si="9"/>
        <v>0</v>
      </c>
      <c r="O43" s="11"/>
      <c r="P43" s="20">
        <f t="shared" si="1"/>
        <v>0</v>
      </c>
      <c r="Q43" s="21">
        <f t="shared" si="2"/>
        <v>0</v>
      </c>
      <c r="R43" s="21">
        <f t="shared" si="3"/>
        <v>0</v>
      </c>
      <c r="S43" s="21">
        <f t="shared" si="4"/>
        <v>0</v>
      </c>
      <c r="T43" s="21">
        <f t="shared" si="5"/>
        <v>0</v>
      </c>
      <c r="U43" s="21">
        <f t="shared" si="6"/>
        <v>0</v>
      </c>
      <c r="V43" s="20">
        <f t="shared" si="10"/>
        <v>0</v>
      </c>
      <c r="W43" s="18">
        <f t="shared" si="0"/>
        <v>0</v>
      </c>
      <c r="X43" s="3"/>
      <c r="Y43" s="6">
        <f t="shared" si="8"/>
        <v>0</v>
      </c>
      <c r="Z43" s="2"/>
      <c r="AA43" s="26">
        <f t="shared" si="27"/>
        <v>-10</v>
      </c>
      <c r="AB43" s="30">
        <f t="shared" si="28"/>
        <v>7837.6200000000008</v>
      </c>
      <c r="AC43" s="29">
        <v>181738.27590448066</v>
      </c>
      <c r="AD43" s="34">
        <f t="shared" si="32"/>
        <v>-0.46339581686675785</v>
      </c>
      <c r="AE43" s="2"/>
      <c r="AF43" s="26">
        <f t="shared" si="29"/>
        <v>-10</v>
      </c>
      <c r="AG43" s="30">
        <f t="shared" si="30"/>
        <v>31500</v>
      </c>
      <c r="AH43" s="29">
        <v>178797.76350587339</v>
      </c>
      <c r="AI43" s="34">
        <f t="shared" si="31"/>
        <v>-2.0738910042955259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2" t="s">
        <v>106</v>
      </c>
      <c r="B44" s="3"/>
      <c r="C44" s="1"/>
      <c r="D44" s="2"/>
      <c r="E44" s="68" t="s">
        <v>141</v>
      </c>
      <c r="F44" s="69"/>
      <c r="G44" s="69"/>
      <c r="H44" s="2"/>
      <c r="I44" s="16" t="s">
        <v>46</v>
      </c>
      <c r="J44" s="49">
        <f>F19*F13/B8</f>
        <v>2100</v>
      </c>
      <c r="K44" s="2" t="s">
        <v>47</v>
      </c>
      <c r="L44" s="15"/>
      <c r="M44" s="2"/>
      <c r="N44" s="11">
        <f t="shared" si="9"/>
        <v>0</v>
      </c>
      <c r="O44" s="11"/>
      <c r="P44" s="20">
        <f t="shared" si="1"/>
        <v>0</v>
      </c>
      <c r="Q44" s="21">
        <f t="shared" si="2"/>
        <v>0</v>
      </c>
      <c r="R44" s="21">
        <f t="shared" si="3"/>
        <v>0</v>
      </c>
      <c r="S44" s="21">
        <f t="shared" si="4"/>
        <v>0</v>
      </c>
      <c r="T44" s="21">
        <f t="shared" si="5"/>
        <v>0</v>
      </c>
      <c r="U44" s="21">
        <f t="shared" si="6"/>
        <v>0</v>
      </c>
      <c r="V44" s="20">
        <f t="shared" si="10"/>
        <v>0</v>
      </c>
      <c r="W44" s="18">
        <f t="shared" si="0"/>
        <v>0</v>
      </c>
      <c r="X44" s="3"/>
      <c r="Y44" s="6">
        <f t="shared" si="8"/>
        <v>0</v>
      </c>
      <c r="Z44" s="2"/>
      <c r="AA44" s="40">
        <v>0</v>
      </c>
      <c r="AB44" s="44">
        <f t="shared" si="28"/>
        <v>8708.4666666666672</v>
      </c>
      <c r="AC44" s="42">
        <v>182584.36421048481</v>
      </c>
      <c r="AD44" s="43">
        <f t="shared" si="32"/>
        <v>0</v>
      </c>
      <c r="AE44" s="2"/>
      <c r="AF44" s="40">
        <v>0</v>
      </c>
      <c r="AG44" s="44">
        <f t="shared" si="30"/>
        <v>35000</v>
      </c>
      <c r="AH44" s="42">
        <v>182584.36421048481</v>
      </c>
      <c r="AI44" s="43">
        <f t="shared" si="31"/>
        <v>0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16" t="s">
        <v>183</v>
      </c>
      <c r="B45" s="6">
        <f>J8/B8</f>
        <v>42580.645161290326</v>
      </c>
      <c r="C45" s="2" t="s">
        <v>3</v>
      </c>
      <c r="D45" s="2"/>
      <c r="E45" s="70" t="s">
        <v>142</v>
      </c>
      <c r="F45" s="71">
        <f>(J9*J10)*(1+(B13%))</f>
        <v>9185.4000000000015</v>
      </c>
      <c r="G45" s="69" t="s">
        <v>3</v>
      </c>
      <c r="H45" s="2"/>
      <c r="I45" s="16" t="s">
        <v>65</v>
      </c>
      <c r="J45" s="14">
        <f>F17/$B$8</f>
        <v>428.1481481481481</v>
      </c>
      <c r="K45" s="2" t="s">
        <v>47</v>
      </c>
      <c r="L45" s="15"/>
      <c r="M45" s="2"/>
      <c r="N45" s="11">
        <f t="shared" si="9"/>
        <v>0</v>
      </c>
      <c r="O45" s="11"/>
      <c r="P45" s="20">
        <f t="shared" si="1"/>
        <v>0</v>
      </c>
      <c r="Q45" s="21">
        <f t="shared" si="2"/>
        <v>0</v>
      </c>
      <c r="R45" s="21">
        <f t="shared" si="3"/>
        <v>0</v>
      </c>
      <c r="S45" s="21">
        <f t="shared" si="4"/>
        <v>0</v>
      </c>
      <c r="T45" s="21">
        <f t="shared" si="5"/>
        <v>0</v>
      </c>
      <c r="U45" s="21">
        <f t="shared" si="6"/>
        <v>0</v>
      </c>
      <c r="V45" s="20">
        <f t="shared" si="10"/>
        <v>0</v>
      </c>
      <c r="W45" s="18">
        <f t="shared" si="0"/>
        <v>0</v>
      </c>
      <c r="X45" s="3"/>
      <c r="Y45" s="6">
        <f t="shared" si="8"/>
        <v>0</v>
      </c>
      <c r="Z45" s="2"/>
      <c r="AA45" s="26">
        <f t="shared" ref="AA45:AA49" si="33">AA44+10</f>
        <v>10</v>
      </c>
      <c r="AB45" s="30">
        <f t="shared" si="28"/>
        <v>9579.3133333333353</v>
      </c>
      <c r="AC45" s="29">
        <v>183430.45251648896</v>
      </c>
      <c r="AD45" s="34">
        <f t="shared" si="32"/>
        <v>0.46339581686675785</v>
      </c>
      <c r="AE45" s="2"/>
      <c r="AF45" s="26">
        <f t="shared" ref="AF45:AF49" si="34">AF44+10</f>
        <v>10</v>
      </c>
      <c r="AG45" s="30">
        <f t="shared" si="30"/>
        <v>38500</v>
      </c>
      <c r="AH45" s="29">
        <v>187119.43145449419</v>
      </c>
      <c r="AI45" s="34">
        <f t="shared" si="31"/>
        <v>2.4838201582153623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16" t="s">
        <v>107</v>
      </c>
      <c r="B46" s="6">
        <f>IF(J24="No",J9*J10,0)</f>
        <v>8505</v>
      </c>
      <c r="C46" s="2" t="s">
        <v>3</v>
      </c>
      <c r="D46" s="2"/>
      <c r="E46" s="69" t="s">
        <v>143</v>
      </c>
      <c r="F46" s="71">
        <f>((J21%)*F45)+(((1-J21%)*F45)*(1+(F20%*J20)))</f>
        <v>10953.589500000002</v>
      </c>
      <c r="G46" s="69" t="s">
        <v>3</v>
      </c>
      <c r="H46" s="2"/>
      <c r="I46" s="2"/>
      <c r="J46" s="2"/>
      <c r="K46" s="2"/>
      <c r="L46" s="15"/>
      <c r="M46" s="2"/>
      <c r="N46" s="11">
        <f t="shared" si="9"/>
        <v>0</v>
      </c>
      <c r="O46" s="11"/>
      <c r="P46" s="20">
        <f t="shared" si="1"/>
        <v>0</v>
      </c>
      <c r="Q46" s="21">
        <f t="shared" si="2"/>
        <v>0</v>
      </c>
      <c r="R46" s="21">
        <f t="shared" si="3"/>
        <v>0</v>
      </c>
      <c r="S46" s="21">
        <f t="shared" si="4"/>
        <v>0</v>
      </c>
      <c r="T46" s="21">
        <f t="shared" si="5"/>
        <v>0</v>
      </c>
      <c r="U46" s="21">
        <f t="shared" si="6"/>
        <v>0</v>
      </c>
      <c r="V46" s="20">
        <f t="shared" si="10"/>
        <v>0</v>
      </c>
      <c r="W46" s="18">
        <f t="shared" si="0"/>
        <v>0</v>
      </c>
      <c r="X46" s="3"/>
      <c r="Y46" s="6">
        <f t="shared" si="8"/>
        <v>0</v>
      </c>
      <c r="Z46" s="2"/>
      <c r="AA46" s="26">
        <f t="shared" si="33"/>
        <v>20</v>
      </c>
      <c r="AB46" s="30">
        <f t="shared" si="28"/>
        <v>10450.16</v>
      </c>
      <c r="AC46" s="29">
        <v>184276.54082249312</v>
      </c>
      <c r="AD46" s="34">
        <f t="shared" si="32"/>
        <v>0.9267916337335157</v>
      </c>
      <c r="AE46" s="2"/>
      <c r="AF46" s="26">
        <f t="shared" si="34"/>
        <v>20</v>
      </c>
      <c r="AG46" s="30">
        <f t="shared" si="30"/>
        <v>42000</v>
      </c>
      <c r="AH46" s="29">
        <v>190906.03215910555</v>
      </c>
      <c r="AI46" s="34">
        <f t="shared" si="31"/>
        <v>4.5577111625108566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4" t="s">
        <v>108</v>
      </c>
      <c r="B47" s="23">
        <f>B45+(B14/B8)</f>
        <v>42784.111827956993</v>
      </c>
      <c r="C47" s="2" t="s">
        <v>3</v>
      </c>
      <c r="D47" s="2"/>
      <c r="E47" s="69" t="s">
        <v>91</v>
      </c>
      <c r="F47" s="71">
        <f>J12*J11</f>
        <v>180000</v>
      </c>
      <c r="G47" s="69" t="s">
        <v>96</v>
      </c>
      <c r="H47" s="2"/>
      <c r="I47" s="2"/>
      <c r="J47" s="2"/>
      <c r="K47" s="2"/>
      <c r="L47" s="15"/>
      <c r="M47" s="2"/>
      <c r="N47" s="11">
        <f t="shared" si="9"/>
        <v>0</v>
      </c>
      <c r="O47" s="11"/>
      <c r="P47" s="20">
        <f t="shared" si="1"/>
        <v>0</v>
      </c>
      <c r="Q47" s="21">
        <f t="shared" si="2"/>
        <v>0</v>
      </c>
      <c r="R47" s="21">
        <f t="shared" si="3"/>
        <v>0</v>
      </c>
      <c r="S47" s="21">
        <f t="shared" si="4"/>
        <v>0</v>
      </c>
      <c r="T47" s="21">
        <f t="shared" si="5"/>
        <v>0</v>
      </c>
      <c r="U47" s="21">
        <f t="shared" si="6"/>
        <v>0</v>
      </c>
      <c r="V47" s="20">
        <f t="shared" si="10"/>
        <v>0</v>
      </c>
      <c r="W47" s="18">
        <f t="shared" si="0"/>
        <v>0</v>
      </c>
      <c r="X47" s="3"/>
      <c r="Y47" s="6">
        <f t="shared" si="8"/>
        <v>0</v>
      </c>
      <c r="Z47" s="2"/>
      <c r="AA47" s="26">
        <f t="shared" si="33"/>
        <v>30</v>
      </c>
      <c r="AB47" s="30">
        <f t="shared" si="28"/>
        <v>11321.006666666668</v>
      </c>
      <c r="AC47" s="29">
        <v>185122.62912849727</v>
      </c>
      <c r="AD47" s="34">
        <f t="shared" si="32"/>
        <v>1.3901874506002736</v>
      </c>
      <c r="AE47" s="2"/>
      <c r="AF47" s="26">
        <f t="shared" si="34"/>
        <v>30</v>
      </c>
      <c r="AG47" s="30">
        <f t="shared" si="30"/>
        <v>45500</v>
      </c>
      <c r="AH47" s="29">
        <v>201466.04228339632</v>
      </c>
      <c r="AI47" s="34">
        <f t="shared" si="31"/>
        <v>10.341344481800508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4" t="s">
        <v>109</v>
      </c>
      <c r="B48" s="5">
        <f>B46+(B14/B8)</f>
        <v>8708.4666666666672</v>
      </c>
      <c r="C48" s="2" t="s">
        <v>3</v>
      </c>
      <c r="D48" s="2"/>
      <c r="E48" s="69" t="s">
        <v>144</v>
      </c>
      <c r="F48" s="72">
        <f>(F46/F47)*J25</f>
        <v>7.9109257500000016E-2</v>
      </c>
      <c r="G48" s="69" t="s">
        <v>4</v>
      </c>
      <c r="H48" s="2"/>
      <c r="I48" s="2"/>
      <c r="J48" s="2"/>
      <c r="K48" s="2"/>
      <c r="L48" s="15"/>
      <c r="M48" s="2"/>
      <c r="N48" s="11">
        <f t="shared" si="9"/>
        <v>0</v>
      </c>
      <c r="O48" s="11"/>
      <c r="P48" s="20">
        <f t="shared" si="1"/>
        <v>0</v>
      </c>
      <c r="Q48" s="21">
        <f t="shared" si="2"/>
        <v>0</v>
      </c>
      <c r="R48" s="21">
        <f t="shared" si="3"/>
        <v>0</v>
      </c>
      <c r="S48" s="21">
        <f t="shared" si="4"/>
        <v>0</v>
      </c>
      <c r="T48" s="21">
        <f t="shared" si="5"/>
        <v>0</v>
      </c>
      <c r="U48" s="21">
        <f t="shared" si="6"/>
        <v>0</v>
      </c>
      <c r="V48" s="20">
        <f t="shared" si="10"/>
        <v>0</v>
      </c>
      <c r="W48" s="18">
        <f t="shared" si="0"/>
        <v>0</v>
      </c>
      <c r="X48" s="3"/>
      <c r="Y48" s="6">
        <f t="shared" si="8"/>
        <v>0</v>
      </c>
      <c r="Z48" s="2"/>
      <c r="AA48" s="26">
        <f t="shared" si="33"/>
        <v>40</v>
      </c>
      <c r="AB48" s="30">
        <f t="shared" si="28"/>
        <v>12191.853333333333</v>
      </c>
      <c r="AC48" s="29">
        <v>185968.71743450136</v>
      </c>
      <c r="AD48" s="34">
        <f t="shared" si="32"/>
        <v>1.8535832674669996</v>
      </c>
      <c r="AE48" s="2"/>
      <c r="AF48" s="26">
        <f t="shared" si="34"/>
        <v>40</v>
      </c>
      <c r="AG48" s="30">
        <f t="shared" si="30"/>
        <v>49000</v>
      </c>
      <c r="AH48" s="29">
        <v>205252.64298800769</v>
      </c>
      <c r="AI48" s="34">
        <f t="shared" si="31"/>
        <v>12.415235486096002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 t="s">
        <v>160</v>
      </c>
      <c r="B49" s="23">
        <f>B47+B48</f>
        <v>51492.57849462366</v>
      </c>
      <c r="C49" s="2" t="s">
        <v>3</v>
      </c>
      <c r="D49" s="2"/>
      <c r="E49" s="69" t="s">
        <v>145</v>
      </c>
      <c r="F49" s="67">
        <f>J26*365</f>
        <v>36500</v>
      </c>
      <c r="G49" s="69" t="s">
        <v>41</v>
      </c>
      <c r="H49" s="2"/>
      <c r="I49" s="16"/>
      <c r="J49" s="14"/>
      <c r="K49" s="2"/>
      <c r="L49" s="15"/>
      <c r="M49" s="2"/>
      <c r="N49" s="12" t="s">
        <v>110</v>
      </c>
      <c r="O49" s="18">
        <f t="shared" ref="O49:W49" si="35">SUM(O8:O48)</f>
        <v>33628.825109677418</v>
      </c>
      <c r="P49" s="18">
        <f t="shared" si="35"/>
        <v>89077.184980514736</v>
      </c>
      <c r="Q49" s="18">
        <f t="shared" si="35"/>
        <v>20833.125909468497</v>
      </c>
      <c r="R49" s="18">
        <f t="shared" si="35"/>
        <v>0</v>
      </c>
      <c r="S49" s="18">
        <f t="shared" si="35"/>
        <v>42012.397392936829</v>
      </c>
      <c r="T49" s="18">
        <f t="shared" si="35"/>
        <v>12736.163298851701</v>
      </c>
      <c r="U49" s="18">
        <f t="shared" si="35"/>
        <v>0</v>
      </c>
      <c r="V49" s="18">
        <f t="shared" si="35"/>
        <v>-15703.332480964364</v>
      </c>
      <c r="W49" s="18">
        <f t="shared" si="35"/>
        <v>182584.36421048481</v>
      </c>
      <c r="X49" s="3"/>
      <c r="Y49" s="3"/>
      <c r="Z49" s="2"/>
      <c r="AA49" s="26">
        <f t="shared" si="33"/>
        <v>50</v>
      </c>
      <c r="AB49" s="30">
        <f t="shared" si="28"/>
        <v>13062.7</v>
      </c>
      <c r="AC49" s="29">
        <v>186814.80574050557</v>
      </c>
      <c r="AD49" s="34">
        <f t="shared" si="32"/>
        <v>2.3169790843337896</v>
      </c>
      <c r="AE49" s="2"/>
      <c r="AF49" s="26">
        <f t="shared" si="34"/>
        <v>50</v>
      </c>
      <c r="AG49" s="30">
        <f t="shared" si="30"/>
        <v>52500</v>
      </c>
      <c r="AH49" s="29">
        <v>209039.24369261909</v>
      </c>
      <c r="AI49" s="34">
        <f t="shared" si="31"/>
        <v>14.489126490391513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4" t="s">
        <v>111</v>
      </c>
      <c r="B50" s="6">
        <f>SUM(B33:B39)+SUM(B49)</f>
        <v>112096.08369892473</v>
      </c>
      <c r="C50" s="2" t="s">
        <v>3</v>
      </c>
      <c r="D50" s="2"/>
      <c r="E50" s="69" t="s">
        <v>146</v>
      </c>
      <c r="F50" s="73">
        <f>F48*F49</f>
        <v>2887.4878987500006</v>
      </c>
      <c r="G50" s="74" t="s">
        <v>47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"/>
      <c r="T50" s="2"/>
      <c r="U50" s="2"/>
      <c r="V50" s="2"/>
      <c r="W50" s="23"/>
      <c r="X50" s="2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4" t="s">
        <v>152</v>
      </c>
      <c r="B51" s="6">
        <f>SUM(B31:B32)</f>
        <v>0</v>
      </c>
      <c r="C51" s="2" t="s">
        <v>3</v>
      </c>
      <c r="D51" s="2"/>
      <c r="E51" s="69" t="s">
        <v>147</v>
      </c>
      <c r="F51" s="75">
        <f>IF(F12&gt;F49,(F12-F49)*F48,0)</f>
        <v>0</v>
      </c>
      <c r="G51" s="74" t="s">
        <v>47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5" t="s">
        <v>46</v>
      </c>
      <c r="AB51" s="26"/>
      <c r="AC51" s="26"/>
      <c r="AD51" s="26"/>
      <c r="AE51" s="2"/>
      <c r="AF51" s="77" t="s">
        <v>139</v>
      </c>
      <c r="AG51" s="78"/>
      <c r="AH51" s="78"/>
      <c r="AI51" s="78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4" t="s">
        <v>150</v>
      </c>
      <c r="B52" s="6">
        <f>B50+B51</f>
        <v>112096.08369892473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6" t="s">
        <v>77</v>
      </c>
      <c r="AB52" s="26" t="s">
        <v>80</v>
      </c>
      <c r="AC52" s="26" t="s">
        <v>22</v>
      </c>
      <c r="AD52" s="26" t="s">
        <v>79</v>
      </c>
      <c r="AE52" s="2"/>
      <c r="AF52" s="78" t="s">
        <v>77</v>
      </c>
      <c r="AG52" s="78" t="s">
        <v>149</v>
      </c>
      <c r="AH52" s="78" t="s">
        <v>22</v>
      </c>
      <c r="AI52" s="78" t="s">
        <v>79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9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6" t="s">
        <v>82</v>
      </c>
      <c r="AB53" s="30">
        <v>2100</v>
      </c>
      <c r="AC53" s="29">
        <f>W49</f>
        <v>182584.36421048481</v>
      </c>
      <c r="AD53" s="26"/>
      <c r="AE53" s="2"/>
      <c r="AF53" s="78" t="s">
        <v>82</v>
      </c>
      <c r="AG53" s="79">
        <v>100</v>
      </c>
      <c r="AH53" s="80">
        <f>W49</f>
        <v>182584.36421048481</v>
      </c>
      <c r="AI53" s="78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0"/>
      <c r="O54" s="51" t="s">
        <v>112</v>
      </c>
      <c r="P54" s="52" t="str">
        <f>B1</f>
        <v>Singapore</v>
      </c>
      <c r="Q54" s="50"/>
      <c r="R54" s="50"/>
      <c r="S54" s="50"/>
      <c r="T54" s="50"/>
      <c r="U54" s="53"/>
      <c r="V54" s="2"/>
      <c r="W54" s="33"/>
      <c r="X54" s="33"/>
      <c r="Y54" s="53"/>
      <c r="Z54" s="33"/>
      <c r="AA54" s="26">
        <f t="shared" ref="AA54:AA58" si="36">AA55-10</f>
        <v>-50</v>
      </c>
      <c r="AB54" s="30">
        <f t="shared" ref="AB54:AB64" si="37">$AB$53*(1+(AA54/100))</f>
        <v>1050</v>
      </c>
      <c r="AC54" s="29">
        <f t="dataTable" ref="AC54:AC64" dt2D="0" dtr="0" r1="J44" ca="1"/>
        <v>174067.92364216206</v>
      </c>
      <c r="AD54" s="34">
        <f t="shared" ref="AD54:AD64" si="38">100*((AC54-$AC$59)/$AC$59)</f>
        <v>-4.6643865728310265</v>
      </c>
      <c r="AE54" s="2"/>
      <c r="AF54" s="78">
        <f t="shared" ref="AF54:AF56" si="39">AF55-20</f>
        <v>-100</v>
      </c>
      <c r="AG54" s="30">
        <f>$AG$53*(1+(AF54/100))</f>
        <v>0</v>
      </c>
      <c r="AH54" s="29">
        <f t="dataTable" ref="AH54:AH64" dt2D="0" dtr="0" r1="J26" ca="1"/>
        <v>182584.36421048481</v>
      </c>
      <c r="AI54" s="34">
        <f>100*((AH54-$AH$59)/$AH$59)</f>
        <v>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113</v>
      </c>
      <c r="P55" s="23">
        <f>SUM(O49:P49)</f>
        <v>122706.01009019215</v>
      </c>
      <c r="Q55" s="2" t="s">
        <v>3</v>
      </c>
      <c r="R55" s="47">
        <f t="shared" ref="R55:R59" si="40">P55/$J$34</f>
        <v>0.3505886002576919</v>
      </c>
      <c r="S55" s="2" t="s">
        <v>4</v>
      </c>
      <c r="T55" s="2"/>
      <c r="U55" s="53"/>
      <c r="V55" s="2"/>
      <c r="W55" s="33"/>
      <c r="X55" s="33"/>
      <c r="Y55" s="53"/>
      <c r="Z55" s="33"/>
      <c r="AA55" s="26">
        <f t="shared" si="36"/>
        <v>-40</v>
      </c>
      <c r="AB55" s="30">
        <f t="shared" si="37"/>
        <v>1260</v>
      </c>
      <c r="AC55" s="29">
        <v>175771.2117558266</v>
      </c>
      <c r="AD55" s="34">
        <f t="shared" si="38"/>
        <v>-3.7315092582648242</v>
      </c>
      <c r="AE55" s="2"/>
      <c r="AF55" s="78">
        <f t="shared" si="39"/>
        <v>-80</v>
      </c>
      <c r="AG55" s="30">
        <f t="shared" ref="AG55:AG64" si="41">$AG$53*(1+(AF55/100))</f>
        <v>19.999999999999996</v>
      </c>
      <c r="AH55" s="29">
        <v>182584.36421048481</v>
      </c>
      <c r="AI55" s="34">
        <f t="shared" ref="AI55:AI64" si="42">100*((AH55-$AH$59)/$AH$59)</f>
        <v>0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97</v>
      </c>
      <c r="P56" s="23">
        <f>SUM(Q49:R49)</f>
        <v>20833.125909468497</v>
      </c>
      <c r="Q56" s="2" t="s">
        <v>3</v>
      </c>
      <c r="R56" s="47">
        <f t="shared" si="40"/>
        <v>5.9523216884195707E-2</v>
      </c>
      <c r="S56" s="2" t="s">
        <v>4</v>
      </c>
      <c r="T56" s="2"/>
      <c r="U56" s="53"/>
      <c r="V56" s="2"/>
      <c r="W56" s="33"/>
      <c r="X56" s="33"/>
      <c r="Y56" s="53"/>
      <c r="Z56" s="33"/>
      <c r="AA56" s="26">
        <f t="shared" si="36"/>
        <v>-30</v>
      </c>
      <c r="AB56" s="30">
        <f t="shared" si="37"/>
        <v>1470</v>
      </c>
      <c r="AC56" s="29">
        <v>177474.49986949121</v>
      </c>
      <c r="AD56" s="34">
        <f t="shared" si="38"/>
        <v>-2.7986319436985907</v>
      </c>
      <c r="AE56" s="2"/>
      <c r="AF56" s="78">
        <f t="shared" si="39"/>
        <v>-60</v>
      </c>
      <c r="AG56" s="30">
        <f t="shared" si="41"/>
        <v>40</v>
      </c>
      <c r="AH56" s="29">
        <v>182584.36421048481</v>
      </c>
      <c r="AI56" s="34">
        <f t="shared" si="42"/>
        <v>0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114</v>
      </c>
      <c r="P57" s="23">
        <f>SUM(S49)</f>
        <v>42012.397392936829</v>
      </c>
      <c r="Q57" s="2" t="s">
        <v>3</v>
      </c>
      <c r="R57" s="47">
        <f t="shared" si="40"/>
        <v>0.12003542112267665</v>
      </c>
      <c r="S57" s="2" t="s">
        <v>4</v>
      </c>
      <c r="T57" s="2"/>
      <c r="U57" s="53"/>
      <c r="V57" s="2"/>
      <c r="W57" s="33"/>
      <c r="X57" s="33"/>
      <c r="Y57" s="53"/>
      <c r="Z57" s="33"/>
      <c r="AA57" s="26">
        <f t="shared" si="36"/>
        <v>-20</v>
      </c>
      <c r="AB57" s="30">
        <f t="shared" si="37"/>
        <v>1680</v>
      </c>
      <c r="AC57" s="29">
        <v>179177.78798315569</v>
      </c>
      <c r="AD57" s="34">
        <f t="shared" si="38"/>
        <v>-1.8657546291324201</v>
      </c>
      <c r="AE57" s="2"/>
      <c r="AF57" s="78">
        <f>AF58-20</f>
        <v>-40</v>
      </c>
      <c r="AG57" s="30">
        <f t="shared" si="41"/>
        <v>60</v>
      </c>
      <c r="AH57" s="29">
        <v>182584.36421048481</v>
      </c>
      <c r="AI57" s="34">
        <f t="shared" si="42"/>
        <v>0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115</v>
      </c>
      <c r="P58" s="23">
        <f>SUM(T49:U49)</f>
        <v>12736.163298851701</v>
      </c>
      <c r="Q58" s="2" t="s">
        <v>3</v>
      </c>
      <c r="R58" s="47">
        <f t="shared" si="40"/>
        <v>3.6389037996719144E-2</v>
      </c>
      <c r="S58" s="2" t="s">
        <v>4</v>
      </c>
      <c r="T58" s="2"/>
      <c r="U58" s="53"/>
      <c r="V58" s="2"/>
      <c r="W58" s="33"/>
      <c r="X58" s="33"/>
      <c r="Y58" s="53"/>
      <c r="Z58" s="33"/>
      <c r="AA58" s="26">
        <f t="shared" si="36"/>
        <v>-10</v>
      </c>
      <c r="AB58" s="30">
        <f t="shared" si="37"/>
        <v>1890</v>
      </c>
      <c r="AC58" s="29">
        <v>180881.07609682027</v>
      </c>
      <c r="AD58" s="34">
        <f t="shared" si="38"/>
        <v>-0.93287731456620204</v>
      </c>
      <c r="AE58" s="2"/>
      <c r="AF58" s="78">
        <f>AF59-20</f>
        <v>-20</v>
      </c>
      <c r="AG58" s="30">
        <f t="shared" si="41"/>
        <v>80</v>
      </c>
      <c r="AH58" s="29">
        <v>182584.36421048481</v>
      </c>
      <c r="AI58" s="34">
        <f t="shared" si="42"/>
        <v>0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116</v>
      </c>
      <c r="P59" s="23">
        <f>V49</f>
        <v>-15703.332480964364</v>
      </c>
      <c r="Q59" s="2" t="s">
        <v>3</v>
      </c>
      <c r="R59" s="47">
        <f t="shared" si="40"/>
        <v>-4.486666423132675E-2</v>
      </c>
      <c r="S59" s="2" t="s">
        <v>4</v>
      </c>
      <c r="T59" s="2"/>
      <c r="U59" s="53"/>
      <c r="V59" s="2"/>
      <c r="W59" s="33"/>
      <c r="X59" s="33"/>
      <c r="Y59" s="53"/>
      <c r="Z59" s="33"/>
      <c r="AA59" s="40">
        <v>0</v>
      </c>
      <c r="AB59" s="44">
        <f t="shared" si="37"/>
        <v>2100</v>
      </c>
      <c r="AC59" s="42">
        <v>182584.36421048481</v>
      </c>
      <c r="AD59" s="43">
        <f t="shared" si="38"/>
        <v>0</v>
      </c>
      <c r="AE59" s="2"/>
      <c r="AF59" s="81">
        <v>0</v>
      </c>
      <c r="AG59" s="83">
        <f t="shared" si="41"/>
        <v>100</v>
      </c>
      <c r="AH59" s="42">
        <v>182584.36421048481</v>
      </c>
      <c r="AI59" s="82">
        <f t="shared" si="42"/>
        <v>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182584.36421048481</v>
      </c>
      <c r="Q60" s="1" t="s">
        <v>3</v>
      </c>
      <c r="R60" s="55">
        <f>SUM(R55:R59)</f>
        <v>0.52166961202995654</v>
      </c>
      <c r="S60" s="1" t="s">
        <v>4</v>
      </c>
      <c r="T60" s="2"/>
      <c r="U60" s="53"/>
      <c r="V60" s="2"/>
      <c r="W60" s="33"/>
      <c r="X60" s="33"/>
      <c r="Y60" s="53"/>
      <c r="Z60" s="33"/>
      <c r="AA60" s="26">
        <f t="shared" ref="AA60:AA64" si="43">AA59+10</f>
        <v>10</v>
      </c>
      <c r="AB60" s="30">
        <f t="shared" si="37"/>
        <v>2310</v>
      </c>
      <c r="AC60" s="29">
        <v>184287.65232414939</v>
      </c>
      <c r="AD60" s="34">
        <f t="shared" si="38"/>
        <v>0.93287731456621803</v>
      </c>
      <c r="AE60" s="2"/>
      <c r="AF60" s="78">
        <f>AF59+20</f>
        <v>20</v>
      </c>
      <c r="AG60" s="30">
        <f t="shared" si="41"/>
        <v>120</v>
      </c>
      <c r="AH60" s="29">
        <v>182584.36421048481</v>
      </c>
      <c r="AI60" s="34">
        <f t="shared" si="42"/>
        <v>0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53"/>
      <c r="V61" s="2"/>
      <c r="W61" s="33"/>
      <c r="X61" s="33"/>
      <c r="Y61" s="53"/>
      <c r="Z61" s="33"/>
      <c r="AA61" s="26">
        <f t="shared" si="43"/>
        <v>20</v>
      </c>
      <c r="AB61" s="30">
        <f t="shared" si="37"/>
        <v>2520</v>
      </c>
      <c r="AC61" s="29">
        <v>185990.9404378139</v>
      </c>
      <c r="AD61" s="34">
        <f t="shared" si="38"/>
        <v>1.8657546291324041</v>
      </c>
      <c r="AE61" s="2"/>
      <c r="AF61" s="78">
        <f t="shared" ref="AF61:AF64" si="44">AF60+20</f>
        <v>40</v>
      </c>
      <c r="AG61" s="30">
        <f t="shared" si="41"/>
        <v>140</v>
      </c>
      <c r="AH61" s="29">
        <v>182584.36421048481</v>
      </c>
      <c r="AI61" s="34">
        <f t="shared" si="42"/>
        <v>0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3"/>
      <c r="V62" s="2"/>
      <c r="W62" s="33"/>
      <c r="X62" s="33"/>
      <c r="Y62" s="53"/>
      <c r="Z62" s="33"/>
      <c r="AA62" s="26">
        <f t="shared" si="43"/>
        <v>30</v>
      </c>
      <c r="AB62" s="30">
        <f t="shared" si="37"/>
        <v>2730</v>
      </c>
      <c r="AC62" s="29">
        <v>187694.22855147845</v>
      </c>
      <c r="AD62" s="34">
        <f t="shared" si="38"/>
        <v>2.7986319436986062</v>
      </c>
      <c r="AE62" s="2"/>
      <c r="AF62" s="78">
        <f t="shared" si="44"/>
        <v>60</v>
      </c>
      <c r="AG62" s="30">
        <f t="shared" si="41"/>
        <v>160</v>
      </c>
      <c r="AH62" s="29">
        <v>182584.36421048481</v>
      </c>
      <c r="AI62" s="34">
        <f t="shared" si="42"/>
        <v>0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53"/>
      <c r="V63" s="2"/>
      <c r="W63" s="33"/>
      <c r="X63" s="33"/>
      <c r="Y63" s="53"/>
      <c r="Z63" s="33"/>
      <c r="AA63" s="26">
        <f t="shared" si="43"/>
        <v>40</v>
      </c>
      <c r="AB63" s="30">
        <f t="shared" si="37"/>
        <v>2940</v>
      </c>
      <c r="AC63" s="29">
        <v>189397.51666514305</v>
      </c>
      <c r="AD63" s="34">
        <f t="shared" si="38"/>
        <v>3.7315092582648401</v>
      </c>
      <c r="AE63" s="2"/>
      <c r="AF63" s="78">
        <f t="shared" si="44"/>
        <v>80</v>
      </c>
      <c r="AG63" s="30">
        <f t="shared" si="41"/>
        <v>180</v>
      </c>
      <c r="AH63" s="29">
        <v>182584.36421048481</v>
      </c>
      <c r="AI63" s="34">
        <f t="shared" si="42"/>
        <v>0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53"/>
      <c r="V64" s="2"/>
      <c r="W64" s="33"/>
      <c r="X64" s="33"/>
      <c r="Y64" s="53"/>
      <c r="Z64" s="33"/>
      <c r="AA64" s="26">
        <f t="shared" si="43"/>
        <v>50</v>
      </c>
      <c r="AB64" s="30">
        <f t="shared" si="37"/>
        <v>3150</v>
      </c>
      <c r="AC64" s="29">
        <v>191100.80477880756</v>
      </c>
      <c r="AD64" s="34">
        <f t="shared" si="38"/>
        <v>4.6643865728310265</v>
      </c>
      <c r="AE64" s="2"/>
      <c r="AF64" s="78">
        <f t="shared" si="44"/>
        <v>100</v>
      </c>
      <c r="AG64" s="30">
        <f t="shared" si="41"/>
        <v>200</v>
      </c>
      <c r="AH64" s="29">
        <v>182584.36421048481</v>
      </c>
      <c r="AI64" s="34">
        <f t="shared" si="42"/>
        <v>0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53"/>
      <c r="V65" s="2"/>
      <c r="W65" s="33"/>
      <c r="X65" s="33"/>
      <c r="Y65" s="53"/>
      <c r="Z65" s="33"/>
      <c r="AA65" s="2"/>
      <c r="AB65" s="2"/>
      <c r="AC65" s="2"/>
      <c r="AD65" s="2"/>
      <c r="AE65" s="2"/>
      <c r="AF65" s="2"/>
      <c r="AG65" s="49"/>
      <c r="AH65" s="6"/>
      <c r="AI65" s="54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53"/>
      <c r="V66" s="2"/>
      <c r="W66" s="33"/>
      <c r="X66" s="33"/>
      <c r="Y66" s="53"/>
      <c r="Z66" s="33"/>
      <c r="AA66" s="77" t="s">
        <v>178</v>
      </c>
      <c r="AB66" s="78"/>
      <c r="AC66" s="78"/>
      <c r="AD66" s="78"/>
      <c r="AE66" s="2"/>
      <c r="AF66" s="2"/>
      <c r="AG66" s="49"/>
      <c r="AH66" s="6"/>
      <c r="AI66" s="54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3"/>
      <c r="V67" s="2"/>
      <c r="W67" s="33"/>
      <c r="X67" s="33"/>
      <c r="Y67" s="53"/>
      <c r="Z67" s="33"/>
      <c r="AA67" s="78" t="s">
        <v>77</v>
      </c>
      <c r="AB67" s="78" t="s">
        <v>178</v>
      </c>
      <c r="AC67" s="78" t="s">
        <v>22</v>
      </c>
      <c r="AD67" s="78" t="s">
        <v>79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53"/>
      <c r="V68" s="2"/>
      <c r="W68" s="33"/>
      <c r="X68" s="33"/>
      <c r="Y68" s="53"/>
      <c r="Z68" s="33"/>
      <c r="AA68" s="78" t="s">
        <v>82</v>
      </c>
      <c r="AB68" s="100">
        <v>0.19</v>
      </c>
      <c r="AC68" s="80">
        <f>W49</f>
        <v>182584.36421048481</v>
      </c>
      <c r="AD68" s="78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56"/>
      <c r="X69" s="56"/>
      <c r="Y69" s="2"/>
      <c r="Z69" s="56"/>
      <c r="AA69" s="78">
        <f t="shared" ref="AA69:AA73" si="45">AA70-10</f>
        <v>-50</v>
      </c>
      <c r="AB69" s="100">
        <f>$AB$68*(1+(-AA69/100))</f>
        <v>0.28500000000000003</v>
      </c>
      <c r="AC69" s="80">
        <f t="dataTable" ref="AC69:AC79" dt2D="0" dtr="0" r1="J17"/>
        <v>193000.92716521907</v>
      </c>
      <c r="AD69" s="101">
        <f>100*((AC69-$AC$74)/$AC$74)</f>
        <v>5.7050684486465402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78">
        <f t="shared" si="45"/>
        <v>-40</v>
      </c>
      <c r="AB70" s="100">
        <f t="shared" ref="AB70:AB79" si="46">$AB$68*(1+(-AA70/100))</f>
        <v>0.26599999999999996</v>
      </c>
      <c r="AC70" s="80">
        <v>190917.61457427221</v>
      </c>
      <c r="AD70" s="101">
        <f t="shared" ref="AD70:AD79" si="47">100*((AC70-$AC$74)/$AC$74)</f>
        <v>4.5640547589172318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78">
        <f t="shared" si="45"/>
        <v>-30</v>
      </c>
      <c r="AB71" s="100">
        <f t="shared" si="46"/>
        <v>0.24700000000000003</v>
      </c>
      <c r="AC71" s="80">
        <v>188834.30198332542</v>
      </c>
      <c r="AD71" s="101">
        <f t="shared" si="47"/>
        <v>3.4230410691879558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78">
        <f t="shared" si="45"/>
        <v>-20</v>
      </c>
      <c r="AB72" s="100">
        <f t="shared" si="46"/>
        <v>0.22799999999999998</v>
      </c>
      <c r="AC72" s="80">
        <v>186750.98939237854</v>
      </c>
      <c r="AD72" s="101">
        <f t="shared" si="47"/>
        <v>2.2820273794586319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78">
        <f t="shared" si="45"/>
        <v>-10</v>
      </c>
      <c r="AB73" s="100">
        <f t="shared" si="46"/>
        <v>0.20900000000000002</v>
      </c>
      <c r="AC73" s="80">
        <v>184667.67680143163</v>
      </c>
      <c r="AD73" s="101">
        <f t="shared" si="47"/>
        <v>1.141013689729292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81">
        <v>0</v>
      </c>
      <c r="AB74" s="102">
        <f t="shared" si="46"/>
        <v>0.19</v>
      </c>
      <c r="AC74" s="103">
        <v>182584.36421048481</v>
      </c>
      <c r="AD74" s="104">
        <f t="shared" si="47"/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78">
        <f t="shared" ref="AA75:AA79" si="48">AA74+10</f>
        <v>10</v>
      </c>
      <c r="AB75" s="100">
        <f t="shared" si="46"/>
        <v>0.17100000000000001</v>
      </c>
      <c r="AC75" s="80">
        <v>180501.05161953799</v>
      </c>
      <c r="AD75" s="101">
        <f t="shared" si="47"/>
        <v>-1.141013689729292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78">
        <f t="shared" si="48"/>
        <v>20</v>
      </c>
      <c r="AB76" s="100">
        <f t="shared" si="46"/>
        <v>0.15200000000000002</v>
      </c>
      <c r="AC76" s="80">
        <v>178417.73902859114</v>
      </c>
      <c r="AD76" s="101">
        <f t="shared" si="47"/>
        <v>-2.2820273794585999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78">
        <f t="shared" si="48"/>
        <v>30</v>
      </c>
      <c r="AB77" s="100">
        <f t="shared" si="46"/>
        <v>0.13299999999999998</v>
      </c>
      <c r="AC77" s="80">
        <v>176334.42643764426</v>
      </c>
      <c r="AD77" s="101">
        <f t="shared" si="47"/>
        <v>-3.4230410691879238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78">
        <f t="shared" si="48"/>
        <v>40</v>
      </c>
      <c r="AB78" s="100">
        <f t="shared" si="46"/>
        <v>0.11399999999999999</v>
      </c>
      <c r="AC78" s="80">
        <v>174251.11384669744</v>
      </c>
      <c r="AD78" s="101">
        <f t="shared" si="47"/>
        <v>-4.5640547589172158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78">
        <f t="shared" si="48"/>
        <v>50</v>
      </c>
      <c r="AB79" s="100">
        <f t="shared" si="46"/>
        <v>9.5000000000000001E-2</v>
      </c>
      <c r="AC79" s="80">
        <v>172167.80125575059</v>
      </c>
      <c r="AD79" s="101">
        <f t="shared" si="47"/>
        <v>-5.7050684486465242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dataValidations count="1">
    <dataValidation type="list" allowBlank="1" showInputMessage="1" showErrorMessage="1" sqref="J24" xr:uid="{8D71FBDF-84FD-4822-9ED9-4C30C0F2ADA1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P1000"/>
  <sheetViews>
    <sheetView topLeftCell="B1" zoomScale="80" zoomScaleNormal="55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3.4257812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T49</f>
        <v>204995.94491132852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0.5857026997466529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117</v>
      </c>
      <c r="R7" s="11" t="s">
        <v>118</v>
      </c>
      <c r="S7" s="11" t="s">
        <v>21</v>
      </c>
      <c r="T7" s="12" t="s">
        <v>22</v>
      </c>
      <c r="U7" s="2"/>
      <c r="V7" s="2"/>
      <c r="W7" s="1"/>
      <c r="X7" s="2" t="s">
        <v>23</v>
      </c>
      <c r="Y7" s="2"/>
      <c r="Z7" s="2"/>
      <c r="AA7" s="2" t="s">
        <v>24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25</v>
      </c>
      <c r="B8" s="14">
        <v>1.35</v>
      </c>
      <c r="C8" s="2" t="s">
        <v>26</v>
      </c>
      <c r="D8" s="2"/>
      <c r="E8" s="2"/>
      <c r="F8" s="2"/>
      <c r="G8" s="2"/>
      <c r="H8" s="15"/>
      <c r="I8" s="16" t="s">
        <v>183</v>
      </c>
      <c r="J8" s="6">
        <v>13064.516129032299</v>
      </c>
      <c r="K8" s="2" t="s">
        <v>28</v>
      </c>
      <c r="L8" s="15"/>
      <c r="M8" s="2"/>
      <c r="N8" s="11">
        <v>0</v>
      </c>
      <c r="O8" s="17">
        <f>F31</f>
        <v>19653.088361290331</v>
      </c>
      <c r="P8" s="11"/>
      <c r="Q8" s="11"/>
      <c r="R8" s="11"/>
      <c r="S8" s="11"/>
      <c r="T8" s="18">
        <f t="shared" ref="T8:T48" si="0">SUM(O8:S8)</f>
        <v>19653.088361290331</v>
      </c>
      <c r="U8" s="2"/>
      <c r="V8" s="2"/>
      <c r="W8" s="3"/>
      <c r="X8" s="6"/>
      <c r="Y8" s="2"/>
      <c r="Z8" s="2"/>
      <c r="AA8" s="2" t="s">
        <v>155</v>
      </c>
      <c r="AB8" s="19">
        <f>F36</f>
        <v>1.7407407407407407</v>
      </c>
      <c r="AC8" s="2" t="s">
        <v>120</v>
      </c>
      <c r="AD8" s="2">
        <v>0.43870967741935485</v>
      </c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49"/>
      <c r="G9" s="2"/>
      <c r="H9" s="15"/>
      <c r="I9" s="2"/>
      <c r="J9" s="2"/>
      <c r="K9" s="2"/>
      <c r="L9" s="15"/>
      <c r="M9" s="2"/>
      <c r="N9" s="11">
        <v>1</v>
      </c>
      <c r="O9" s="11"/>
      <c r="P9" s="20">
        <f t="shared" ref="P9:P48" si="1">IF(N9&gt;0,IF(N9&lt;=$J$15,(($F$32+$F$33)/$J$15)/((1+($F$11/100))^N9),0),0)</f>
        <v>11243.834206699759</v>
      </c>
      <c r="Q9" s="21">
        <f t="shared" ref="Q9:Q48" si="2">IF(N9&gt;0,($F$38*((1+($F$14/100))^(N9-1)))/((1+($F$11/100))^N9),0)</f>
        <v>9373.2193732193718</v>
      </c>
      <c r="R9" s="21">
        <f t="shared" ref="R9:R48" si="3">IF(N9&gt;0,$J$31/((1+($F$11/100))^N9),0)</f>
        <v>6405.5270655270642</v>
      </c>
      <c r="S9" s="20">
        <f t="shared" ref="S9:S48" si="4">IF(N9=$B$5,((((1-$J$12/100)^N9)*$B$44)/((1+($F$11/100))^N9))*-1,0)</f>
        <v>0</v>
      </c>
      <c r="T9" s="18">
        <f t="shared" si="0"/>
        <v>27022.580645446196</v>
      </c>
      <c r="U9" s="2"/>
      <c r="V9" s="2"/>
      <c r="W9" s="3"/>
      <c r="X9" s="6">
        <f t="shared" ref="X9:X48" si="5">IF(N9&gt;0,((((1-$J$12/100)^N9)*$B$44/((1+($F$11/100))^N9))),0)</f>
        <v>8828.1916261373317</v>
      </c>
      <c r="Y9" s="2"/>
      <c r="Z9" s="2"/>
      <c r="AA9" s="16" t="s">
        <v>150</v>
      </c>
      <c r="AB9" s="23">
        <f>B47</f>
        <v>65510.294537634443</v>
      </c>
      <c r="AC9" s="2" t="s">
        <v>3</v>
      </c>
      <c r="AD9" s="2">
        <v>101935.48387096774</v>
      </c>
      <c r="AE9" s="6"/>
      <c r="AF9" s="2"/>
      <c r="AG9" s="2"/>
      <c r="AH9" s="2"/>
      <c r="AI9" s="2"/>
    </row>
    <row r="10" spans="1:35" x14ac:dyDescent="0.25">
      <c r="A10" s="22" t="s">
        <v>33</v>
      </c>
      <c r="B10" s="2"/>
      <c r="C10" s="2"/>
      <c r="D10" s="2"/>
      <c r="E10" s="1" t="s">
        <v>37</v>
      </c>
      <c r="F10" s="2"/>
      <c r="G10" s="2"/>
      <c r="H10" s="15"/>
      <c r="I10" s="16" t="s">
        <v>121</v>
      </c>
      <c r="J10" s="14">
        <v>0.16</v>
      </c>
      <c r="K10" s="2" t="s">
        <v>122</v>
      </c>
      <c r="L10" s="15"/>
      <c r="M10" s="2"/>
      <c r="N10" s="11">
        <f t="shared" ref="N10:N48" si="6">IF((N9+1)&gt;$B$5,,IF(N9=0,,N9+1))</f>
        <v>2</v>
      </c>
      <c r="O10" s="11"/>
      <c r="P10" s="20">
        <f t="shared" si="1"/>
        <v>10811.379044903615</v>
      </c>
      <c r="Q10" s="21">
        <f t="shared" si="2"/>
        <v>9102.838045145736</v>
      </c>
      <c r="R10" s="21">
        <f t="shared" si="3"/>
        <v>6159.1606399298689</v>
      </c>
      <c r="S10" s="20">
        <f t="shared" si="4"/>
        <v>0</v>
      </c>
      <c r="T10" s="18">
        <f t="shared" si="0"/>
        <v>26073.37772997922</v>
      </c>
      <c r="U10" s="2"/>
      <c r="V10" s="2"/>
      <c r="W10" s="3"/>
      <c r="X10" s="6">
        <f t="shared" si="5"/>
        <v>7887.6496721219291</v>
      </c>
      <c r="Y10" s="2"/>
      <c r="Z10" s="2"/>
      <c r="AA10" s="2" t="s">
        <v>40</v>
      </c>
      <c r="AB10" s="6">
        <f>F12</f>
        <v>35000</v>
      </c>
      <c r="AC10" s="2" t="s">
        <v>41</v>
      </c>
      <c r="AD10" s="2">
        <v>70353</v>
      </c>
      <c r="AE10" s="6"/>
      <c r="AF10" s="2"/>
      <c r="AG10" s="2"/>
      <c r="AH10" s="2"/>
      <c r="AI10" s="2"/>
    </row>
    <row r="11" spans="1:35" x14ac:dyDescent="0.25">
      <c r="A11" s="24" t="s">
        <v>151</v>
      </c>
      <c r="B11" s="2">
        <v>0</v>
      </c>
      <c r="C11" s="2" t="s">
        <v>36</v>
      </c>
      <c r="D11" s="2"/>
      <c r="E11" s="16" t="s">
        <v>43</v>
      </c>
      <c r="F11" s="2">
        <v>4</v>
      </c>
      <c r="G11" s="2" t="s">
        <v>36</v>
      </c>
      <c r="H11" s="15"/>
      <c r="I11" s="16" t="s">
        <v>50</v>
      </c>
      <c r="J11" s="2">
        <v>30</v>
      </c>
      <c r="K11" s="2" t="s">
        <v>51</v>
      </c>
      <c r="L11" s="15"/>
      <c r="M11" s="2"/>
      <c r="N11" s="11">
        <f t="shared" si="6"/>
        <v>3</v>
      </c>
      <c r="O11" s="11"/>
      <c r="P11" s="20">
        <f t="shared" si="1"/>
        <v>10395.556773945784</v>
      </c>
      <c r="Q11" s="21">
        <f t="shared" si="2"/>
        <v>8840.2561784588397</v>
      </c>
      <c r="R11" s="21">
        <f t="shared" si="3"/>
        <v>5922.2698460864131</v>
      </c>
      <c r="S11" s="20">
        <f t="shared" si="4"/>
        <v>0</v>
      </c>
      <c r="T11" s="18">
        <f t="shared" si="0"/>
        <v>25158.082798491036</v>
      </c>
      <c r="U11" s="2"/>
      <c r="V11" s="2"/>
      <c r="W11" s="3"/>
      <c r="X11" s="6">
        <f t="shared" si="5"/>
        <v>7047.3116108997092</v>
      </c>
      <c r="Y11" s="2"/>
      <c r="Z11" s="2"/>
      <c r="AA11" s="16" t="s">
        <v>46</v>
      </c>
      <c r="AB11" s="6">
        <f>J33</f>
        <v>3499.9999999999995</v>
      </c>
      <c r="AC11" s="2" t="s">
        <v>47</v>
      </c>
      <c r="AD11" s="2">
        <v>19063.393548387096</v>
      </c>
      <c r="AE11" s="6"/>
      <c r="AF11" s="2"/>
      <c r="AG11" s="2"/>
      <c r="AH11" s="2"/>
      <c r="AI11" s="2"/>
    </row>
    <row r="12" spans="1:35" x14ac:dyDescent="0.25">
      <c r="A12" s="24" t="s">
        <v>42</v>
      </c>
      <c r="B12" s="2">
        <v>0</v>
      </c>
      <c r="C12" s="2" t="s">
        <v>36</v>
      </c>
      <c r="D12" s="2"/>
      <c r="E12" s="16" t="s">
        <v>49</v>
      </c>
      <c r="F12" s="6">
        <v>35000</v>
      </c>
      <c r="G12" s="2" t="s">
        <v>41</v>
      </c>
      <c r="H12" s="15"/>
      <c r="I12" s="16" t="s">
        <v>58</v>
      </c>
      <c r="J12" s="2">
        <v>7.08</v>
      </c>
      <c r="K12" s="2" t="s">
        <v>59</v>
      </c>
      <c r="L12" s="15"/>
      <c r="M12" s="2"/>
      <c r="N12" s="11">
        <f t="shared" si="6"/>
        <v>4</v>
      </c>
      <c r="O12" s="11"/>
      <c r="P12" s="20">
        <f t="shared" si="1"/>
        <v>9995.7276672555599</v>
      </c>
      <c r="Q12" s="21">
        <f t="shared" si="2"/>
        <v>8585.2487886956023</v>
      </c>
      <c r="R12" s="21">
        <f t="shared" si="3"/>
        <v>5694.4902366215501</v>
      </c>
      <c r="S12" s="20">
        <f t="shared" si="4"/>
        <v>0</v>
      </c>
      <c r="T12" s="18">
        <f t="shared" si="0"/>
        <v>24275.466692572711</v>
      </c>
      <c r="U12" s="2"/>
      <c r="V12" s="2"/>
      <c r="W12" s="3"/>
      <c r="X12" s="6">
        <f t="shared" si="5"/>
        <v>6296.5018738923163</v>
      </c>
      <c r="Y12" s="2"/>
      <c r="Z12" s="2"/>
      <c r="AA12" s="69" t="s">
        <v>178</v>
      </c>
      <c r="AB12" s="76">
        <f>J10</f>
        <v>0.16</v>
      </c>
      <c r="AC12" s="2" t="s">
        <v>122</v>
      </c>
      <c r="AD12" s="2"/>
      <c r="AE12" s="6"/>
      <c r="AF12" s="2"/>
      <c r="AG12" s="2"/>
      <c r="AH12" s="2"/>
      <c r="AI12" s="2"/>
    </row>
    <row r="13" spans="1:35" x14ac:dyDescent="0.25">
      <c r="A13" s="24" t="s">
        <v>48</v>
      </c>
      <c r="B13" s="2">
        <v>8</v>
      </c>
      <c r="C13" s="2" t="s">
        <v>36</v>
      </c>
      <c r="D13" s="2"/>
      <c r="E13" s="16" t="s">
        <v>119</v>
      </c>
      <c r="F13" s="14">
        <v>2.35</v>
      </c>
      <c r="G13" s="14" t="s">
        <v>123</v>
      </c>
      <c r="H13" s="15"/>
      <c r="I13" s="16"/>
      <c r="J13" s="6"/>
      <c r="K13" s="2"/>
      <c r="L13" s="15"/>
      <c r="M13" s="2"/>
      <c r="N13" s="11">
        <f t="shared" si="6"/>
        <v>5</v>
      </c>
      <c r="O13" s="11"/>
      <c r="P13" s="20">
        <f t="shared" si="1"/>
        <v>9611.2766031303454</v>
      </c>
      <c r="Q13" s="21">
        <f t="shared" si="2"/>
        <v>8337.597381329384</v>
      </c>
      <c r="R13" s="21">
        <f t="shared" si="3"/>
        <v>5475.471381366875</v>
      </c>
      <c r="S13" s="20">
        <f t="shared" si="4"/>
        <v>0</v>
      </c>
      <c r="T13" s="18">
        <f t="shared" si="0"/>
        <v>23424.345365826604</v>
      </c>
      <c r="U13" s="2"/>
      <c r="V13" s="2"/>
      <c r="W13" s="3"/>
      <c r="X13" s="6">
        <f t="shared" si="5"/>
        <v>5625.6822511737882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4" t="s">
        <v>52</v>
      </c>
      <c r="B14" s="2">
        <v>274.68</v>
      </c>
      <c r="C14" s="2" t="s">
        <v>28</v>
      </c>
      <c r="D14" s="2"/>
      <c r="E14" s="16" t="s">
        <v>124</v>
      </c>
      <c r="F14" s="2">
        <v>1</v>
      </c>
      <c r="G14" s="2" t="s">
        <v>57</v>
      </c>
      <c r="H14" s="15"/>
      <c r="I14" s="1" t="s">
        <v>76</v>
      </c>
      <c r="J14" s="2"/>
      <c r="K14" s="2"/>
      <c r="L14" s="15"/>
      <c r="M14" s="2"/>
      <c r="N14" s="11">
        <f t="shared" si="6"/>
        <v>6</v>
      </c>
      <c r="O14" s="11"/>
      <c r="P14" s="20">
        <f t="shared" si="1"/>
        <v>0</v>
      </c>
      <c r="Q14" s="21">
        <f t="shared" si="2"/>
        <v>8097.0897645602663</v>
      </c>
      <c r="R14" s="21">
        <f t="shared" si="3"/>
        <v>5264.8763282373793</v>
      </c>
      <c r="S14" s="20">
        <f t="shared" si="4"/>
        <v>0</v>
      </c>
      <c r="T14" s="18">
        <f t="shared" si="0"/>
        <v>13361.966092797646</v>
      </c>
      <c r="U14" s="2"/>
      <c r="V14" s="2"/>
      <c r="W14" s="3"/>
      <c r="X14" s="6">
        <f t="shared" si="5"/>
        <v>5026.3307190295045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4" t="s">
        <v>165</v>
      </c>
      <c r="B15" s="2">
        <v>350</v>
      </c>
      <c r="C15" s="2" t="s">
        <v>28</v>
      </c>
      <c r="D15" s="2"/>
      <c r="E15" s="16" t="s">
        <v>125</v>
      </c>
      <c r="F15" s="2">
        <v>32.700000000000003</v>
      </c>
      <c r="G15" s="2" t="s">
        <v>62</v>
      </c>
      <c r="H15" s="15"/>
      <c r="I15" s="16" t="s">
        <v>81</v>
      </c>
      <c r="J15" s="2">
        <v>5</v>
      </c>
      <c r="K15" s="2" t="s">
        <v>51</v>
      </c>
      <c r="L15" s="15"/>
      <c r="M15" s="2"/>
      <c r="N15" s="11">
        <f t="shared" si="6"/>
        <v>7</v>
      </c>
      <c r="O15" s="11"/>
      <c r="P15" s="20">
        <f t="shared" si="1"/>
        <v>0</v>
      </c>
      <c r="Q15" s="21">
        <f t="shared" si="2"/>
        <v>7863.5198675056445</v>
      </c>
      <c r="R15" s="21">
        <f t="shared" si="3"/>
        <v>5062.3810848436342</v>
      </c>
      <c r="S15" s="20">
        <f t="shared" si="4"/>
        <v>0</v>
      </c>
      <c r="T15" s="18">
        <f t="shared" si="0"/>
        <v>12925.900952349279</v>
      </c>
      <c r="U15" s="2"/>
      <c r="V15" s="2"/>
      <c r="W15" s="3"/>
      <c r="X15" s="6">
        <f t="shared" si="5"/>
        <v>4490.8331770405921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4" t="s">
        <v>126</v>
      </c>
      <c r="B16" s="2">
        <v>5</v>
      </c>
      <c r="C16" s="2" t="s">
        <v>36</v>
      </c>
      <c r="D16" s="2"/>
      <c r="E16" s="16" t="s">
        <v>65</v>
      </c>
      <c r="F16" s="6">
        <v>656</v>
      </c>
      <c r="G16" s="2" t="s">
        <v>62</v>
      </c>
      <c r="H16" s="15"/>
      <c r="I16" s="16" t="s">
        <v>84</v>
      </c>
      <c r="J16" s="2">
        <v>30</v>
      </c>
      <c r="K16" s="2" t="s">
        <v>85</v>
      </c>
      <c r="L16" s="15"/>
      <c r="M16" s="2"/>
      <c r="N16" s="11">
        <f t="shared" si="6"/>
        <v>8</v>
      </c>
      <c r="O16" s="11"/>
      <c r="P16" s="20">
        <f t="shared" si="1"/>
        <v>0</v>
      </c>
      <c r="Q16" s="21">
        <f t="shared" si="2"/>
        <v>7636.687563635287</v>
      </c>
      <c r="R16" s="21">
        <f t="shared" si="3"/>
        <v>4867.6741200419556</v>
      </c>
      <c r="S16" s="20">
        <f t="shared" si="4"/>
        <v>0</v>
      </c>
      <c r="T16" s="18">
        <f t="shared" si="0"/>
        <v>12504.361683677242</v>
      </c>
      <c r="U16" s="2"/>
      <c r="V16" s="2"/>
      <c r="W16" s="3"/>
      <c r="X16" s="6">
        <f t="shared" si="5"/>
        <v>4012.3867193328056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4" t="s">
        <v>64</v>
      </c>
      <c r="B17" s="6">
        <v>72001</v>
      </c>
      <c r="C17" s="2" t="s">
        <v>28</v>
      </c>
      <c r="D17" s="2"/>
      <c r="E17" s="16" t="s">
        <v>46</v>
      </c>
      <c r="F17" s="33">
        <v>0.13500000000000001</v>
      </c>
      <c r="G17" s="2" t="s">
        <v>133</v>
      </c>
      <c r="H17" s="15"/>
      <c r="I17" s="2"/>
      <c r="J17" s="2"/>
      <c r="K17" s="2"/>
      <c r="L17" s="15"/>
      <c r="M17" s="2"/>
      <c r="N17" s="11">
        <f t="shared" si="6"/>
        <v>9</v>
      </c>
      <c r="O17" s="11"/>
      <c r="P17" s="20">
        <f t="shared" si="1"/>
        <v>0</v>
      </c>
      <c r="Q17" s="21">
        <f t="shared" si="2"/>
        <v>7416.3984992996548</v>
      </c>
      <c r="R17" s="21">
        <f t="shared" si="3"/>
        <v>4680.4558846557256</v>
      </c>
      <c r="S17" s="20">
        <f t="shared" si="4"/>
        <v>0</v>
      </c>
      <c r="T17" s="18">
        <f t="shared" si="0"/>
        <v>12096.85438395538</v>
      </c>
      <c r="U17" s="2"/>
      <c r="V17" s="2"/>
      <c r="W17" s="3"/>
      <c r="X17" s="6">
        <f t="shared" si="5"/>
        <v>3584.9132111577333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24" t="s">
        <v>68</v>
      </c>
      <c r="B18" s="6">
        <v>0</v>
      </c>
      <c r="C18" s="2" t="s">
        <v>28</v>
      </c>
      <c r="D18" s="2"/>
      <c r="E18" s="16" t="s">
        <v>73</v>
      </c>
      <c r="F18" s="2">
        <v>5.5</v>
      </c>
      <c r="G18" s="2" t="s">
        <v>59</v>
      </c>
      <c r="H18" s="15"/>
      <c r="I18" s="16"/>
      <c r="J18" s="2"/>
      <c r="K18" s="2"/>
      <c r="L18" s="15"/>
      <c r="M18" s="2"/>
      <c r="N18" s="11">
        <f t="shared" si="6"/>
        <v>10</v>
      </c>
      <c r="O18" s="11"/>
      <c r="P18" s="20">
        <f t="shared" si="1"/>
        <v>0</v>
      </c>
      <c r="Q18" s="21">
        <f t="shared" si="2"/>
        <v>7202.4639272044724</v>
      </c>
      <c r="R18" s="21">
        <f t="shared" si="3"/>
        <v>4500.4383506305057</v>
      </c>
      <c r="S18" s="20">
        <f t="shared" si="4"/>
        <v>-3202.9820728920831</v>
      </c>
      <c r="T18" s="18">
        <f t="shared" si="0"/>
        <v>8499.9202049428968</v>
      </c>
      <c r="U18" s="2"/>
      <c r="V18" s="2"/>
      <c r="W18" s="3"/>
      <c r="X18" s="6">
        <f t="shared" si="5"/>
        <v>3202.9820728920831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4" t="s">
        <v>71</v>
      </c>
      <c r="B19" s="2">
        <v>28.34</v>
      </c>
      <c r="C19" s="2" t="s">
        <v>28</v>
      </c>
      <c r="D19" s="2"/>
      <c r="E19" s="2"/>
      <c r="F19" s="2"/>
      <c r="G19" s="2"/>
      <c r="H19" s="15"/>
      <c r="I19" s="2"/>
      <c r="J19" s="2"/>
      <c r="K19" s="2"/>
      <c r="L19" s="15"/>
      <c r="M19" s="2"/>
      <c r="N19" s="11">
        <f t="shared" si="6"/>
        <v>0</v>
      </c>
      <c r="O19" s="11"/>
      <c r="P19" s="20">
        <f t="shared" si="1"/>
        <v>0</v>
      </c>
      <c r="Q19" s="21">
        <f t="shared" si="2"/>
        <v>0</v>
      </c>
      <c r="R19" s="21">
        <f t="shared" si="3"/>
        <v>0</v>
      </c>
      <c r="S19" s="20">
        <f t="shared" si="4"/>
        <v>0</v>
      </c>
      <c r="T19" s="18">
        <f t="shared" si="0"/>
        <v>0</v>
      </c>
      <c r="U19" s="2"/>
      <c r="V19" s="2"/>
      <c r="W19" s="3"/>
      <c r="X19" s="6">
        <f t="shared" si="5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4" t="s">
        <v>72</v>
      </c>
      <c r="B20" s="6">
        <v>1000</v>
      </c>
      <c r="C20" s="2" t="s">
        <v>28</v>
      </c>
      <c r="D20" s="2"/>
      <c r="E20" s="16" t="s">
        <v>74</v>
      </c>
      <c r="F20" s="2">
        <v>100</v>
      </c>
      <c r="G20" s="2" t="s">
        <v>62</v>
      </c>
      <c r="H20" s="15"/>
      <c r="I20" s="2"/>
      <c r="J20" s="2"/>
      <c r="K20" s="2"/>
      <c r="L20" s="15"/>
      <c r="M20" s="2"/>
      <c r="N20" s="11">
        <f t="shared" si="6"/>
        <v>0</v>
      </c>
      <c r="O20" s="11"/>
      <c r="P20" s="20">
        <f t="shared" si="1"/>
        <v>0</v>
      </c>
      <c r="Q20" s="21">
        <f t="shared" si="2"/>
        <v>0</v>
      </c>
      <c r="R20" s="21">
        <f t="shared" si="3"/>
        <v>0</v>
      </c>
      <c r="S20" s="20">
        <f t="shared" si="4"/>
        <v>0</v>
      </c>
      <c r="T20" s="18">
        <f t="shared" si="0"/>
        <v>0</v>
      </c>
      <c r="U20" s="2"/>
      <c r="V20" s="2"/>
      <c r="W20" s="3"/>
      <c r="X20" s="6">
        <f t="shared" si="5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"/>
      <c r="B21" s="2"/>
      <c r="C21" s="2"/>
      <c r="D21" s="2"/>
      <c r="E21" s="16" t="s">
        <v>75</v>
      </c>
      <c r="F21" s="2">
        <v>327</v>
      </c>
      <c r="G21" s="2" t="s">
        <v>62</v>
      </c>
      <c r="H21" s="15"/>
      <c r="I21" s="2"/>
      <c r="J21" s="2"/>
      <c r="K21" s="2"/>
      <c r="L21" s="15"/>
      <c r="M21" s="2"/>
      <c r="N21" s="11">
        <f t="shared" si="6"/>
        <v>0</v>
      </c>
      <c r="O21" s="11"/>
      <c r="P21" s="20">
        <f t="shared" si="1"/>
        <v>0</v>
      </c>
      <c r="Q21" s="21">
        <f t="shared" si="2"/>
        <v>0</v>
      </c>
      <c r="R21" s="21">
        <f t="shared" si="3"/>
        <v>0</v>
      </c>
      <c r="S21" s="20">
        <f t="shared" si="4"/>
        <v>0</v>
      </c>
      <c r="T21" s="18">
        <f t="shared" si="0"/>
        <v>0</v>
      </c>
      <c r="U21" s="2"/>
      <c r="V21" s="2"/>
      <c r="W21" s="3"/>
      <c r="X21" s="6">
        <f t="shared" si="5"/>
        <v>0</v>
      </c>
      <c r="Y21" s="2"/>
      <c r="Z21" s="2"/>
      <c r="AA21" s="25" t="s">
        <v>119</v>
      </c>
      <c r="AB21" s="26"/>
      <c r="AC21" s="26"/>
      <c r="AD21" s="26"/>
      <c r="AE21" s="2"/>
      <c r="AF21" s="25" t="s">
        <v>27</v>
      </c>
      <c r="AG21" s="26"/>
      <c r="AH21" s="26"/>
      <c r="AI21" s="26"/>
      <c r="AK21" s="96" t="s">
        <v>169</v>
      </c>
      <c r="AL21" s="96" t="s">
        <v>170</v>
      </c>
      <c r="AM21" s="96" t="s">
        <v>177</v>
      </c>
      <c r="AN21" s="96" t="s">
        <v>173</v>
      </c>
      <c r="AO21" s="96" t="s">
        <v>172</v>
      </c>
      <c r="AP21" s="10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16" t="s">
        <v>161</v>
      </c>
      <c r="F22" s="33">
        <v>80.66</v>
      </c>
      <c r="G22" s="2" t="s">
        <v>62</v>
      </c>
      <c r="H22" s="15"/>
      <c r="I22" s="2"/>
      <c r="J22" s="2"/>
      <c r="K22" s="2"/>
      <c r="L22" s="15"/>
      <c r="M22" s="2"/>
      <c r="N22" s="11">
        <f t="shared" si="6"/>
        <v>0</v>
      </c>
      <c r="O22" s="11"/>
      <c r="P22" s="20">
        <f t="shared" si="1"/>
        <v>0</v>
      </c>
      <c r="Q22" s="21">
        <f t="shared" si="2"/>
        <v>0</v>
      </c>
      <c r="R22" s="21">
        <f t="shared" si="3"/>
        <v>0</v>
      </c>
      <c r="S22" s="20">
        <f t="shared" si="4"/>
        <v>0</v>
      </c>
      <c r="T22" s="18">
        <f t="shared" si="0"/>
        <v>0</v>
      </c>
      <c r="U22" s="2"/>
      <c r="V22" s="2"/>
      <c r="W22" s="3"/>
      <c r="X22" s="6">
        <f t="shared" si="5"/>
        <v>0</v>
      </c>
      <c r="Y22" s="2"/>
      <c r="Z22" s="2"/>
      <c r="AA22" s="26" t="s">
        <v>77</v>
      </c>
      <c r="AB22" s="26" t="s">
        <v>127</v>
      </c>
      <c r="AC22" s="26" t="s">
        <v>22</v>
      </c>
      <c r="AD22" s="26" t="s">
        <v>79</v>
      </c>
      <c r="AE22" s="2"/>
      <c r="AF22" s="26" t="s">
        <v>77</v>
      </c>
      <c r="AG22" s="26" t="s">
        <v>80</v>
      </c>
      <c r="AH22" s="26" t="s">
        <v>22</v>
      </c>
      <c r="AI22" s="26" t="s">
        <v>79</v>
      </c>
      <c r="AK22" s="97">
        <v>-50</v>
      </c>
      <c r="AL22" s="98">
        <f>AI24</f>
        <v>-17.490800290767698</v>
      </c>
      <c r="AM22" s="98">
        <f>AD24</f>
        <v>-20.111451332542334</v>
      </c>
      <c r="AN22" s="99">
        <f t="shared" ref="AN22:AN32" si="7">AD39</f>
        <v>-6.924072385924962</v>
      </c>
      <c r="AO22" s="99">
        <f t="shared" ref="AO22:AO32" si="8">AI39</f>
        <v>-27.035523718467307</v>
      </c>
      <c r="AP22" s="109">
        <f t="shared" ref="AP22:AP32" si="9">AD54</f>
        <v>20.111451332542362</v>
      </c>
    </row>
    <row r="23" spans="1:42" ht="15.75" customHeight="1" x14ac:dyDescent="0.25">
      <c r="A23" s="2"/>
      <c r="B23" s="2"/>
      <c r="C23" s="2"/>
      <c r="D23" s="2"/>
      <c r="E23" s="16" t="s">
        <v>159</v>
      </c>
      <c r="F23" s="6">
        <v>3000</v>
      </c>
      <c r="G23" s="2" t="s">
        <v>62</v>
      </c>
      <c r="H23" s="15"/>
      <c r="I23" s="2"/>
      <c r="J23" s="2"/>
      <c r="K23" s="2"/>
      <c r="L23" s="15"/>
      <c r="M23" s="2"/>
      <c r="N23" s="11">
        <f t="shared" si="6"/>
        <v>0</v>
      </c>
      <c r="O23" s="11"/>
      <c r="P23" s="20">
        <f t="shared" si="1"/>
        <v>0</v>
      </c>
      <c r="Q23" s="21">
        <f t="shared" si="2"/>
        <v>0</v>
      </c>
      <c r="R23" s="21">
        <f t="shared" si="3"/>
        <v>0</v>
      </c>
      <c r="S23" s="20">
        <f t="shared" si="4"/>
        <v>0</v>
      </c>
      <c r="T23" s="18">
        <f t="shared" si="0"/>
        <v>0</v>
      </c>
      <c r="U23" s="2"/>
      <c r="V23" s="2"/>
      <c r="W23" s="3"/>
      <c r="X23" s="6">
        <f t="shared" si="5"/>
        <v>0</v>
      </c>
      <c r="Y23" s="2"/>
      <c r="Z23" s="2"/>
      <c r="AA23" s="26" t="s">
        <v>83</v>
      </c>
      <c r="AB23" s="28">
        <v>1.7407407407407407</v>
      </c>
      <c r="AC23" s="29">
        <f>T49</f>
        <v>204995.94491132852</v>
      </c>
      <c r="AD23" s="26"/>
      <c r="AE23" s="2"/>
      <c r="AF23" s="26" t="s">
        <v>83</v>
      </c>
      <c r="AG23" s="30">
        <v>65510.294537634443</v>
      </c>
      <c r="AH23" s="29">
        <f>T49</f>
        <v>204995.94491132852</v>
      </c>
      <c r="AI23" s="26"/>
      <c r="AK23" s="97">
        <v>-40</v>
      </c>
      <c r="AL23" s="98">
        <f>AI25</f>
        <v>-13.992640232614177</v>
      </c>
      <c r="AM23" s="98">
        <f t="shared" ref="AM23:AM32" si="10">AD25</f>
        <v>-16.089161066033856</v>
      </c>
      <c r="AN23" s="99">
        <f t="shared" si="7"/>
        <v>-5.5392579087399776</v>
      </c>
      <c r="AO23" s="99">
        <f t="shared" si="8"/>
        <v>-21.628418974773847</v>
      </c>
      <c r="AP23" s="109">
        <f t="shared" si="9"/>
        <v>16.089161066033871</v>
      </c>
    </row>
    <row r="24" spans="1:42" ht="15.75" customHeight="1" x14ac:dyDescent="0.25">
      <c r="A24" s="2"/>
      <c r="B24" s="2"/>
      <c r="C24" s="2"/>
      <c r="D24" s="2"/>
      <c r="E24" s="16" t="s">
        <v>162</v>
      </c>
      <c r="F24" s="6"/>
      <c r="G24" s="2" t="s">
        <v>62</v>
      </c>
      <c r="H24" s="2"/>
      <c r="I24" s="13"/>
      <c r="J24" s="2"/>
      <c r="K24" s="2"/>
      <c r="L24" s="15"/>
      <c r="M24" s="2"/>
      <c r="N24" s="11">
        <f t="shared" si="6"/>
        <v>0</v>
      </c>
      <c r="O24" s="11"/>
      <c r="P24" s="20">
        <f t="shared" si="1"/>
        <v>0</v>
      </c>
      <c r="Q24" s="21">
        <f t="shared" si="2"/>
        <v>0</v>
      </c>
      <c r="R24" s="21">
        <f t="shared" si="3"/>
        <v>0</v>
      </c>
      <c r="S24" s="20">
        <f t="shared" si="4"/>
        <v>0</v>
      </c>
      <c r="T24" s="18">
        <f t="shared" si="0"/>
        <v>0</v>
      </c>
      <c r="U24" s="2"/>
      <c r="V24" s="2"/>
      <c r="W24" s="3"/>
      <c r="X24" s="6">
        <f t="shared" si="5"/>
        <v>0</v>
      </c>
      <c r="Y24" s="2"/>
      <c r="Z24" s="2"/>
      <c r="AA24" s="26">
        <f t="shared" ref="AA24:AA28" si="11">AA25-10</f>
        <v>-50</v>
      </c>
      <c r="AB24" s="28">
        <f t="shared" ref="AB24:AB34" si="12">$AB$23*(1+(AA24/100))</f>
        <v>0.87037037037037035</v>
      </c>
      <c r="AC24" s="29">
        <f t="dataTable" ref="AC24:AC34" dt2D="0" dtr="0" r1="F36" ca="1"/>
        <v>163768.28521680139</v>
      </c>
      <c r="AD24" s="34">
        <f t="shared" ref="AD24:AD34" si="13">100*((AC24-$AC$29)/$AC$29)</f>
        <v>-20.111451332542334</v>
      </c>
      <c r="AE24" s="2"/>
      <c r="AF24" s="26">
        <f t="shared" ref="AF24:AF28" si="14">AF25-10</f>
        <v>-50</v>
      </c>
      <c r="AG24" s="30">
        <f t="shared" ref="AG24:AG34" si="15">$AG$23*(1+(AF24/100))</f>
        <v>32755.147268817222</v>
      </c>
      <c r="AH24" s="29">
        <f t="dataTable" ref="AH24:AH34" dt2D="0" dtr="0" r1="B47" ca="1"/>
        <v>169140.51358271588</v>
      </c>
      <c r="AI24" s="34">
        <f t="shared" ref="AI24:AI34" si="16">100*((AH24-$AH$29)/$AH$29)</f>
        <v>-17.490800290767698</v>
      </c>
      <c r="AK24" s="97">
        <v>-30</v>
      </c>
      <c r="AL24" s="98">
        <f t="shared" ref="AL24:AL32" si="17">AI26</f>
        <v>-10.494480174460639</v>
      </c>
      <c r="AM24" s="98">
        <f t="shared" si="10"/>
        <v>-12.066870799525379</v>
      </c>
      <c r="AN24" s="99">
        <f t="shared" si="7"/>
        <v>-4.1544434315549941</v>
      </c>
      <c r="AO24" s="99">
        <f t="shared" si="8"/>
        <v>-16.221314231080385</v>
      </c>
      <c r="AP24" s="109">
        <f t="shared" si="9"/>
        <v>12.066870799525406</v>
      </c>
    </row>
    <row r="25" spans="1:42" ht="15.75" customHeight="1" x14ac:dyDescent="0.25">
      <c r="A25" s="13"/>
      <c r="B25" s="2"/>
      <c r="C25" s="2"/>
      <c r="D25" s="2"/>
      <c r="E25" s="16" t="s">
        <v>164</v>
      </c>
      <c r="F25" s="2">
        <v>72</v>
      </c>
      <c r="G25" s="2" t="s">
        <v>62</v>
      </c>
      <c r="H25" s="15"/>
      <c r="I25" s="2"/>
      <c r="J25" s="2"/>
      <c r="K25" s="2"/>
      <c r="L25" s="15"/>
      <c r="M25" s="2"/>
      <c r="N25" s="11">
        <f t="shared" si="6"/>
        <v>0</v>
      </c>
      <c r="O25" s="11"/>
      <c r="P25" s="20">
        <f t="shared" si="1"/>
        <v>0</v>
      </c>
      <c r="Q25" s="21">
        <f t="shared" si="2"/>
        <v>0</v>
      </c>
      <c r="R25" s="21">
        <f t="shared" si="3"/>
        <v>0</v>
      </c>
      <c r="S25" s="20">
        <f t="shared" si="4"/>
        <v>0</v>
      </c>
      <c r="T25" s="18">
        <f t="shared" si="0"/>
        <v>0</v>
      </c>
      <c r="U25" s="2"/>
      <c r="V25" s="2"/>
      <c r="W25" s="3"/>
      <c r="X25" s="6">
        <f t="shared" si="5"/>
        <v>0</v>
      </c>
      <c r="Y25" s="2"/>
      <c r="Z25" s="2"/>
      <c r="AA25" s="26">
        <f t="shared" si="11"/>
        <v>-40</v>
      </c>
      <c r="AB25" s="28">
        <f t="shared" si="12"/>
        <v>1.0444444444444443</v>
      </c>
      <c r="AC25" s="29">
        <v>172013.81715570684</v>
      </c>
      <c r="AD25" s="34">
        <f t="shared" si="13"/>
        <v>-16.089161066033856</v>
      </c>
      <c r="AE25" s="2"/>
      <c r="AF25" s="26">
        <f t="shared" si="14"/>
        <v>-40</v>
      </c>
      <c r="AG25" s="30">
        <f t="shared" si="15"/>
        <v>39306.176722580662</v>
      </c>
      <c r="AH25" s="29">
        <v>176311.59984843837</v>
      </c>
      <c r="AI25" s="34">
        <f t="shared" si="16"/>
        <v>-13.992640232614177</v>
      </c>
      <c r="AK25" s="97">
        <v>-20</v>
      </c>
      <c r="AL25" s="98">
        <f t="shared" si="17"/>
        <v>-6.9963201163070883</v>
      </c>
      <c r="AM25" s="98">
        <f t="shared" si="10"/>
        <v>-8.0445805330169424</v>
      </c>
      <c r="AN25" s="99">
        <f t="shared" si="7"/>
        <v>-2.7696289543699675</v>
      </c>
      <c r="AO25" s="99">
        <f t="shared" si="8"/>
        <v>-10.814209487386909</v>
      </c>
      <c r="AP25" s="109">
        <f t="shared" si="9"/>
        <v>8.0445805330169708</v>
      </c>
    </row>
    <row r="26" spans="1:42" ht="15.75" customHeight="1" x14ac:dyDescent="0.25">
      <c r="A26" s="36"/>
      <c r="B26" s="37"/>
      <c r="C26" s="37"/>
      <c r="D26" s="37"/>
      <c r="E26" s="37"/>
      <c r="F26" s="37"/>
      <c r="G26" s="37"/>
      <c r="H26" s="39"/>
      <c r="I26" s="37"/>
      <c r="J26" s="37"/>
      <c r="K26" s="37"/>
      <c r="L26" s="39"/>
      <c r="M26" s="2"/>
      <c r="N26" s="11">
        <f t="shared" si="6"/>
        <v>0</v>
      </c>
      <c r="O26" s="11"/>
      <c r="P26" s="20">
        <f t="shared" si="1"/>
        <v>0</v>
      </c>
      <c r="Q26" s="21">
        <f t="shared" si="2"/>
        <v>0</v>
      </c>
      <c r="R26" s="21">
        <f t="shared" si="3"/>
        <v>0</v>
      </c>
      <c r="S26" s="20">
        <f t="shared" si="4"/>
        <v>0</v>
      </c>
      <c r="T26" s="18">
        <f t="shared" si="0"/>
        <v>0</v>
      </c>
      <c r="U26" s="2"/>
      <c r="V26" s="2"/>
      <c r="W26" s="3"/>
      <c r="X26" s="6">
        <f t="shared" si="5"/>
        <v>0</v>
      </c>
      <c r="Y26" s="2"/>
      <c r="Z26" s="2"/>
      <c r="AA26" s="26">
        <f t="shared" si="11"/>
        <v>-30</v>
      </c>
      <c r="AB26" s="28">
        <f t="shared" si="12"/>
        <v>1.2185185185185183</v>
      </c>
      <c r="AC26" s="29">
        <v>180259.34909461229</v>
      </c>
      <c r="AD26" s="34">
        <f t="shared" si="13"/>
        <v>-12.066870799525379</v>
      </c>
      <c r="AE26" s="2"/>
      <c r="AF26" s="26">
        <f t="shared" si="14"/>
        <v>-30</v>
      </c>
      <c r="AG26" s="30">
        <f t="shared" si="15"/>
        <v>45857.206176344109</v>
      </c>
      <c r="AH26" s="29">
        <v>183482.6861141609</v>
      </c>
      <c r="AI26" s="34">
        <f t="shared" si="16"/>
        <v>-10.494480174460639</v>
      </c>
      <c r="AK26" s="97">
        <v>-10</v>
      </c>
      <c r="AL26" s="98">
        <f t="shared" si="17"/>
        <v>-3.498160058153537</v>
      </c>
      <c r="AM26" s="98">
        <f t="shared" si="10"/>
        <v>-4.0222902665084783</v>
      </c>
      <c r="AN26" s="99">
        <f t="shared" si="7"/>
        <v>-1.3848144771849979</v>
      </c>
      <c r="AO26" s="99">
        <f t="shared" si="8"/>
        <v>-5.4071047436934476</v>
      </c>
      <c r="AP26" s="109">
        <f t="shared" si="9"/>
        <v>4.0222902665084641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6"/>
        <v>0</v>
      </c>
      <c r="O27" s="11"/>
      <c r="P27" s="20">
        <f t="shared" si="1"/>
        <v>0</v>
      </c>
      <c r="Q27" s="21">
        <f t="shared" si="2"/>
        <v>0</v>
      </c>
      <c r="R27" s="21">
        <f t="shared" si="3"/>
        <v>0</v>
      </c>
      <c r="S27" s="20">
        <f t="shared" si="4"/>
        <v>0</v>
      </c>
      <c r="T27" s="18">
        <f t="shared" si="0"/>
        <v>0</v>
      </c>
      <c r="U27" s="2"/>
      <c r="V27" s="2"/>
      <c r="W27" s="3"/>
      <c r="X27" s="6">
        <f t="shared" si="5"/>
        <v>0</v>
      </c>
      <c r="Y27" s="2"/>
      <c r="Z27" s="2"/>
      <c r="AA27" s="26">
        <f t="shared" si="11"/>
        <v>-20</v>
      </c>
      <c r="AB27" s="28">
        <f t="shared" si="12"/>
        <v>1.3925925925925926</v>
      </c>
      <c r="AC27" s="29">
        <v>188504.88103351765</v>
      </c>
      <c r="AD27" s="34">
        <f t="shared" si="13"/>
        <v>-8.0445805330169424</v>
      </c>
      <c r="AE27" s="2"/>
      <c r="AF27" s="26">
        <f t="shared" si="14"/>
        <v>-20</v>
      </c>
      <c r="AG27" s="30">
        <f t="shared" si="15"/>
        <v>52408.235630107556</v>
      </c>
      <c r="AH27" s="29">
        <v>190653.77237988345</v>
      </c>
      <c r="AI27" s="34">
        <f t="shared" si="16"/>
        <v>-6.9963201163070883</v>
      </c>
      <c r="AK27" s="97">
        <v>0</v>
      </c>
      <c r="AL27" s="98">
        <f t="shared" si="17"/>
        <v>0</v>
      </c>
      <c r="AM27" s="98">
        <f t="shared" si="10"/>
        <v>0</v>
      </c>
      <c r="AN27" s="99">
        <f t="shared" si="7"/>
        <v>0</v>
      </c>
      <c r="AO27" s="99">
        <f t="shared" si="8"/>
        <v>0</v>
      </c>
      <c r="AP27" s="109">
        <f t="shared" si="9"/>
        <v>0</v>
      </c>
    </row>
    <row r="28" spans="1:42" ht="15.75" customHeight="1" x14ac:dyDescent="0.25">
      <c r="A28" s="1" t="s">
        <v>86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6"/>
        <v>0</v>
      </c>
      <c r="O28" s="11"/>
      <c r="P28" s="20">
        <f t="shared" si="1"/>
        <v>0</v>
      </c>
      <c r="Q28" s="21">
        <f t="shared" si="2"/>
        <v>0</v>
      </c>
      <c r="R28" s="21">
        <f t="shared" si="3"/>
        <v>0</v>
      </c>
      <c r="S28" s="20">
        <f t="shared" si="4"/>
        <v>0</v>
      </c>
      <c r="T28" s="18">
        <f t="shared" si="0"/>
        <v>0</v>
      </c>
      <c r="U28" s="2"/>
      <c r="V28" s="2"/>
      <c r="W28" s="3"/>
      <c r="X28" s="6">
        <f t="shared" si="5"/>
        <v>0</v>
      </c>
      <c r="Y28" s="2"/>
      <c r="Z28" s="2"/>
      <c r="AA28" s="26">
        <f t="shared" si="11"/>
        <v>-10</v>
      </c>
      <c r="AB28" s="28">
        <f t="shared" si="12"/>
        <v>1.5666666666666667</v>
      </c>
      <c r="AC28" s="29">
        <v>196750.41297242307</v>
      </c>
      <c r="AD28" s="34">
        <f t="shared" si="13"/>
        <v>-4.0222902665084783</v>
      </c>
      <c r="AE28" s="2"/>
      <c r="AF28" s="26">
        <f t="shared" si="14"/>
        <v>-10</v>
      </c>
      <c r="AG28" s="30">
        <f t="shared" si="15"/>
        <v>58959.265083871003</v>
      </c>
      <c r="AH28" s="29">
        <v>197824.858645606</v>
      </c>
      <c r="AI28" s="34">
        <f t="shared" si="16"/>
        <v>-3.498160058153537</v>
      </c>
      <c r="AK28" s="97">
        <v>10</v>
      </c>
      <c r="AL28" s="98">
        <f t="shared" si="17"/>
        <v>3.4981600581535508</v>
      </c>
      <c r="AM28" s="98">
        <f t="shared" si="10"/>
        <v>4.0222902665084641</v>
      </c>
      <c r="AN28" s="99">
        <f t="shared" si="7"/>
        <v>1.3848144771849979</v>
      </c>
      <c r="AO28" s="99">
        <f t="shared" si="8"/>
        <v>5.4071047436935045</v>
      </c>
      <c r="AP28" s="109">
        <f t="shared" si="9"/>
        <v>-4.0222902665084641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6"/>
        <v>0</v>
      </c>
      <c r="O29" s="11"/>
      <c r="P29" s="20">
        <f t="shared" si="1"/>
        <v>0</v>
      </c>
      <c r="Q29" s="21">
        <f t="shared" si="2"/>
        <v>0</v>
      </c>
      <c r="R29" s="21">
        <f t="shared" si="3"/>
        <v>0</v>
      </c>
      <c r="S29" s="20">
        <f t="shared" si="4"/>
        <v>0</v>
      </c>
      <c r="T29" s="18">
        <f t="shared" si="0"/>
        <v>0</v>
      </c>
      <c r="U29" s="2"/>
      <c r="V29" s="2"/>
      <c r="W29" s="3"/>
      <c r="X29" s="6">
        <f t="shared" si="5"/>
        <v>0</v>
      </c>
      <c r="Y29" s="2"/>
      <c r="Z29" s="2"/>
      <c r="AA29" s="40">
        <v>0</v>
      </c>
      <c r="AB29" s="41">
        <f t="shared" si="12"/>
        <v>1.7407407407407407</v>
      </c>
      <c r="AC29" s="42">
        <v>204995.94491132852</v>
      </c>
      <c r="AD29" s="43">
        <f t="shared" si="13"/>
        <v>0</v>
      </c>
      <c r="AE29" s="2"/>
      <c r="AF29" s="40">
        <v>0</v>
      </c>
      <c r="AG29" s="44">
        <f t="shared" si="15"/>
        <v>65510.294537634443</v>
      </c>
      <c r="AH29" s="42">
        <v>204995.94491132852</v>
      </c>
      <c r="AI29" s="43">
        <f t="shared" si="16"/>
        <v>0</v>
      </c>
      <c r="AK29" s="97">
        <v>20</v>
      </c>
      <c r="AL29" s="98">
        <f t="shared" si="17"/>
        <v>6.9963201163070883</v>
      </c>
      <c r="AM29" s="98">
        <f t="shared" si="10"/>
        <v>8.0445805330169708</v>
      </c>
      <c r="AN29" s="99">
        <f t="shared" si="7"/>
        <v>2.7696289543700101</v>
      </c>
      <c r="AO29" s="99">
        <f t="shared" si="8"/>
        <v>10.81420948738694</v>
      </c>
      <c r="AP29" s="109">
        <f t="shared" si="9"/>
        <v>-8.0445805330169424</v>
      </c>
    </row>
    <row r="30" spans="1:42" ht="15.75" customHeight="1" x14ac:dyDescent="0.25">
      <c r="A30" s="7" t="s">
        <v>87</v>
      </c>
      <c r="B30" s="8"/>
      <c r="C30" s="8"/>
      <c r="D30" s="8"/>
      <c r="E30" s="10" t="s">
        <v>88</v>
      </c>
      <c r="F30" s="8"/>
      <c r="G30" s="8"/>
      <c r="H30" s="8"/>
      <c r="I30" s="10"/>
      <c r="J30" s="45"/>
      <c r="K30" s="8"/>
      <c r="L30" s="9"/>
      <c r="M30" s="2"/>
      <c r="N30" s="11">
        <f t="shared" si="6"/>
        <v>0</v>
      </c>
      <c r="O30" s="11"/>
      <c r="P30" s="20">
        <f t="shared" si="1"/>
        <v>0</v>
      </c>
      <c r="Q30" s="21">
        <f t="shared" si="2"/>
        <v>0</v>
      </c>
      <c r="R30" s="21">
        <f t="shared" si="3"/>
        <v>0</v>
      </c>
      <c r="S30" s="20">
        <f t="shared" si="4"/>
        <v>0</v>
      </c>
      <c r="T30" s="18">
        <f t="shared" si="0"/>
        <v>0</v>
      </c>
      <c r="U30" s="2"/>
      <c r="V30" s="2"/>
      <c r="W30" s="3"/>
      <c r="X30" s="6">
        <f t="shared" si="5"/>
        <v>0</v>
      </c>
      <c r="Y30" s="2"/>
      <c r="Z30" s="2"/>
      <c r="AA30" s="26">
        <f t="shared" ref="AA30:AA34" si="18">AA29+10</f>
        <v>10</v>
      </c>
      <c r="AB30" s="28">
        <f t="shared" si="12"/>
        <v>1.914814814814815</v>
      </c>
      <c r="AC30" s="29">
        <v>213241.47685023394</v>
      </c>
      <c r="AD30" s="34">
        <f t="shared" si="13"/>
        <v>4.0222902665084641</v>
      </c>
      <c r="AE30" s="2"/>
      <c r="AF30" s="26">
        <f t="shared" ref="AF30:AF34" si="19">AF29+10</f>
        <v>10</v>
      </c>
      <c r="AG30" s="30">
        <f t="shared" si="15"/>
        <v>72061.32399139789</v>
      </c>
      <c r="AH30" s="29">
        <v>212167.03117705107</v>
      </c>
      <c r="AI30" s="34">
        <f t="shared" si="16"/>
        <v>3.4981600581535508</v>
      </c>
      <c r="AK30" s="97">
        <v>30</v>
      </c>
      <c r="AL30" s="98">
        <f t="shared" si="17"/>
        <v>10.494480174460653</v>
      </c>
      <c r="AM30" s="98">
        <f t="shared" si="10"/>
        <v>12.066870799525406</v>
      </c>
      <c r="AN30" s="99">
        <f t="shared" si="7"/>
        <v>4.1544434315549941</v>
      </c>
      <c r="AO30" s="99">
        <f t="shared" si="8"/>
        <v>16.221314231080399</v>
      </c>
      <c r="AP30" s="109">
        <f t="shared" si="9"/>
        <v>-12.066870799525379</v>
      </c>
    </row>
    <row r="31" spans="1:42" ht="15.75" customHeight="1" x14ac:dyDescent="0.25">
      <c r="A31" s="24" t="s">
        <v>151</v>
      </c>
      <c r="B31" s="6">
        <f t="shared" ref="B31:B32" si="20">IF(B11=0,0,-(B11/100)*$B$45)</f>
        <v>0</v>
      </c>
      <c r="C31" s="2" t="s">
        <v>3</v>
      </c>
      <c r="D31" s="2"/>
      <c r="E31" s="16" t="s">
        <v>90</v>
      </c>
      <c r="F31" s="23">
        <f>(J16/100)*B47</f>
        <v>19653.088361290331</v>
      </c>
      <c r="G31" s="2" t="s">
        <v>3</v>
      </c>
      <c r="H31" s="2"/>
      <c r="I31" s="1" t="s">
        <v>166</v>
      </c>
      <c r="J31" s="46">
        <f>SUM(J32:J40)</f>
        <v>6661.7481481481473</v>
      </c>
      <c r="K31" s="1" t="s">
        <v>47</v>
      </c>
      <c r="L31" s="15"/>
      <c r="M31" s="2"/>
      <c r="N31" s="11">
        <f t="shared" si="6"/>
        <v>0</v>
      </c>
      <c r="O31" s="11"/>
      <c r="P31" s="20">
        <f t="shared" si="1"/>
        <v>0</v>
      </c>
      <c r="Q31" s="21">
        <f t="shared" si="2"/>
        <v>0</v>
      </c>
      <c r="R31" s="21">
        <f t="shared" si="3"/>
        <v>0</v>
      </c>
      <c r="S31" s="20">
        <f t="shared" si="4"/>
        <v>0</v>
      </c>
      <c r="T31" s="18">
        <f t="shared" si="0"/>
        <v>0</v>
      </c>
      <c r="U31" s="2"/>
      <c r="V31" s="2"/>
      <c r="W31" s="3"/>
      <c r="X31" s="6">
        <f t="shared" si="5"/>
        <v>0</v>
      </c>
      <c r="Y31" s="2"/>
      <c r="Z31" s="2"/>
      <c r="AA31" s="26">
        <f t="shared" si="18"/>
        <v>20</v>
      </c>
      <c r="AB31" s="28">
        <f t="shared" si="12"/>
        <v>2.0888888888888886</v>
      </c>
      <c r="AC31" s="29">
        <v>221487.00878913945</v>
      </c>
      <c r="AD31" s="34">
        <f t="shared" si="13"/>
        <v>8.0445805330169708</v>
      </c>
      <c r="AE31" s="2"/>
      <c r="AF31" s="26">
        <f t="shared" si="19"/>
        <v>20</v>
      </c>
      <c r="AG31" s="30">
        <f t="shared" si="15"/>
        <v>78612.353445161323</v>
      </c>
      <c r="AH31" s="29">
        <v>219338.1174427736</v>
      </c>
      <c r="AI31" s="34">
        <f t="shared" si="16"/>
        <v>6.9963201163070883</v>
      </c>
      <c r="AK31" s="97">
        <v>40</v>
      </c>
      <c r="AL31" s="98">
        <f t="shared" si="17"/>
        <v>13.992640232614189</v>
      </c>
      <c r="AM31" s="98">
        <f t="shared" si="10"/>
        <v>16.089161066033871</v>
      </c>
      <c r="AN31" s="99">
        <f t="shared" si="7"/>
        <v>5.539257908740006</v>
      </c>
      <c r="AO31" s="99">
        <f t="shared" si="8"/>
        <v>21.62841897477389</v>
      </c>
      <c r="AP31" s="109">
        <f t="shared" si="9"/>
        <v>-16.089161066033856</v>
      </c>
    </row>
    <row r="32" spans="1:42" ht="15.75" customHeight="1" x14ac:dyDescent="0.25">
      <c r="A32" s="24" t="s">
        <v>42</v>
      </c>
      <c r="B32" s="6">
        <f t="shared" si="20"/>
        <v>0</v>
      </c>
      <c r="C32" s="2" t="s">
        <v>3</v>
      </c>
      <c r="D32" s="2"/>
      <c r="E32" s="16" t="s">
        <v>92</v>
      </c>
      <c r="F32" s="6">
        <f>B47-F31</f>
        <v>45857.206176344116</v>
      </c>
      <c r="G32" s="2" t="s">
        <v>3</v>
      </c>
      <c r="H32" s="2"/>
      <c r="I32" s="16" t="s">
        <v>125</v>
      </c>
      <c r="J32" s="14">
        <f>F15/$B$8</f>
        <v>24.222222222222221</v>
      </c>
      <c r="K32" s="2" t="s">
        <v>47</v>
      </c>
      <c r="L32" s="15"/>
      <c r="M32" s="2"/>
      <c r="N32" s="11">
        <f t="shared" si="6"/>
        <v>0</v>
      </c>
      <c r="O32" s="11"/>
      <c r="P32" s="20">
        <f t="shared" si="1"/>
        <v>0</v>
      </c>
      <c r="Q32" s="21">
        <f t="shared" si="2"/>
        <v>0</v>
      </c>
      <c r="R32" s="21">
        <f t="shared" si="3"/>
        <v>0</v>
      </c>
      <c r="S32" s="20">
        <f t="shared" si="4"/>
        <v>0</v>
      </c>
      <c r="T32" s="18">
        <f t="shared" si="0"/>
        <v>0</v>
      </c>
      <c r="U32" s="2"/>
      <c r="V32" s="2"/>
      <c r="W32" s="3"/>
      <c r="X32" s="6">
        <f t="shared" si="5"/>
        <v>0</v>
      </c>
      <c r="Y32" s="2"/>
      <c r="Z32" s="2"/>
      <c r="AA32" s="26">
        <f t="shared" si="18"/>
        <v>30</v>
      </c>
      <c r="AB32" s="28">
        <f t="shared" si="12"/>
        <v>2.2629629629629631</v>
      </c>
      <c r="AC32" s="29">
        <v>229732.54072804481</v>
      </c>
      <c r="AD32" s="34">
        <f t="shared" si="13"/>
        <v>12.066870799525406</v>
      </c>
      <c r="AE32" s="2"/>
      <c r="AF32" s="26">
        <f t="shared" si="19"/>
        <v>30</v>
      </c>
      <c r="AG32" s="30">
        <f t="shared" si="15"/>
        <v>85163.382898924785</v>
      </c>
      <c r="AH32" s="29">
        <v>226509.20370849618</v>
      </c>
      <c r="AI32" s="34">
        <f t="shared" si="16"/>
        <v>10.494480174460653</v>
      </c>
      <c r="AK32" s="97">
        <v>50</v>
      </c>
      <c r="AL32" s="98">
        <f t="shared" si="17"/>
        <v>17.490800290767741</v>
      </c>
      <c r="AM32" s="98">
        <f t="shared" si="10"/>
        <v>20.111451332542362</v>
      </c>
      <c r="AN32" s="99">
        <f t="shared" si="7"/>
        <v>6.9240723859249895</v>
      </c>
      <c r="AO32" s="99">
        <f t="shared" si="8"/>
        <v>27.035523718467324</v>
      </c>
      <c r="AP32" s="109">
        <f t="shared" si="9"/>
        <v>-20.111451332542334</v>
      </c>
    </row>
    <row r="33" spans="1:35" ht="15.75" customHeight="1" x14ac:dyDescent="0.25">
      <c r="A33" s="24" t="s">
        <v>48</v>
      </c>
      <c r="B33" s="6">
        <f>IF(B13=0,0,(B13/100)*($B$44))</f>
        <v>790.47088172043254</v>
      </c>
      <c r="C33" s="2" t="s">
        <v>3</v>
      </c>
      <c r="D33" s="2"/>
      <c r="E33" s="16" t="s">
        <v>93</v>
      </c>
      <c r="F33" s="23">
        <f>F32*(F18/100)*J15</f>
        <v>12610.731698494634</v>
      </c>
      <c r="G33" s="2" t="s">
        <v>3</v>
      </c>
      <c r="H33" s="2"/>
      <c r="I33" s="16" t="s">
        <v>46</v>
      </c>
      <c r="J33" s="49">
        <f>F17*F12/$B$8</f>
        <v>3499.9999999999995</v>
      </c>
      <c r="K33" s="2" t="s">
        <v>47</v>
      </c>
      <c r="L33" s="15"/>
      <c r="M33" s="2"/>
      <c r="N33" s="11">
        <f t="shared" si="6"/>
        <v>0</v>
      </c>
      <c r="O33" s="11"/>
      <c r="P33" s="20">
        <f t="shared" si="1"/>
        <v>0</v>
      </c>
      <c r="Q33" s="21">
        <f t="shared" si="2"/>
        <v>0</v>
      </c>
      <c r="R33" s="21">
        <f t="shared" si="3"/>
        <v>0</v>
      </c>
      <c r="S33" s="20">
        <f t="shared" si="4"/>
        <v>0</v>
      </c>
      <c r="T33" s="18">
        <f t="shared" si="0"/>
        <v>0</v>
      </c>
      <c r="U33" s="2"/>
      <c r="V33" s="2"/>
      <c r="W33" s="3"/>
      <c r="X33" s="6">
        <f t="shared" si="5"/>
        <v>0</v>
      </c>
      <c r="Y33" s="2"/>
      <c r="Z33" s="2"/>
      <c r="AA33" s="26">
        <f t="shared" si="18"/>
        <v>40</v>
      </c>
      <c r="AB33" s="28">
        <f t="shared" si="12"/>
        <v>2.4370370370370367</v>
      </c>
      <c r="AC33" s="29">
        <v>237978.07266695023</v>
      </c>
      <c r="AD33" s="34">
        <f t="shared" si="13"/>
        <v>16.089161066033871</v>
      </c>
      <c r="AE33" s="2"/>
      <c r="AF33" s="26">
        <f t="shared" si="19"/>
        <v>40</v>
      </c>
      <c r="AG33" s="30">
        <f t="shared" si="15"/>
        <v>91714.412352688218</v>
      </c>
      <c r="AH33" s="29">
        <v>233680.2899742187</v>
      </c>
      <c r="AI33" s="34">
        <f t="shared" si="16"/>
        <v>13.992640232614189</v>
      </c>
    </row>
    <row r="34" spans="1:35" ht="15.75" customHeight="1" x14ac:dyDescent="0.25">
      <c r="A34" s="24" t="s">
        <v>165</v>
      </c>
      <c r="B34" s="49">
        <f>B15/$B$8</f>
        <v>259.25925925925924</v>
      </c>
      <c r="C34" s="2" t="s">
        <v>3</v>
      </c>
      <c r="D34" s="2"/>
      <c r="E34" s="2"/>
      <c r="F34" s="33"/>
      <c r="G34" s="2"/>
      <c r="H34" s="2"/>
      <c r="I34" s="16" t="s">
        <v>74</v>
      </c>
      <c r="J34" s="49">
        <f t="shared" ref="J34:J39" si="21">F20/$B$8</f>
        <v>74.074074074074076</v>
      </c>
      <c r="K34" s="2" t="s">
        <v>47</v>
      </c>
      <c r="L34" s="15"/>
      <c r="M34" s="2"/>
      <c r="N34" s="11">
        <f t="shared" si="6"/>
        <v>0</v>
      </c>
      <c r="O34" s="11"/>
      <c r="P34" s="20">
        <f t="shared" si="1"/>
        <v>0</v>
      </c>
      <c r="Q34" s="21">
        <f t="shared" si="2"/>
        <v>0</v>
      </c>
      <c r="R34" s="21">
        <f t="shared" si="3"/>
        <v>0</v>
      </c>
      <c r="S34" s="20">
        <f t="shared" si="4"/>
        <v>0</v>
      </c>
      <c r="T34" s="18">
        <f t="shared" si="0"/>
        <v>0</v>
      </c>
      <c r="U34" s="2"/>
      <c r="V34" s="2"/>
      <c r="W34" s="3"/>
      <c r="X34" s="6">
        <f t="shared" si="5"/>
        <v>0</v>
      </c>
      <c r="Y34" s="2"/>
      <c r="Z34" s="2"/>
      <c r="AA34" s="26">
        <f t="shared" si="18"/>
        <v>50</v>
      </c>
      <c r="AB34" s="28">
        <f t="shared" si="12"/>
        <v>2.6111111111111112</v>
      </c>
      <c r="AC34" s="29">
        <v>246223.60460585571</v>
      </c>
      <c r="AD34" s="34">
        <f t="shared" si="13"/>
        <v>20.111451332542362</v>
      </c>
      <c r="AE34" s="2"/>
      <c r="AF34" s="26">
        <f t="shared" si="19"/>
        <v>50</v>
      </c>
      <c r="AG34" s="30">
        <f t="shared" si="15"/>
        <v>98265.441806451665</v>
      </c>
      <c r="AH34" s="29">
        <v>240851.37623994125</v>
      </c>
      <c r="AI34" s="34">
        <f t="shared" si="16"/>
        <v>17.490800290767741</v>
      </c>
    </row>
    <row r="35" spans="1:35" ht="15.75" customHeight="1" x14ac:dyDescent="0.25">
      <c r="A35" s="24" t="s">
        <v>126</v>
      </c>
      <c r="B35" s="49">
        <f>B16%*B43</f>
        <v>483.87096774193697</v>
      </c>
      <c r="C35" s="2" t="s">
        <v>3</v>
      </c>
      <c r="D35" s="2"/>
      <c r="E35" s="1" t="s">
        <v>97</v>
      </c>
      <c r="F35" s="2"/>
      <c r="G35" s="2"/>
      <c r="H35" s="2"/>
      <c r="I35" s="16" t="s">
        <v>75</v>
      </c>
      <c r="J35" s="49">
        <f t="shared" si="21"/>
        <v>242.2222222222222</v>
      </c>
      <c r="K35" s="2" t="s">
        <v>47</v>
      </c>
      <c r="L35" s="15"/>
      <c r="M35" s="2"/>
      <c r="N35" s="11">
        <f t="shared" si="6"/>
        <v>0</v>
      </c>
      <c r="O35" s="11"/>
      <c r="P35" s="20">
        <f t="shared" si="1"/>
        <v>0</v>
      </c>
      <c r="Q35" s="21">
        <f t="shared" si="2"/>
        <v>0</v>
      </c>
      <c r="R35" s="21">
        <f t="shared" si="3"/>
        <v>0</v>
      </c>
      <c r="S35" s="20">
        <f t="shared" si="4"/>
        <v>0</v>
      </c>
      <c r="T35" s="18">
        <f t="shared" si="0"/>
        <v>0</v>
      </c>
      <c r="U35" s="2"/>
      <c r="V35" s="2"/>
      <c r="W35" s="3"/>
      <c r="X35" s="6">
        <f t="shared" si="5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4" t="s">
        <v>64</v>
      </c>
      <c r="B36" s="49">
        <f t="shared" ref="B36:B39" si="22">B17/$B$8</f>
        <v>53334.074074074073</v>
      </c>
      <c r="C36" s="2" t="s">
        <v>3</v>
      </c>
      <c r="D36" s="2"/>
      <c r="E36" s="16" t="s">
        <v>153</v>
      </c>
      <c r="F36" s="14">
        <f>F13/$B$8</f>
        <v>1.7407407407407407</v>
      </c>
      <c r="G36" s="2" t="s">
        <v>120</v>
      </c>
      <c r="H36" s="2"/>
      <c r="I36" s="16" t="s">
        <v>161</v>
      </c>
      <c r="J36" s="49">
        <f t="shared" si="21"/>
        <v>59.74814814814814</v>
      </c>
      <c r="K36" s="2" t="s">
        <v>47</v>
      </c>
      <c r="L36" s="15"/>
      <c r="M36" s="2"/>
      <c r="N36" s="11">
        <f t="shared" si="6"/>
        <v>0</v>
      </c>
      <c r="O36" s="11"/>
      <c r="P36" s="20">
        <f t="shared" si="1"/>
        <v>0</v>
      </c>
      <c r="Q36" s="21">
        <f t="shared" si="2"/>
        <v>0</v>
      </c>
      <c r="R36" s="21">
        <f t="shared" si="3"/>
        <v>0</v>
      </c>
      <c r="S36" s="20">
        <f t="shared" si="4"/>
        <v>0</v>
      </c>
      <c r="T36" s="18">
        <f t="shared" si="0"/>
        <v>0</v>
      </c>
      <c r="U36" s="2"/>
      <c r="V36" s="2"/>
      <c r="W36" s="3"/>
      <c r="X36" s="6">
        <f t="shared" si="5"/>
        <v>0</v>
      </c>
      <c r="Y36" s="2"/>
      <c r="Z36" s="2"/>
      <c r="AA36" s="25" t="s">
        <v>46</v>
      </c>
      <c r="AB36" s="26"/>
      <c r="AC36" s="26"/>
      <c r="AD36" s="26"/>
      <c r="AE36" s="2"/>
      <c r="AF36" s="25" t="s">
        <v>98</v>
      </c>
      <c r="AG36" s="26"/>
      <c r="AH36" s="26"/>
      <c r="AI36" s="26"/>
    </row>
    <row r="37" spans="1:35" ht="15.75" customHeight="1" x14ac:dyDescent="0.25">
      <c r="A37" s="24" t="s">
        <v>68</v>
      </c>
      <c r="B37" s="49">
        <f t="shared" si="22"/>
        <v>0</v>
      </c>
      <c r="C37" s="2" t="s">
        <v>3</v>
      </c>
      <c r="D37" s="2"/>
      <c r="E37" s="16" t="s">
        <v>154</v>
      </c>
      <c r="F37" s="47">
        <f>F36*J10</f>
        <v>0.2785185185185185</v>
      </c>
      <c r="G37" s="2" t="s">
        <v>4</v>
      </c>
      <c r="H37" s="2"/>
      <c r="I37" s="16" t="s">
        <v>159</v>
      </c>
      <c r="J37" s="49">
        <f t="shared" si="21"/>
        <v>2222.2222222222222</v>
      </c>
      <c r="K37" s="2" t="s">
        <v>47</v>
      </c>
      <c r="L37" s="15"/>
      <c r="M37" s="2"/>
      <c r="N37" s="11">
        <f t="shared" si="6"/>
        <v>0</v>
      </c>
      <c r="O37" s="11"/>
      <c r="P37" s="20">
        <f t="shared" si="1"/>
        <v>0</v>
      </c>
      <c r="Q37" s="21">
        <f t="shared" si="2"/>
        <v>0</v>
      </c>
      <c r="R37" s="21">
        <f t="shared" si="3"/>
        <v>0</v>
      </c>
      <c r="S37" s="20">
        <f t="shared" si="4"/>
        <v>0</v>
      </c>
      <c r="T37" s="18">
        <f t="shared" si="0"/>
        <v>0</v>
      </c>
      <c r="U37" s="2"/>
      <c r="V37" s="2"/>
      <c r="W37" s="3"/>
      <c r="X37" s="6">
        <f t="shared" si="5"/>
        <v>0</v>
      </c>
      <c r="Y37" s="2"/>
      <c r="Z37" s="2"/>
      <c r="AA37" s="26" t="s">
        <v>77</v>
      </c>
      <c r="AB37" s="26" t="s">
        <v>128</v>
      </c>
      <c r="AC37" s="26" t="s">
        <v>22</v>
      </c>
      <c r="AD37" s="26" t="s">
        <v>79</v>
      </c>
      <c r="AE37" s="2"/>
      <c r="AF37" s="26" t="s">
        <v>77</v>
      </c>
      <c r="AG37" s="26" t="s">
        <v>102</v>
      </c>
      <c r="AH37" s="26" t="s">
        <v>22</v>
      </c>
      <c r="AI37" s="26" t="s">
        <v>79</v>
      </c>
    </row>
    <row r="38" spans="1:35" ht="15.75" customHeight="1" x14ac:dyDescent="0.25">
      <c r="A38" s="24" t="s">
        <v>71</v>
      </c>
      <c r="B38" s="49">
        <f t="shared" si="22"/>
        <v>20.99259259259259</v>
      </c>
      <c r="C38" s="2" t="s">
        <v>3</v>
      </c>
      <c r="D38" s="2"/>
      <c r="E38" s="16" t="s">
        <v>129</v>
      </c>
      <c r="F38" s="33">
        <f>F37*F12</f>
        <v>9748.1481481481478</v>
      </c>
      <c r="G38" s="48" t="s">
        <v>47</v>
      </c>
      <c r="H38" s="2"/>
      <c r="I38" s="16" t="s">
        <v>162</v>
      </c>
      <c r="J38" s="49">
        <f t="shared" si="21"/>
        <v>0</v>
      </c>
      <c r="K38" s="2" t="s">
        <v>47</v>
      </c>
      <c r="L38" s="15"/>
      <c r="M38" s="2"/>
      <c r="N38" s="11">
        <f t="shared" si="6"/>
        <v>0</v>
      </c>
      <c r="O38" s="11"/>
      <c r="P38" s="20">
        <f t="shared" si="1"/>
        <v>0</v>
      </c>
      <c r="Q38" s="21">
        <f t="shared" si="2"/>
        <v>0</v>
      </c>
      <c r="R38" s="21">
        <f t="shared" si="3"/>
        <v>0</v>
      </c>
      <c r="S38" s="20">
        <f t="shared" si="4"/>
        <v>0</v>
      </c>
      <c r="T38" s="18">
        <f t="shared" si="0"/>
        <v>0</v>
      </c>
      <c r="U38" s="2"/>
      <c r="V38" s="2"/>
      <c r="W38" s="3"/>
      <c r="X38" s="6">
        <f t="shared" si="5"/>
        <v>0</v>
      </c>
      <c r="Y38" s="2"/>
      <c r="Z38" s="2"/>
      <c r="AA38" s="26" t="s">
        <v>83</v>
      </c>
      <c r="AB38" s="28">
        <v>3499.9999999999995</v>
      </c>
      <c r="AC38" s="29">
        <f>T49</f>
        <v>204995.94491132852</v>
      </c>
      <c r="AD38" s="26"/>
      <c r="AE38" s="2"/>
      <c r="AF38" s="26" t="s">
        <v>83</v>
      </c>
      <c r="AG38" s="30">
        <v>35000</v>
      </c>
      <c r="AH38" s="29">
        <f>T49</f>
        <v>204995.94491132852</v>
      </c>
      <c r="AI38" s="26"/>
    </row>
    <row r="39" spans="1:35" ht="15.75" customHeight="1" x14ac:dyDescent="0.25">
      <c r="A39" s="24" t="s">
        <v>72</v>
      </c>
      <c r="B39" s="49">
        <f t="shared" si="22"/>
        <v>740.74074074074065</v>
      </c>
      <c r="C39" s="2" t="s">
        <v>3</v>
      </c>
      <c r="D39" s="2"/>
      <c r="E39" s="2"/>
      <c r="F39" s="2"/>
      <c r="G39" s="2"/>
      <c r="H39" s="2"/>
      <c r="I39" s="16" t="s">
        <v>164</v>
      </c>
      <c r="J39" s="49">
        <f t="shared" si="21"/>
        <v>53.333333333333329</v>
      </c>
      <c r="K39" s="2" t="s">
        <v>47</v>
      </c>
      <c r="L39" s="15"/>
      <c r="M39" s="2"/>
      <c r="N39" s="11">
        <f t="shared" si="6"/>
        <v>0</v>
      </c>
      <c r="O39" s="11"/>
      <c r="P39" s="20">
        <f t="shared" si="1"/>
        <v>0</v>
      </c>
      <c r="Q39" s="21">
        <f t="shared" si="2"/>
        <v>0</v>
      </c>
      <c r="R39" s="21">
        <f t="shared" si="3"/>
        <v>0</v>
      </c>
      <c r="S39" s="20">
        <f t="shared" si="4"/>
        <v>0</v>
      </c>
      <c r="T39" s="18">
        <f t="shared" si="0"/>
        <v>0</v>
      </c>
      <c r="U39" s="2"/>
      <c r="V39" s="2"/>
      <c r="W39" s="3"/>
      <c r="X39" s="6">
        <f t="shared" si="5"/>
        <v>0</v>
      </c>
      <c r="Y39" s="2"/>
      <c r="Z39" s="2"/>
      <c r="AA39" s="26">
        <f t="shared" ref="AA39:AA43" si="23">AA40-10</f>
        <v>-50</v>
      </c>
      <c r="AB39" s="28">
        <f t="shared" ref="AB39:AB49" si="24">$AB$38*(1+(AA39/100))</f>
        <v>1749.9999999999998</v>
      </c>
      <c r="AC39" s="29">
        <f t="dataTable" ref="AC39:AC49" dt2D="0" dtr="0" r1="J33" ca="1"/>
        <v>190801.87729745728</v>
      </c>
      <c r="AD39" s="34">
        <f t="shared" ref="AD39:AD49" si="25">100*((AC39-$AC$44)/$AC$44)</f>
        <v>-6.924072385924962</v>
      </c>
      <c r="AE39" s="2"/>
      <c r="AF39" s="26">
        <f t="shared" ref="AF39:AF43" si="26">AF40-10</f>
        <v>-50</v>
      </c>
      <c r="AG39" s="30">
        <f t="shared" ref="AG39:AG49" si="27">$AG$38*(1+(AF39/100))</f>
        <v>17500</v>
      </c>
      <c r="AH39" s="29">
        <f t="dataTable" ref="AH39:AH49" dt2D="0" dtr="0" r1="F12" ca="1"/>
        <v>149574.21760293012</v>
      </c>
      <c r="AI39" s="34">
        <f t="shared" ref="AI39:AI49" si="28">100*((AH39-$AH$44)/$AH$44)</f>
        <v>-27.035523718467307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65</v>
      </c>
      <c r="J40" s="14">
        <f>F16/B8</f>
        <v>485.92592592592587</v>
      </c>
      <c r="K40" s="2" t="s">
        <v>47</v>
      </c>
      <c r="L40" s="15"/>
      <c r="M40" s="2"/>
      <c r="N40" s="11">
        <f t="shared" si="6"/>
        <v>0</v>
      </c>
      <c r="O40" s="11"/>
      <c r="P40" s="20">
        <f t="shared" si="1"/>
        <v>0</v>
      </c>
      <c r="Q40" s="21">
        <f t="shared" si="2"/>
        <v>0</v>
      </c>
      <c r="R40" s="21">
        <f t="shared" si="3"/>
        <v>0</v>
      </c>
      <c r="S40" s="20">
        <f t="shared" si="4"/>
        <v>0</v>
      </c>
      <c r="T40" s="18">
        <f t="shared" si="0"/>
        <v>0</v>
      </c>
      <c r="U40" s="2"/>
      <c r="V40" s="2"/>
      <c r="W40" s="3"/>
      <c r="X40" s="6">
        <f t="shared" si="5"/>
        <v>0</v>
      </c>
      <c r="Y40" s="2"/>
      <c r="Z40" s="2"/>
      <c r="AA40" s="26">
        <f t="shared" si="23"/>
        <v>-40</v>
      </c>
      <c r="AB40" s="28">
        <f t="shared" si="24"/>
        <v>2099.9999999999995</v>
      </c>
      <c r="AC40" s="29">
        <v>193640.69082023151</v>
      </c>
      <c r="AD40" s="34">
        <f t="shared" si="25"/>
        <v>-5.5392579087399776</v>
      </c>
      <c r="AE40" s="2"/>
      <c r="AF40" s="26">
        <f t="shared" si="26"/>
        <v>-40</v>
      </c>
      <c r="AG40" s="30">
        <f t="shared" si="27"/>
        <v>21000</v>
      </c>
      <c r="AH40" s="29">
        <v>160658.5630646098</v>
      </c>
      <c r="AI40" s="34">
        <f t="shared" si="28"/>
        <v>-21.628418974773847</v>
      </c>
    </row>
    <row r="41" spans="1:35" ht="15.75" customHeight="1" x14ac:dyDescent="0.25">
      <c r="A41" s="2"/>
      <c r="B41" s="2"/>
      <c r="C41" s="2"/>
      <c r="D41" s="2"/>
      <c r="E41" s="16" t="s">
        <v>95</v>
      </c>
      <c r="F41" s="6">
        <f>F12*B5</f>
        <v>350000</v>
      </c>
      <c r="G41" s="2" t="s">
        <v>96</v>
      </c>
      <c r="H41" s="2"/>
      <c r="I41" s="2"/>
      <c r="J41" s="2"/>
      <c r="K41" s="2"/>
      <c r="L41" s="15"/>
      <c r="M41" s="2"/>
      <c r="N41" s="11">
        <f t="shared" si="6"/>
        <v>0</v>
      </c>
      <c r="O41" s="11"/>
      <c r="P41" s="20">
        <f t="shared" si="1"/>
        <v>0</v>
      </c>
      <c r="Q41" s="21">
        <f t="shared" si="2"/>
        <v>0</v>
      </c>
      <c r="R41" s="21">
        <f t="shared" si="3"/>
        <v>0</v>
      </c>
      <c r="S41" s="20">
        <f t="shared" si="4"/>
        <v>0</v>
      </c>
      <c r="T41" s="18">
        <f t="shared" si="0"/>
        <v>0</v>
      </c>
      <c r="U41" s="2"/>
      <c r="V41" s="2"/>
      <c r="W41" s="3"/>
      <c r="X41" s="6">
        <f t="shared" si="5"/>
        <v>0</v>
      </c>
      <c r="Y41" s="2"/>
      <c r="Z41" s="2"/>
      <c r="AA41" s="26">
        <f t="shared" si="23"/>
        <v>-30</v>
      </c>
      <c r="AB41" s="28">
        <f t="shared" si="24"/>
        <v>2449.9999999999995</v>
      </c>
      <c r="AC41" s="29">
        <v>196479.50434300574</v>
      </c>
      <c r="AD41" s="34">
        <f t="shared" si="25"/>
        <v>-4.1544434315549941</v>
      </c>
      <c r="AE41" s="2"/>
      <c r="AF41" s="26">
        <f t="shared" si="26"/>
        <v>-30</v>
      </c>
      <c r="AG41" s="30">
        <f t="shared" si="27"/>
        <v>24500</v>
      </c>
      <c r="AH41" s="29">
        <v>171742.90852628948</v>
      </c>
      <c r="AI41" s="34">
        <f t="shared" si="28"/>
        <v>-16.221314231080385</v>
      </c>
    </row>
    <row r="42" spans="1:35" ht="15.75" customHeight="1" x14ac:dyDescent="0.25">
      <c r="A42" s="22" t="s">
        <v>106</v>
      </c>
      <c r="B42" s="3"/>
      <c r="C42" s="1"/>
      <c r="D42" s="2"/>
      <c r="E42" s="16"/>
      <c r="F42" s="14"/>
      <c r="G42" s="2"/>
      <c r="H42" s="2"/>
      <c r="I42" s="2"/>
      <c r="J42" s="2"/>
      <c r="K42" s="2"/>
      <c r="L42" s="15"/>
      <c r="M42" s="2"/>
      <c r="N42" s="11">
        <f t="shared" si="6"/>
        <v>0</v>
      </c>
      <c r="O42" s="11"/>
      <c r="P42" s="20">
        <f t="shared" si="1"/>
        <v>0</v>
      </c>
      <c r="Q42" s="21">
        <f t="shared" si="2"/>
        <v>0</v>
      </c>
      <c r="R42" s="21">
        <f t="shared" si="3"/>
        <v>0</v>
      </c>
      <c r="S42" s="20">
        <f t="shared" si="4"/>
        <v>0</v>
      </c>
      <c r="T42" s="18">
        <f t="shared" si="0"/>
        <v>0</v>
      </c>
      <c r="U42" s="2"/>
      <c r="V42" s="2"/>
      <c r="W42" s="3"/>
      <c r="X42" s="6">
        <f t="shared" si="5"/>
        <v>0</v>
      </c>
      <c r="Y42" s="2"/>
      <c r="Z42" s="2"/>
      <c r="AA42" s="26">
        <f t="shared" si="23"/>
        <v>-20</v>
      </c>
      <c r="AB42" s="28">
        <f t="shared" si="24"/>
        <v>2800</v>
      </c>
      <c r="AC42" s="29">
        <v>199318.31786578006</v>
      </c>
      <c r="AD42" s="34">
        <f t="shared" si="25"/>
        <v>-2.7696289543699675</v>
      </c>
      <c r="AE42" s="2"/>
      <c r="AF42" s="26">
        <f t="shared" si="26"/>
        <v>-20</v>
      </c>
      <c r="AG42" s="30">
        <f t="shared" si="27"/>
        <v>28000</v>
      </c>
      <c r="AH42" s="29">
        <v>182827.25398796919</v>
      </c>
      <c r="AI42" s="34">
        <f t="shared" si="28"/>
        <v>-10.814209487386909</v>
      </c>
    </row>
    <row r="43" spans="1:35" ht="15.75" customHeight="1" x14ac:dyDescent="0.25">
      <c r="A43" s="16" t="s">
        <v>183</v>
      </c>
      <c r="B43" s="6">
        <f>J8/B8</f>
        <v>9677.4193548387393</v>
      </c>
      <c r="C43" s="2" t="s">
        <v>3</v>
      </c>
      <c r="D43" s="2"/>
      <c r="E43" s="2"/>
      <c r="F43" s="2"/>
      <c r="G43" s="2"/>
      <c r="H43" s="2"/>
      <c r="I43" s="16"/>
      <c r="J43" s="49"/>
      <c r="K43" s="2"/>
      <c r="L43" s="15"/>
      <c r="M43" s="2"/>
      <c r="N43" s="11">
        <f t="shared" si="6"/>
        <v>0</v>
      </c>
      <c r="O43" s="11"/>
      <c r="P43" s="20">
        <f t="shared" si="1"/>
        <v>0</v>
      </c>
      <c r="Q43" s="21">
        <f t="shared" si="2"/>
        <v>0</v>
      </c>
      <c r="R43" s="21">
        <f t="shared" si="3"/>
        <v>0</v>
      </c>
      <c r="S43" s="20">
        <f t="shared" si="4"/>
        <v>0</v>
      </c>
      <c r="T43" s="18">
        <f t="shared" si="0"/>
        <v>0</v>
      </c>
      <c r="U43" s="2"/>
      <c r="V43" s="2"/>
      <c r="W43" s="3"/>
      <c r="X43" s="6">
        <f t="shared" si="5"/>
        <v>0</v>
      </c>
      <c r="Y43" s="2"/>
      <c r="Z43" s="2"/>
      <c r="AA43" s="26">
        <f t="shared" si="23"/>
        <v>-10</v>
      </c>
      <c r="AB43" s="28">
        <f t="shared" si="24"/>
        <v>3149.9999999999995</v>
      </c>
      <c r="AC43" s="29">
        <v>202157.13138855426</v>
      </c>
      <c r="AD43" s="34">
        <f t="shared" si="25"/>
        <v>-1.3848144771849979</v>
      </c>
      <c r="AE43" s="2"/>
      <c r="AF43" s="26">
        <f t="shared" si="26"/>
        <v>-10</v>
      </c>
      <c r="AG43" s="30">
        <f t="shared" si="27"/>
        <v>31500</v>
      </c>
      <c r="AH43" s="29">
        <v>193911.59944964887</v>
      </c>
      <c r="AI43" s="34">
        <f t="shared" si="28"/>
        <v>-5.4071047436934476</v>
      </c>
    </row>
    <row r="44" spans="1:35" ht="15.75" customHeight="1" x14ac:dyDescent="0.25">
      <c r="A44" s="2" t="s">
        <v>160</v>
      </c>
      <c r="B44" s="23">
        <f>(B14/B8)+B43</f>
        <v>9880.8860215054065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6"/>
        <v>0</v>
      </c>
      <c r="O44" s="11"/>
      <c r="P44" s="20">
        <f t="shared" si="1"/>
        <v>0</v>
      </c>
      <c r="Q44" s="21">
        <f t="shared" si="2"/>
        <v>0</v>
      </c>
      <c r="R44" s="21">
        <f t="shared" si="3"/>
        <v>0</v>
      </c>
      <c r="S44" s="20">
        <f t="shared" si="4"/>
        <v>0</v>
      </c>
      <c r="T44" s="18">
        <f t="shared" si="0"/>
        <v>0</v>
      </c>
      <c r="U44" s="2"/>
      <c r="V44" s="2"/>
      <c r="W44" s="3"/>
      <c r="X44" s="6">
        <f t="shared" si="5"/>
        <v>0</v>
      </c>
      <c r="Y44" s="2"/>
      <c r="Z44" s="2"/>
      <c r="AA44" s="40">
        <v>0</v>
      </c>
      <c r="AB44" s="41">
        <f t="shared" si="24"/>
        <v>3499.9999999999995</v>
      </c>
      <c r="AC44" s="42">
        <v>204995.94491132852</v>
      </c>
      <c r="AD44" s="43">
        <f t="shared" si="25"/>
        <v>0</v>
      </c>
      <c r="AE44" s="2"/>
      <c r="AF44" s="40">
        <v>0</v>
      </c>
      <c r="AG44" s="44">
        <f t="shared" si="27"/>
        <v>35000</v>
      </c>
      <c r="AH44" s="42">
        <v>204995.94491132852</v>
      </c>
      <c r="AI44" s="43">
        <f t="shared" si="28"/>
        <v>0</v>
      </c>
    </row>
    <row r="45" spans="1:35" ht="15.75" customHeight="1" x14ac:dyDescent="0.25">
      <c r="A45" s="24" t="s">
        <v>130</v>
      </c>
      <c r="B45" s="6">
        <f>SUM(B33:B39)+B44</f>
        <v>65510.294537634443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6"/>
        <v>0</v>
      </c>
      <c r="O45" s="11"/>
      <c r="P45" s="20">
        <f t="shared" si="1"/>
        <v>0</v>
      </c>
      <c r="Q45" s="21">
        <f t="shared" si="2"/>
        <v>0</v>
      </c>
      <c r="R45" s="21">
        <f t="shared" si="3"/>
        <v>0</v>
      </c>
      <c r="S45" s="20">
        <f t="shared" si="4"/>
        <v>0</v>
      </c>
      <c r="T45" s="18">
        <f t="shared" si="0"/>
        <v>0</v>
      </c>
      <c r="U45" s="2"/>
      <c r="V45" s="2"/>
      <c r="W45" s="3"/>
      <c r="X45" s="6">
        <f t="shared" si="5"/>
        <v>0</v>
      </c>
      <c r="Y45" s="2"/>
      <c r="Z45" s="2"/>
      <c r="AA45" s="26">
        <f t="shared" ref="AA45:AA49" si="29">AA44+10</f>
        <v>10</v>
      </c>
      <c r="AB45" s="28">
        <f t="shared" si="24"/>
        <v>3850</v>
      </c>
      <c r="AC45" s="29">
        <v>207834.75843410278</v>
      </c>
      <c r="AD45" s="34">
        <f t="shared" si="25"/>
        <v>1.3848144771849979</v>
      </c>
      <c r="AE45" s="2"/>
      <c r="AF45" s="26">
        <f t="shared" ref="AF45:AF49" si="30">AF44+10</f>
        <v>10</v>
      </c>
      <c r="AG45" s="30">
        <f t="shared" si="27"/>
        <v>38500</v>
      </c>
      <c r="AH45" s="29">
        <v>216080.29037300829</v>
      </c>
      <c r="AI45" s="34">
        <f t="shared" si="28"/>
        <v>5.4071047436935045</v>
      </c>
    </row>
    <row r="46" spans="1:35" ht="15.75" customHeight="1" x14ac:dyDescent="0.25">
      <c r="A46" s="24" t="s">
        <v>152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6"/>
        <v>0</v>
      </c>
      <c r="O46" s="11"/>
      <c r="P46" s="20">
        <f t="shared" si="1"/>
        <v>0</v>
      </c>
      <c r="Q46" s="21">
        <f t="shared" si="2"/>
        <v>0</v>
      </c>
      <c r="R46" s="21">
        <f t="shared" si="3"/>
        <v>0</v>
      </c>
      <c r="S46" s="20">
        <f t="shared" si="4"/>
        <v>0</v>
      </c>
      <c r="T46" s="18">
        <f t="shared" si="0"/>
        <v>0</v>
      </c>
      <c r="U46" s="2"/>
      <c r="V46" s="2"/>
      <c r="W46" s="3"/>
      <c r="X46" s="6">
        <f t="shared" si="5"/>
        <v>0</v>
      </c>
      <c r="Y46" s="2"/>
      <c r="Z46" s="2"/>
      <c r="AA46" s="26">
        <f t="shared" si="29"/>
        <v>20</v>
      </c>
      <c r="AB46" s="28">
        <f t="shared" si="24"/>
        <v>4199.9999999999991</v>
      </c>
      <c r="AC46" s="29">
        <v>210673.57195687707</v>
      </c>
      <c r="AD46" s="34">
        <f t="shared" si="25"/>
        <v>2.7696289543700101</v>
      </c>
      <c r="AE46" s="2"/>
      <c r="AF46" s="26">
        <f t="shared" si="30"/>
        <v>20</v>
      </c>
      <c r="AG46" s="30">
        <f t="shared" si="27"/>
        <v>42000</v>
      </c>
      <c r="AH46" s="29">
        <v>227164.63583468791</v>
      </c>
      <c r="AI46" s="34">
        <f t="shared" si="28"/>
        <v>10.81420948738694</v>
      </c>
    </row>
    <row r="47" spans="1:35" ht="15.75" customHeight="1" x14ac:dyDescent="0.25">
      <c r="A47" s="24" t="s">
        <v>150</v>
      </c>
      <c r="B47" s="6">
        <f>SUM(B45:B46)</f>
        <v>65510.294537634443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6"/>
        <v>0</v>
      </c>
      <c r="O47" s="11"/>
      <c r="P47" s="20">
        <f t="shared" si="1"/>
        <v>0</v>
      </c>
      <c r="Q47" s="21">
        <f t="shared" si="2"/>
        <v>0</v>
      </c>
      <c r="R47" s="21">
        <f t="shared" si="3"/>
        <v>0</v>
      </c>
      <c r="S47" s="20">
        <f t="shared" si="4"/>
        <v>0</v>
      </c>
      <c r="T47" s="18">
        <f t="shared" si="0"/>
        <v>0</v>
      </c>
      <c r="U47" s="2"/>
      <c r="V47" s="2"/>
      <c r="W47" s="3"/>
      <c r="X47" s="6">
        <f t="shared" si="5"/>
        <v>0</v>
      </c>
      <c r="Y47" s="2"/>
      <c r="Z47" s="2"/>
      <c r="AA47" s="26">
        <f t="shared" si="29"/>
        <v>30</v>
      </c>
      <c r="AB47" s="28">
        <f t="shared" si="24"/>
        <v>4550</v>
      </c>
      <c r="AC47" s="29">
        <v>213512.3854796513</v>
      </c>
      <c r="AD47" s="34">
        <f t="shared" si="25"/>
        <v>4.1544434315549941</v>
      </c>
      <c r="AE47" s="2"/>
      <c r="AF47" s="26">
        <f t="shared" si="30"/>
        <v>30</v>
      </c>
      <c r="AG47" s="30">
        <f t="shared" si="27"/>
        <v>45500</v>
      </c>
      <c r="AH47" s="29">
        <v>238248.98129636759</v>
      </c>
      <c r="AI47" s="34">
        <f t="shared" si="28"/>
        <v>16.221314231080399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6"/>
        <v>0</v>
      </c>
      <c r="O48" s="11"/>
      <c r="P48" s="20">
        <f t="shared" si="1"/>
        <v>0</v>
      </c>
      <c r="Q48" s="21">
        <f t="shared" si="2"/>
        <v>0</v>
      </c>
      <c r="R48" s="21">
        <f t="shared" si="3"/>
        <v>0</v>
      </c>
      <c r="S48" s="20">
        <f t="shared" si="4"/>
        <v>0</v>
      </c>
      <c r="T48" s="18">
        <f t="shared" si="0"/>
        <v>0</v>
      </c>
      <c r="U48" s="2"/>
      <c r="V48" s="2"/>
      <c r="W48" s="3"/>
      <c r="X48" s="6">
        <f t="shared" si="5"/>
        <v>0</v>
      </c>
      <c r="Y48" s="2"/>
      <c r="Z48" s="2"/>
      <c r="AA48" s="26">
        <f t="shared" si="29"/>
        <v>40</v>
      </c>
      <c r="AB48" s="28">
        <f t="shared" si="24"/>
        <v>4899.9999999999991</v>
      </c>
      <c r="AC48" s="29">
        <v>216351.19900242559</v>
      </c>
      <c r="AD48" s="34">
        <f t="shared" si="25"/>
        <v>5.539257908740006</v>
      </c>
      <c r="AE48" s="2"/>
      <c r="AF48" s="26">
        <f t="shared" si="30"/>
        <v>40</v>
      </c>
      <c r="AG48" s="30">
        <f t="shared" si="27"/>
        <v>49000</v>
      </c>
      <c r="AH48" s="29">
        <v>249333.32675804733</v>
      </c>
      <c r="AI48" s="34">
        <f t="shared" si="28"/>
        <v>21.62841897477389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110</v>
      </c>
      <c r="O49" s="18">
        <f t="shared" ref="O49:T49" si="31">SUM(O8:O48)</f>
        <v>19653.088361290331</v>
      </c>
      <c r="P49" s="18">
        <f t="shared" si="31"/>
        <v>52057.774295935065</v>
      </c>
      <c r="Q49" s="18">
        <f t="shared" si="31"/>
        <v>82455.319389054261</v>
      </c>
      <c r="R49" s="18">
        <f t="shared" si="31"/>
        <v>54032.744937940966</v>
      </c>
      <c r="S49" s="18">
        <f t="shared" si="31"/>
        <v>-3202.9820728920831</v>
      </c>
      <c r="T49" s="18">
        <f t="shared" si="31"/>
        <v>204995.94491132852</v>
      </c>
      <c r="U49" s="2"/>
      <c r="V49" s="2"/>
      <c r="W49" s="3"/>
      <c r="X49" s="3"/>
      <c r="Y49" s="2"/>
      <c r="Z49" s="2"/>
      <c r="AA49" s="26">
        <f t="shared" si="29"/>
        <v>50</v>
      </c>
      <c r="AB49" s="28">
        <f t="shared" si="24"/>
        <v>5249.9999999999991</v>
      </c>
      <c r="AC49" s="29">
        <v>219190.01252519983</v>
      </c>
      <c r="AD49" s="34">
        <f t="shared" si="25"/>
        <v>6.9240723859249895</v>
      </c>
      <c r="AE49" s="2"/>
      <c r="AF49" s="26">
        <f t="shared" si="30"/>
        <v>50</v>
      </c>
      <c r="AG49" s="30">
        <f t="shared" si="27"/>
        <v>52500</v>
      </c>
      <c r="AH49" s="29">
        <v>260417.67221972696</v>
      </c>
      <c r="AI49" s="34">
        <f t="shared" si="28"/>
        <v>27.035523718467324</v>
      </c>
    </row>
    <row r="50" spans="1:35" ht="15.75" customHeight="1" x14ac:dyDescent="0.25">
      <c r="A50" s="2"/>
      <c r="B50" s="33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3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77" t="s">
        <v>178</v>
      </c>
      <c r="AB51" s="78"/>
      <c r="AC51" s="78"/>
      <c r="AD51" s="7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78" t="s">
        <v>77</v>
      </c>
      <c r="AB52" s="78" t="s">
        <v>178</v>
      </c>
      <c r="AC52" s="78" t="s">
        <v>22</v>
      </c>
      <c r="AD52" s="78" t="s">
        <v>79</v>
      </c>
      <c r="AE52" s="2"/>
      <c r="AF52" s="2"/>
      <c r="AG52" s="2"/>
      <c r="AH52" s="2"/>
      <c r="AI52" s="2"/>
    </row>
    <row r="53" spans="1:35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9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3"/>
      <c r="Z53" s="2"/>
      <c r="AA53" s="78" t="s">
        <v>83</v>
      </c>
      <c r="AB53" s="100">
        <v>0.16</v>
      </c>
      <c r="AC53" s="80">
        <f>T49</f>
        <v>204995.94491132852</v>
      </c>
      <c r="AD53" s="7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0"/>
      <c r="O54" s="51" t="s">
        <v>112</v>
      </c>
      <c r="P54" s="52" t="str">
        <f>B1</f>
        <v>Singapore</v>
      </c>
      <c r="Q54" s="50"/>
      <c r="R54" s="50"/>
      <c r="S54" s="50"/>
      <c r="T54" s="50"/>
      <c r="U54" s="50"/>
      <c r="V54" s="2"/>
      <c r="W54" s="2"/>
      <c r="X54" s="2"/>
      <c r="Y54" s="33"/>
      <c r="Z54" s="2"/>
      <c r="AA54" s="78">
        <f t="shared" ref="AA54:AA58" si="32">AA55-10</f>
        <v>-50</v>
      </c>
      <c r="AB54" s="100">
        <f>$AB$53*(1+(-AA54/100))</f>
        <v>0.24</v>
      </c>
      <c r="AC54" s="80">
        <f t="dataTable" ref="AC54:AC64" dt2D="0" dtr="0" r1="J10"/>
        <v>246223.60460585571</v>
      </c>
      <c r="AD54" s="101">
        <f t="shared" ref="AD54:AD64" si="33">100*((AC54-$AC$59)/$AC$59)</f>
        <v>20.111451332542362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113</v>
      </c>
      <c r="P55" s="23">
        <f>SUM(O49:P49)</f>
        <v>71710.8626572254</v>
      </c>
      <c r="Q55" s="2" t="s">
        <v>3</v>
      </c>
      <c r="R55" s="47">
        <f t="shared" ref="R55:R58" si="34">P55/$F$41</f>
        <v>0.20488817902064399</v>
      </c>
      <c r="S55" s="2" t="s">
        <v>4</v>
      </c>
      <c r="T55" s="2"/>
      <c r="U55" s="2"/>
      <c r="V55" s="2"/>
      <c r="W55" s="2"/>
      <c r="X55" s="2"/>
      <c r="Y55" s="33"/>
      <c r="Z55" s="2"/>
      <c r="AA55" s="78">
        <f t="shared" si="32"/>
        <v>-40</v>
      </c>
      <c r="AB55" s="100">
        <f t="shared" ref="AB55:AB64" si="35">$AB$53*(1+(-AA55/100))</f>
        <v>0.22399999999999998</v>
      </c>
      <c r="AC55" s="80">
        <v>237978.07266695023</v>
      </c>
      <c r="AD55" s="101">
        <f t="shared" si="33"/>
        <v>16.089161066033871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97</v>
      </c>
      <c r="P56" s="23">
        <f>SUM(Q49)</f>
        <v>82455.319389054261</v>
      </c>
      <c r="Q56" s="2" t="s">
        <v>3</v>
      </c>
      <c r="R56" s="47">
        <f t="shared" si="34"/>
        <v>0.23558662682586931</v>
      </c>
      <c r="S56" s="2" t="s">
        <v>4</v>
      </c>
      <c r="T56" s="2"/>
      <c r="U56" s="2"/>
      <c r="V56" s="2"/>
      <c r="W56" s="2"/>
      <c r="X56" s="2"/>
      <c r="Y56" s="33"/>
      <c r="Z56" s="2"/>
      <c r="AA56" s="78">
        <f t="shared" si="32"/>
        <v>-30</v>
      </c>
      <c r="AB56" s="100">
        <f t="shared" si="35"/>
        <v>0.20800000000000002</v>
      </c>
      <c r="AC56" s="80">
        <v>229732.54072804481</v>
      </c>
      <c r="AD56" s="101">
        <f t="shared" si="33"/>
        <v>12.066870799525406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114</v>
      </c>
      <c r="P57" s="23">
        <f>SUM(R49)</f>
        <v>54032.744937940966</v>
      </c>
      <c r="Q57" s="2" t="s">
        <v>3</v>
      </c>
      <c r="R57" s="47">
        <f t="shared" si="34"/>
        <v>0.15437927125125991</v>
      </c>
      <c r="S57" s="2" t="s">
        <v>4</v>
      </c>
      <c r="T57" s="2"/>
      <c r="U57" s="2"/>
      <c r="V57" s="2"/>
      <c r="W57" s="2"/>
      <c r="X57" s="2"/>
      <c r="Y57" s="33"/>
      <c r="Z57" s="2"/>
      <c r="AA57" s="78">
        <f t="shared" si="32"/>
        <v>-20</v>
      </c>
      <c r="AB57" s="100">
        <f t="shared" si="35"/>
        <v>0.192</v>
      </c>
      <c r="AC57" s="80">
        <v>221487.00878913945</v>
      </c>
      <c r="AD57" s="101">
        <f t="shared" si="33"/>
        <v>8.0445805330169708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116</v>
      </c>
      <c r="P58" s="23">
        <f>S49</f>
        <v>-3202.9820728920831</v>
      </c>
      <c r="Q58" s="2" t="s">
        <v>3</v>
      </c>
      <c r="R58" s="47">
        <f t="shared" si="34"/>
        <v>-9.1513773511202375E-3</v>
      </c>
      <c r="S58" s="2" t="s">
        <v>4</v>
      </c>
      <c r="T58" s="2"/>
      <c r="U58" s="2"/>
      <c r="V58" s="2"/>
      <c r="W58" s="2"/>
      <c r="X58" s="2"/>
      <c r="Y58" s="33"/>
      <c r="Z58" s="2"/>
      <c r="AA58" s="78">
        <f t="shared" si="32"/>
        <v>-10</v>
      </c>
      <c r="AB58" s="100">
        <f t="shared" si="35"/>
        <v>0.17600000000000002</v>
      </c>
      <c r="AC58" s="80">
        <v>213241.47685023394</v>
      </c>
      <c r="AD58" s="101">
        <f t="shared" si="33"/>
        <v>4.0222902665084641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3"/>
      <c r="Z59" s="2"/>
      <c r="AA59" s="81">
        <v>0</v>
      </c>
      <c r="AB59" s="102">
        <f t="shared" si="35"/>
        <v>0.16</v>
      </c>
      <c r="AC59" s="103">
        <v>204995.94491132852</v>
      </c>
      <c r="AD59" s="104">
        <f t="shared" si="33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204995.94491132855</v>
      </c>
      <c r="Q60" s="1" t="s">
        <v>3</v>
      </c>
      <c r="R60" s="55">
        <f>SUM(R55:R58)</f>
        <v>0.58570269974665301</v>
      </c>
      <c r="S60" s="1" t="s">
        <v>4</v>
      </c>
      <c r="T60" s="1"/>
      <c r="U60" s="2"/>
      <c r="V60" s="2"/>
      <c r="W60" s="2"/>
      <c r="X60" s="2"/>
      <c r="Y60" s="33"/>
      <c r="Z60" s="2"/>
      <c r="AA60" s="78">
        <f t="shared" ref="AA60:AA64" si="36">AA59+10</f>
        <v>10</v>
      </c>
      <c r="AB60" s="100">
        <f t="shared" si="35"/>
        <v>0.14400000000000002</v>
      </c>
      <c r="AC60" s="80">
        <v>196750.4129724231</v>
      </c>
      <c r="AD60" s="101">
        <f t="shared" si="33"/>
        <v>-4.0222902665084641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3"/>
      <c r="Z61" s="2"/>
      <c r="AA61" s="78">
        <f t="shared" si="36"/>
        <v>20</v>
      </c>
      <c r="AB61" s="100">
        <f t="shared" si="35"/>
        <v>0.128</v>
      </c>
      <c r="AC61" s="80">
        <v>188504.88103351765</v>
      </c>
      <c r="AD61" s="101">
        <f t="shared" si="33"/>
        <v>-8.0445805330169424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3"/>
      <c r="Z62" s="2"/>
      <c r="AA62" s="78">
        <f t="shared" si="36"/>
        <v>30</v>
      </c>
      <c r="AB62" s="100">
        <f t="shared" si="35"/>
        <v>0.11199999999999999</v>
      </c>
      <c r="AC62" s="80">
        <v>180259.34909461229</v>
      </c>
      <c r="AD62" s="101">
        <f t="shared" si="33"/>
        <v>-12.066870799525379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3"/>
      <c r="Z63" s="2"/>
      <c r="AA63" s="78">
        <f t="shared" si="36"/>
        <v>40</v>
      </c>
      <c r="AB63" s="100">
        <f t="shared" si="35"/>
        <v>9.6000000000000002E-2</v>
      </c>
      <c r="AC63" s="80">
        <v>172013.81715570684</v>
      </c>
      <c r="AD63" s="101">
        <f t="shared" si="33"/>
        <v>-16.089161066033856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3"/>
      <c r="Z64" s="2"/>
      <c r="AA64" s="78">
        <f t="shared" si="36"/>
        <v>50</v>
      </c>
      <c r="AB64" s="100">
        <f t="shared" si="35"/>
        <v>0.08</v>
      </c>
      <c r="AC64" s="80">
        <v>163768.28521680139</v>
      </c>
      <c r="AD64" s="101">
        <f t="shared" si="33"/>
        <v>-20.111451332542334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3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3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3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AX1000"/>
  <sheetViews>
    <sheetView topLeftCell="B1" zoomScale="78" zoomScaleNormal="8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37.85546875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1" width="31.28515625" customWidth="1"/>
    <col min="22" max="22" width="23.85546875" customWidth="1"/>
    <col min="23" max="24" width="13.42578125" customWidth="1"/>
    <col min="25" max="25" width="19.5703125" customWidth="1"/>
    <col min="26" max="26" width="12.28515625" customWidth="1"/>
    <col min="27" max="27" width="20.140625" customWidth="1"/>
    <col min="28" max="28" width="19.285156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  <col min="36" max="37" width="8.85546875" customWidth="1"/>
    <col min="38" max="38" width="17.5703125" customWidth="1"/>
    <col min="39" max="39" width="9.7109375" customWidth="1"/>
    <col min="40" max="40" width="15.5703125" customWidth="1"/>
    <col min="41" max="41" width="8.85546875" customWidth="1"/>
    <col min="42" max="43" width="12.7109375" customWidth="1"/>
    <col min="44" max="50" width="8.85546875" customWidth="1"/>
  </cols>
  <sheetData>
    <row r="1" spans="1:50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1" t="s">
        <v>2</v>
      </c>
      <c r="B2" s="3">
        <f>W49</f>
        <v>116961.67376209161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2"/>
      <c r="B3" s="4">
        <f>B2/J34</f>
        <v>0.33417621074883319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11" t="s">
        <v>21</v>
      </c>
      <c r="W7" s="12" t="s">
        <v>22</v>
      </c>
      <c r="X7" s="1"/>
      <c r="Y7" s="2" t="s">
        <v>23</v>
      </c>
      <c r="Z7" s="2"/>
      <c r="AA7" s="2" t="s">
        <v>24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13" t="s">
        <v>25</v>
      </c>
      <c r="B8" s="14">
        <v>1.35</v>
      </c>
      <c r="C8" s="2" t="s">
        <v>26</v>
      </c>
      <c r="D8" s="2"/>
      <c r="E8" s="2"/>
      <c r="F8" s="2"/>
      <c r="G8" s="2"/>
      <c r="H8" s="15"/>
      <c r="I8" s="16" t="s">
        <v>183</v>
      </c>
      <c r="J8" s="6">
        <v>15851.6129032258</v>
      </c>
      <c r="K8" s="2" t="s">
        <v>28</v>
      </c>
      <c r="L8" s="15"/>
      <c r="M8" s="2"/>
      <c r="N8" s="11">
        <v>0</v>
      </c>
      <c r="O8" s="17">
        <f>F31</f>
        <v>18514.389195698921</v>
      </c>
      <c r="P8" s="11"/>
      <c r="Q8" s="11"/>
      <c r="R8" s="11"/>
      <c r="S8" s="11"/>
      <c r="T8" s="11"/>
      <c r="U8" s="11"/>
      <c r="V8" s="11"/>
      <c r="W8" s="18">
        <f t="shared" ref="W8:W48" si="0">SUM(O8:V8)</f>
        <v>18514.389195698921</v>
      </c>
      <c r="X8" s="3"/>
      <c r="Y8" s="6"/>
      <c r="Z8" s="2"/>
      <c r="AA8" s="2" t="s">
        <v>29</v>
      </c>
      <c r="AB8" s="19">
        <f>F36</f>
        <v>0.37037037037037035</v>
      </c>
      <c r="AC8" s="2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13"/>
      <c r="B9" s="2"/>
      <c r="C9" s="2"/>
      <c r="D9" s="2"/>
      <c r="E9" s="2"/>
      <c r="F9" s="2"/>
      <c r="G9" s="2"/>
      <c r="H9" s="15"/>
      <c r="I9" s="16" t="s">
        <v>31</v>
      </c>
      <c r="J9" s="6">
        <v>105</v>
      </c>
      <c r="K9" s="2" t="s">
        <v>30</v>
      </c>
      <c r="L9" s="15"/>
      <c r="M9" s="2"/>
      <c r="N9" s="11">
        <v>1</v>
      </c>
      <c r="O9" s="11"/>
      <c r="P9" s="20">
        <f t="shared" ref="P9:P48" si="1">IF(N9&gt;0,IF(N9&lt;=$J$20,(($F$32+$F$33)/$J$20)/((1+($F$11/100))^N9),0),0)</f>
        <v>10592.366895616209</v>
      </c>
      <c r="Q9" s="21">
        <f t="shared" ref="Q9:Q48" si="2">IF(N9&gt;0,($F$41*((1+($F$14/100))^(N9-1)))/((1+($F$11/100))^N9),0)</f>
        <v>1769.9430199430196</v>
      </c>
      <c r="R9" s="21">
        <f t="shared" ref="R9:R48" si="3">IF(N9&gt;0,$F$40/((1+($F$11/100))^N9),0)</f>
        <v>0</v>
      </c>
      <c r="S9" s="21">
        <f t="shared" ref="S9:S48" si="4">IF(N9&gt;0,$J$37/((1+($F$11/100))^N9),0)</f>
        <v>3756.549145299145</v>
      </c>
      <c r="T9" s="21">
        <f t="shared" ref="T9:T48" si="5">IF(AND(MOD(N9,$J$31)=0,N9&gt;0),$B$46/((1+($F$11/100))^N9),0)</f>
        <v>0</v>
      </c>
      <c r="U9" s="21">
        <f t="shared" ref="U9:U48" si="6">IF(N9&gt;0,$J$32/((1+($F$11/100))^N9),0)</f>
        <v>0</v>
      </c>
      <c r="V9" s="20">
        <f t="shared" ref="V9:V18" si="7">IF(N9=$B$5,((((1-$J$15/100)^N9)*$B$47+((1-$J$16/100)^N9)*$B$48)/((1+($F$11/100))^N9))*-1,0)</f>
        <v>0</v>
      </c>
      <c r="W9" s="18">
        <f t="shared" si="0"/>
        <v>16118.859060858373</v>
      </c>
      <c r="X9" s="3"/>
      <c r="Y9" s="6">
        <f t="shared" ref="Y9:Y48" si="8">IF(N9&gt;0,((((1-$J$15/100)^N9)*$B$47+((1-$J$16/100)^N9)*$B$48)/((1+($F$11/100))^N9)),0)</f>
        <v>14620.820203473941</v>
      </c>
      <c r="Z9" s="2"/>
      <c r="AA9" s="2" t="s">
        <v>32</v>
      </c>
      <c r="AB9" s="5">
        <f>B48</f>
        <v>4613.4666666666662</v>
      </c>
      <c r="AC9" s="2" t="s">
        <v>3</v>
      </c>
      <c r="AD9" s="2"/>
      <c r="AE9" s="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2" t="s">
        <v>33</v>
      </c>
      <c r="B10" s="2"/>
      <c r="C10" s="2"/>
      <c r="D10" s="2"/>
      <c r="E10" s="1" t="s">
        <v>37</v>
      </c>
      <c r="F10" s="2"/>
      <c r="G10" s="2"/>
      <c r="H10" s="15"/>
      <c r="I10" s="16" t="s">
        <v>34</v>
      </c>
      <c r="J10" s="6">
        <v>42</v>
      </c>
      <c r="K10" s="2" t="s">
        <v>35</v>
      </c>
      <c r="L10" s="15"/>
      <c r="M10" s="2"/>
      <c r="N10" s="11">
        <f t="shared" ref="N10:N48" si="9">IF((N9+1)&gt;$B$5,,IF(N9=0,,N9+1))</f>
        <v>2</v>
      </c>
      <c r="O10" s="11"/>
      <c r="P10" s="20">
        <f t="shared" si="1"/>
        <v>10184.968168861738</v>
      </c>
      <c r="Q10" s="21">
        <f t="shared" si="2"/>
        <v>1718.886971290817</v>
      </c>
      <c r="R10" s="21">
        <f t="shared" si="3"/>
        <v>0</v>
      </c>
      <c r="S10" s="21">
        <f t="shared" si="4"/>
        <v>3612.0664858645623</v>
      </c>
      <c r="T10" s="21">
        <f t="shared" si="5"/>
        <v>0</v>
      </c>
      <c r="U10" s="21">
        <f t="shared" si="6"/>
        <v>0</v>
      </c>
      <c r="V10" s="20">
        <f t="shared" si="7"/>
        <v>0</v>
      </c>
      <c r="W10" s="18">
        <f t="shared" si="0"/>
        <v>15515.921626017116</v>
      </c>
      <c r="X10" s="3"/>
      <c r="Y10" s="6">
        <f t="shared" si="8"/>
        <v>12914.328913946039</v>
      </c>
      <c r="Z10" s="2"/>
      <c r="AA10" s="16" t="s">
        <v>150</v>
      </c>
      <c r="AB10" s="23">
        <f>B52</f>
        <v>61714.630652329739</v>
      </c>
      <c r="AC10" s="2" t="s">
        <v>3</v>
      </c>
      <c r="AD10" s="2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24" t="s">
        <v>151</v>
      </c>
      <c r="B11" s="2">
        <v>0</v>
      </c>
      <c r="C11" s="2" t="s">
        <v>36</v>
      </c>
      <c r="D11" s="2"/>
      <c r="E11" s="16" t="s">
        <v>43</v>
      </c>
      <c r="F11" s="2">
        <v>4</v>
      </c>
      <c r="G11" s="2" t="s">
        <v>36</v>
      </c>
      <c r="H11" s="15"/>
      <c r="I11" s="16" t="s">
        <v>38</v>
      </c>
      <c r="J11" s="6">
        <v>536</v>
      </c>
      <c r="K11" s="2" t="s">
        <v>131</v>
      </c>
      <c r="L11" s="15"/>
      <c r="M11" s="2"/>
      <c r="N11" s="11">
        <f t="shared" si="9"/>
        <v>3</v>
      </c>
      <c r="O11" s="11"/>
      <c r="P11" s="20">
        <f t="shared" si="1"/>
        <v>9793.2386239055177</v>
      </c>
      <c r="Q11" s="21">
        <f t="shared" si="2"/>
        <v>1669.3036932728126</v>
      </c>
      <c r="R11" s="21">
        <f t="shared" si="3"/>
        <v>0</v>
      </c>
      <c r="S11" s="21">
        <f t="shared" si="4"/>
        <v>3473.1408517928485</v>
      </c>
      <c r="T11" s="21">
        <f t="shared" si="5"/>
        <v>0</v>
      </c>
      <c r="U11" s="21">
        <f t="shared" si="6"/>
        <v>0</v>
      </c>
      <c r="V11" s="20">
        <f t="shared" si="7"/>
        <v>0</v>
      </c>
      <c r="W11" s="18">
        <f t="shared" si="0"/>
        <v>14935.683168971178</v>
      </c>
      <c r="X11" s="3"/>
      <c r="Y11" s="6">
        <f t="shared" si="8"/>
        <v>11411.107792372557</v>
      </c>
      <c r="Z11" s="2"/>
      <c r="AA11" s="2" t="s">
        <v>40</v>
      </c>
      <c r="AB11" s="6">
        <f>F12</f>
        <v>35000</v>
      </c>
      <c r="AC11" s="2" t="s">
        <v>41</v>
      </c>
      <c r="AD11" s="2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A12" s="24" t="s">
        <v>42</v>
      </c>
      <c r="B12" s="2">
        <v>0</v>
      </c>
      <c r="C12" s="2" t="s">
        <v>36</v>
      </c>
      <c r="D12" s="2"/>
      <c r="E12" s="16" t="s">
        <v>49</v>
      </c>
      <c r="F12" s="6">
        <v>35000</v>
      </c>
      <c r="G12" s="2" t="s">
        <v>41</v>
      </c>
      <c r="H12" s="15"/>
      <c r="I12" s="16" t="s">
        <v>44</v>
      </c>
      <c r="J12" s="6">
        <v>300</v>
      </c>
      <c r="K12" s="2" t="s">
        <v>45</v>
      </c>
      <c r="L12" s="15"/>
      <c r="M12" s="2"/>
      <c r="N12" s="11">
        <f t="shared" si="9"/>
        <v>4</v>
      </c>
      <c r="O12" s="11"/>
      <c r="P12" s="20">
        <f t="shared" si="1"/>
        <v>9416.5755999091507</v>
      </c>
      <c r="Q12" s="21">
        <f t="shared" si="2"/>
        <v>1621.1507021207121</v>
      </c>
      <c r="R12" s="21">
        <f t="shared" si="3"/>
        <v>0</v>
      </c>
      <c r="S12" s="21">
        <f t="shared" si="4"/>
        <v>3339.5585113392772</v>
      </c>
      <c r="T12" s="21">
        <f t="shared" si="5"/>
        <v>3769.6864824410904</v>
      </c>
      <c r="U12" s="21">
        <f t="shared" si="6"/>
        <v>0</v>
      </c>
      <c r="V12" s="20">
        <f t="shared" si="7"/>
        <v>0</v>
      </c>
      <c r="W12" s="18">
        <f t="shared" si="0"/>
        <v>18146.971295810232</v>
      </c>
      <c r="X12" s="3"/>
      <c r="Y12" s="6">
        <f t="shared" si="8"/>
        <v>10086.405092301324</v>
      </c>
      <c r="Z12" s="2"/>
      <c r="AA12" s="16" t="s">
        <v>46</v>
      </c>
      <c r="AB12" s="23">
        <f>J44</f>
        <v>871.49999999999989</v>
      </c>
      <c r="AC12" s="2" t="s">
        <v>47</v>
      </c>
      <c r="AD12" s="2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A13" s="24" t="s">
        <v>48</v>
      </c>
      <c r="B13" s="2">
        <v>8</v>
      </c>
      <c r="C13" s="2" t="s">
        <v>36</v>
      </c>
      <c r="D13" s="2"/>
      <c r="E13" s="16" t="s">
        <v>29</v>
      </c>
      <c r="F13" s="14">
        <v>0.5</v>
      </c>
      <c r="G13" s="2" t="s">
        <v>53</v>
      </c>
      <c r="H13" s="15"/>
      <c r="I13" s="16" t="s">
        <v>50</v>
      </c>
      <c r="J13" s="2">
        <v>30</v>
      </c>
      <c r="K13" s="2" t="s">
        <v>51</v>
      </c>
      <c r="L13" s="15"/>
      <c r="M13" s="2"/>
      <c r="N13" s="11">
        <f t="shared" si="9"/>
        <v>5</v>
      </c>
      <c r="O13" s="11"/>
      <c r="P13" s="20">
        <f t="shared" si="1"/>
        <v>9054.3996152972595</v>
      </c>
      <c r="Q13" s="21">
        <f t="shared" si="2"/>
        <v>1574.3867395595375</v>
      </c>
      <c r="R13" s="21">
        <f t="shared" si="3"/>
        <v>0</v>
      </c>
      <c r="S13" s="21">
        <f t="shared" si="4"/>
        <v>3211.1139532108432</v>
      </c>
      <c r="T13" s="21">
        <f t="shared" si="5"/>
        <v>0</v>
      </c>
      <c r="U13" s="21">
        <f t="shared" si="6"/>
        <v>0</v>
      </c>
      <c r="V13" s="20">
        <f t="shared" si="7"/>
        <v>0</v>
      </c>
      <c r="W13" s="18">
        <f t="shared" si="0"/>
        <v>13839.900308067639</v>
      </c>
      <c r="X13" s="3"/>
      <c r="Y13" s="6">
        <f t="shared" si="8"/>
        <v>8918.5525690389732</v>
      </c>
      <c r="Z13" s="2"/>
      <c r="AA13" s="69" t="s">
        <v>148</v>
      </c>
      <c r="AB13" s="67">
        <f>J26</f>
        <v>150</v>
      </c>
      <c r="AC13" s="69" t="s">
        <v>140</v>
      </c>
      <c r="AD13" s="2"/>
      <c r="AE13" s="6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A14" s="24" t="s">
        <v>52</v>
      </c>
      <c r="B14" s="2">
        <v>274.68</v>
      </c>
      <c r="C14" s="2" t="s">
        <v>28</v>
      </c>
      <c r="D14" s="2"/>
      <c r="E14" s="16" t="s">
        <v>56</v>
      </c>
      <c r="F14" s="2">
        <v>1</v>
      </c>
      <c r="G14" s="2" t="s">
        <v>57</v>
      </c>
      <c r="H14" s="15"/>
      <c r="I14" s="16" t="s">
        <v>54</v>
      </c>
      <c r="J14" s="5">
        <v>20</v>
      </c>
      <c r="K14" s="2" t="s">
        <v>36</v>
      </c>
      <c r="L14" s="15"/>
      <c r="M14" s="2"/>
      <c r="N14" s="11">
        <f t="shared" si="9"/>
        <v>6</v>
      </c>
      <c r="O14" s="11"/>
      <c r="P14" s="20">
        <f t="shared" si="1"/>
        <v>0</v>
      </c>
      <c r="Q14" s="21">
        <f t="shared" si="2"/>
        <v>1528.9717374568586</v>
      </c>
      <c r="R14" s="21">
        <f t="shared" si="3"/>
        <v>0</v>
      </c>
      <c r="S14" s="21">
        <f t="shared" si="4"/>
        <v>3087.6095703950414</v>
      </c>
      <c r="T14" s="21">
        <f t="shared" si="5"/>
        <v>0</v>
      </c>
      <c r="U14" s="21">
        <f t="shared" si="6"/>
        <v>0</v>
      </c>
      <c r="V14" s="20">
        <f t="shared" si="7"/>
        <v>0</v>
      </c>
      <c r="W14" s="18">
        <f t="shared" si="0"/>
        <v>4616.5813078519004</v>
      </c>
      <c r="X14" s="3"/>
      <c r="Y14" s="6">
        <f t="shared" si="8"/>
        <v>7888.5725706984504</v>
      </c>
      <c r="Z14" s="2"/>
      <c r="AA14" s="69" t="s">
        <v>178</v>
      </c>
      <c r="AB14" s="76">
        <f>J17</f>
        <v>0.14199999999999999</v>
      </c>
      <c r="AC14" s="69" t="s">
        <v>67</v>
      </c>
      <c r="AD14" s="2"/>
      <c r="AE14" s="6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A15" s="24" t="s">
        <v>165</v>
      </c>
      <c r="B15" s="2">
        <v>350</v>
      </c>
      <c r="C15" s="2" t="s">
        <v>28</v>
      </c>
      <c r="D15" s="2"/>
      <c r="E15" s="16" t="s">
        <v>61</v>
      </c>
      <c r="F15" s="2">
        <v>0</v>
      </c>
      <c r="G15" s="2" t="s">
        <v>62</v>
      </c>
      <c r="H15" s="15"/>
      <c r="I15" s="16" t="s">
        <v>58</v>
      </c>
      <c r="J15" s="2">
        <v>7.08</v>
      </c>
      <c r="K15" s="2" t="s">
        <v>59</v>
      </c>
      <c r="L15" s="15"/>
      <c r="M15" s="2"/>
      <c r="N15" s="11">
        <f t="shared" si="9"/>
        <v>7</v>
      </c>
      <c r="O15" s="11"/>
      <c r="P15" s="20">
        <f t="shared" si="1"/>
        <v>0</v>
      </c>
      <c r="Q15" s="21">
        <f t="shared" si="2"/>
        <v>1484.8667834917574</v>
      </c>
      <c r="R15" s="21">
        <f t="shared" si="3"/>
        <v>0</v>
      </c>
      <c r="S15" s="21">
        <f t="shared" si="4"/>
        <v>2968.8553561490785</v>
      </c>
      <c r="T15" s="21">
        <f t="shared" si="5"/>
        <v>0</v>
      </c>
      <c r="U15" s="21">
        <f t="shared" si="6"/>
        <v>0</v>
      </c>
      <c r="V15" s="20">
        <f t="shared" si="7"/>
        <v>0</v>
      </c>
      <c r="W15" s="18">
        <f t="shared" si="0"/>
        <v>4453.7221396408358</v>
      </c>
      <c r="X15" s="3"/>
      <c r="Y15" s="6">
        <f t="shared" si="8"/>
        <v>6979.8362772511118</v>
      </c>
      <c r="Z15" s="2"/>
      <c r="AA15" s="2"/>
      <c r="AB15" s="2"/>
      <c r="AC15" s="2"/>
      <c r="AD15" s="2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A16" s="24" t="s">
        <v>60</v>
      </c>
      <c r="B16" s="2">
        <v>5</v>
      </c>
      <c r="C16" s="2" t="s">
        <v>36</v>
      </c>
      <c r="D16" s="2"/>
      <c r="E16" s="16" t="s">
        <v>65</v>
      </c>
      <c r="F16" s="6">
        <v>340</v>
      </c>
      <c r="G16" s="2" t="s">
        <v>62</v>
      </c>
      <c r="H16" s="15"/>
      <c r="I16" s="16" t="s">
        <v>63</v>
      </c>
      <c r="J16" s="2">
        <v>11</v>
      </c>
      <c r="K16" s="2" t="s">
        <v>59</v>
      </c>
      <c r="L16" s="15"/>
      <c r="M16" s="2"/>
      <c r="N16" s="11">
        <f t="shared" si="9"/>
        <v>8</v>
      </c>
      <c r="O16" s="11"/>
      <c r="P16" s="20">
        <f t="shared" si="1"/>
        <v>0</v>
      </c>
      <c r="Q16" s="21">
        <f t="shared" si="2"/>
        <v>1442.0340878141096</v>
      </c>
      <c r="R16" s="21">
        <f t="shared" si="3"/>
        <v>0</v>
      </c>
      <c r="S16" s="21">
        <f t="shared" si="4"/>
        <v>2854.6686116818059</v>
      </c>
      <c r="T16" s="21">
        <f t="shared" si="5"/>
        <v>3222.3438040587484</v>
      </c>
      <c r="U16" s="21">
        <f t="shared" si="6"/>
        <v>0</v>
      </c>
      <c r="V16" s="20">
        <f t="shared" si="7"/>
        <v>0</v>
      </c>
      <c r="W16" s="18">
        <f t="shared" si="0"/>
        <v>7519.046503554664</v>
      </c>
      <c r="X16" s="3"/>
      <c r="Y16" s="6">
        <f t="shared" si="8"/>
        <v>6177.7662987254625</v>
      </c>
      <c r="Z16" s="2"/>
      <c r="AA16" s="2"/>
      <c r="AB16" s="2"/>
      <c r="AC16" s="2"/>
      <c r="AD16" s="2"/>
      <c r="AE16" s="6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s="24" t="s">
        <v>64</v>
      </c>
      <c r="B17" s="6">
        <v>72001</v>
      </c>
      <c r="C17" s="2" t="s">
        <v>28</v>
      </c>
      <c r="D17" s="2"/>
      <c r="E17" s="16" t="s">
        <v>132</v>
      </c>
      <c r="F17" s="2">
        <v>190</v>
      </c>
      <c r="G17" s="2" t="s">
        <v>62</v>
      </c>
      <c r="H17" s="15"/>
      <c r="I17" s="16" t="s">
        <v>66</v>
      </c>
      <c r="J17" s="14">
        <v>0.14199999999999999</v>
      </c>
      <c r="K17" s="2" t="s">
        <v>67</v>
      </c>
      <c r="L17" s="15"/>
      <c r="M17" s="2"/>
      <c r="N17" s="11">
        <f t="shared" si="9"/>
        <v>9</v>
      </c>
      <c r="O17" s="11"/>
      <c r="P17" s="20">
        <f t="shared" si="1"/>
        <v>0</v>
      </c>
      <c r="Q17" s="21">
        <f t="shared" si="2"/>
        <v>1400.4369506656262</v>
      </c>
      <c r="R17" s="21">
        <f t="shared" si="3"/>
        <v>0</v>
      </c>
      <c r="S17" s="21">
        <f t="shared" si="4"/>
        <v>2744.8736650786591</v>
      </c>
      <c r="T17" s="21">
        <f t="shared" si="5"/>
        <v>0</v>
      </c>
      <c r="U17" s="21">
        <f t="shared" si="6"/>
        <v>0</v>
      </c>
      <c r="V17" s="20">
        <f t="shared" si="7"/>
        <v>0</v>
      </c>
      <c r="W17" s="18">
        <f t="shared" si="0"/>
        <v>4145.3106157442853</v>
      </c>
      <c r="X17" s="3"/>
      <c r="Y17" s="6">
        <f t="shared" si="8"/>
        <v>5469.5777601846103</v>
      </c>
      <c r="Z17" s="2"/>
      <c r="AA17" s="2"/>
      <c r="AB17" s="2"/>
      <c r="AC17" s="2"/>
      <c r="AD17" s="2"/>
      <c r="AE17" s="6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s="24" t="s">
        <v>68</v>
      </c>
      <c r="B18" s="6">
        <v>-15000</v>
      </c>
      <c r="C18" s="2" t="s">
        <v>28</v>
      </c>
      <c r="D18" s="2"/>
      <c r="E18" s="16" t="s">
        <v>69</v>
      </c>
      <c r="F18" s="6">
        <v>0</v>
      </c>
      <c r="G18" s="2" t="s">
        <v>70</v>
      </c>
      <c r="H18" s="15"/>
      <c r="I18" s="2"/>
      <c r="J18" s="2"/>
      <c r="K18" s="2"/>
      <c r="L18" s="15"/>
      <c r="M18" s="2"/>
      <c r="N18" s="11">
        <f t="shared" si="9"/>
        <v>10</v>
      </c>
      <c r="O18" s="11"/>
      <c r="P18" s="20">
        <f t="shared" si="1"/>
        <v>0</v>
      </c>
      <c r="Q18" s="21">
        <f t="shared" si="2"/>
        <v>1360.0397309348868</v>
      </c>
      <c r="R18" s="21">
        <f t="shared" si="3"/>
        <v>0</v>
      </c>
      <c r="S18" s="21">
        <f t="shared" si="4"/>
        <v>2639.3016010371725</v>
      </c>
      <c r="T18" s="21">
        <f t="shared" si="5"/>
        <v>0</v>
      </c>
      <c r="U18" s="21">
        <f t="shared" si="6"/>
        <v>0</v>
      </c>
      <c r="V18" s="20">
        <f t="shared" si="7"/>
        <v>-4844.0527920955838</v>
      </c>
      <c r="W18" s="18">
        <f t="shared" si="0"/>
        <v>-844.71146012352438</v>
      </c>
      <c r="X18" s="3"/>
      <c r="Y18" s="6">
        <f t="shared" si="8"/>
        <v>4844.0527920955838</v>
      </c>
      <c r="Z18" s="2"/>
      <c r="AA18" s="2"/>
      <c r="AB18" s="2"/>
      <c r="AC18" s="2"/>
      <c r="AD18" s="2"/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24" t="s">
        <v>71</v>
      </c>
      <c r="B19" s="2">
        <v>28.34</v>
      </c>
      <c r="C19" s="2" t="s">
        <v>28</v>
      </c>
      <c r="D19" s="2"/>
      <c r="E19" s="16" t="s">
        <v>46</v>
      </c>
      <c r="F19" s="33">
        <v>3.3614999999999999E-2</v>
      </c>
      <c r="G19" s="2" t="s">
        <v>133</v>
      </c>
      <c r="H19" s="15"/>
      <c r="I19" s="1" t="s">
        <v>76</v>
      </c>
      <c r="J19" s="2"/>
      <c r="K19" s="2"/>
      <c r="L19" s="15"/>
      <c r="M19" s="2"/>
      <c r="N19" s="11">
        <f t="shared" si="9"/>
        <v>0</v>
      </c>
      <c r="O19" s="11"/>
      <c r="P19" s="20">
        <f t="shared" si="1"/>
        <v>0</v>
      </c>
      <c r="Q19" s="21">
        <f t="shared" si="2"/>
        <v>0</v>
      </c>
      <c r="R19" s="21">
        <f t="shared" si="3"/>
        <v>0</v>
      </c>
      <c r="S19" s="21">
        <f t="shared" si="4"/>
        <v>0</v>
      </c>
      <c r="T19" s="21">
        <f t="shared" si="5"/>
        <v>0</v>
      </c>
      <c r="U19" s="21">
        <f t="shared" si="6"/>
        <v>0</v>
      </c>
      <c r="V19" s="20">
        <f t="shared" ref="V19:V48" si="10">IF(N19=$B$5,((((1-$J$15/100)^N19)*$B$52+((1-$J$16/100)^N19)*$B$48)/((1+($F$11/100))^N19))*-1,0)</f>
        <v>0</v>
      </c>
      <c r="W19" s="18">
        <f t="shared" si="0"/>
        <v>0</v>
      </c>
      <c r="X19" s="3"/>
      <c r="Y19" s="6">
        <f t="shared" si="8"/>
        <v>0</v>
      </c>
      <c r="Z19" s="2"/>
      <c r="AA19" s="2"/>
      <c r="AB19" s="2"/>
      <c r="AC19" s="2"/>
      <c r="AD19" s="2"/>
      <c r="AE19" s="6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24" t="s">
        <v>72</v>
      </c>
      <c r="B20" s="6">
        <v>1000</v>
      </c>
      <c r="C20" s="2" t="s">
        <v>28</v>
      </c>
      <c r="D20" s="2"/>
      <c r="E20" s="16" t="s">
        <v>73</v>
      </c>
      <c r="F20" s="2">
        <v>5.5</v>
      </c>
      <c r="G20" s="2" t="s">
        <v>59</v>
      </c>
      <c r="H20" s="15"/>
      <c r="I20" s="24" t="s">
        <v>81</v>
      </c>
      <c r="J20" s="2">
        <v>5</v>
      </c>
      <c r="K20" s="2" t="s">
        <v>51</v>
      </c>
      <c r="L20" s="15"/>
      <c r="M20" s="2"/>
      <c r="N20" s="11">
        <f t="shared" si="9"/>
        <v>0</v>
      </c>
      <c r="O20" s="11"/>
      <c r="P20" s="20">
        <f t="shared" si="1"/>
        <v>0</v>
      </c>
      <c r="Q20" s="21">
        <f t="shared" si="2"/>
        <v>0</v>
      </c>
      <c r="R20" s="21">
        <f t="shared" si="3"/>
        <v>0</v>
      </c>
      <c r="S20" s="21">
        <f t="shared" si="4"/>
        <v>0</v>
      </c>
      <c r="T20" s="21">
        <f t="shared" si="5"/>
        <v>0</v>
      </c>
      <c r="U20" s="21">
        <f t="shared" si="6"/>
        <v>0</v>
      </c>
      <c r="V20" s="20">
        <f t="shared" si="10"/>
        <v>0</v>
      </c>
      <c r="W20" s="18">
        <f t="shared" si="0"/>
        <v>0</v>
      </c>
      <c r="X20" s="3"/>
      <c r="Y20" s="6">
        <f t="shared" si="8"/>
        <v>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16" t="s">
        <v>74</v>
      </c>
      <c r="F21" s="2">
        <v>100</v>
      </c>
      <c r="G21" s="2" t="s">
        <v>62</v>
      </c>
      <c r="H21" s="15"/>
      <c r="I21" s="16" t="s">
        <v>84</v>
      </c>
      <c r="J21" s="2">
        <v>30</v>
      </c>
      <c r="K21" s="2" t="s">
        <v>85</v>
      </c>
      <c r="L21" s="15"/>
      <c r="M21" s="2"/>
      <c r="N21" s="11">
        <f t="shared" si="9"/>
        <v>0</v>
      </c>
      <c r="O21" s="11"/>
      <c r="P21" s="20">
        <f t="shared" si="1"/>
        <v>0</v>
      </c>
      <c r="Q21" s="21">
        <f t="shared" si="2"/>
        <v>0</v>
      </c>
      <c r="R21" s="21">
        <f t="shared" si="3"/>
        <v>0</v>
      </c>
      <c r="S21" s="21">
        <f t="shared" si="4"/>
        <v>0</v>
      </c>
      <c r="T21" s="21">
        <f t="shared" si="5"/>
        <v>0</v>
      </c>
      <c r="U21" s="21">
        <f t="shared" si="6"/>
        <v>0</v>
      </c>
      <c r="V21" s="20">
        <f t="shared" si="10"/>
        <v>0</v>
      </c>
      <c r="W21" s="18">
        <f t="shared" si="0"/>
        <v>0</v>
      </c>
      <c r="X21" s="3"/>
      <c r="Y21" s="6">
        <f t="shared" si="8"/>
        <v>0</v>
      </c>
      <c r="Z21" s="2"/>
      <c r="AA21" s="25" t="s">
        <v>29</v>
      </c>
      <c r="AB21" s="26"/>
      <c r="AC21" s="26"/>
      <c r="AD21" s="26"/>
      <c r="AE21" s="2"/>
      <c r="AF21" s="25" t="s">
        <v>27</v>
      </c>
      <c r="AG21" s="26"/>
      <c r="AH21" s="26"/>
      <c r="AI21" s="26"/>
      <c r="AJ21" s="2"/>
      <c r="AK21" s="96" t="s">
        <v>169</v>
      </c>
      <c r="AL21" s="96" t="s">
        <v>170</v>
      </c>
      <c r="AM21" s="96" t="s">
        <v>171</v>
      </c>
      <c r="AN21" s="96" t="s">
        <v>32</v>
      </c>
      <c r="AO21" s="96" t="s">
        <v>172</v>
      </c>
      <c r="AP21" s="96" t="s">
        <v>173</v>
      </c>
      <c r="AQ21" s="105" t="str">
        <f>AA66</f>
        <v>Energy Efficiency</v>
      </c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16" t="s">
        <v>75</v>
      </c>
      <c r="F22" s="2">
        <v>327</v>
      </c>
      <c r="G22" s="2" t="s">
        <v>62</v>
      </c>
      <c r="H22" s="15"/>
      <c r="I22" s="65"/>
      <c r="J22" s="65"/>
      <c r="K22" s="65"/>
      <c r="L22" s="15"/>
      <c r="M22" s="2"/>
      <c r="N22" s="11">
        <f t="shared" si="9"/>
        <v>0</v>
      </c>
      <c r="O22" s="11"/>
      <c r="P22" s="20">
        <f t="shared" si="1"/>
        <v>0</v>
      </c>
      <c r="Q22" s="21">
        <f t="shared" si="2"/>
        <v>0</v>
      </c>
      <c r="R22" s="21">
        <f t="shared" si="3"/>
        <v>0</v>
      </c>
      <c r="S22" s="21">
        <f t="shared" si="4"/>
        <v>0</v>
      </c>
      <c r="T22" s="21">
        <f t="shared" si="5"/>
        <v>0</v>
      </c>
      <c r="U22" s="21">
        <f t="shared" si="6"/>
        <v>0</v>
      </c>
      <c r="V22" s="20">
        <f t="shared" si="10"/>
        <v>0</v>
      </c>
      <c r="W22" s="18">
        <f t="shared" si="0"/>
        <v>0</v>
      </c>
      <c r="X22" s="3"/>
      <c r="Y22" s="6">
        <f t="shared" si="8"/>
        <v>0</v>
      </c>
      <c r="Z22" s="2"/>
      <c r="AA22" s="26" t="s">
        <v>77</v>
      </c>
      <c r="AB22" s="26" t="s">
        <v>78</v>
      </c>
      <c r="AC22" s="26" t="s">
        <v>22</v>
      </c>
      <c r="AD22" s="26" t="s">
        <v>79</v>
      </c>
      <c r="AE22" s="2"/>
      <c r="AF22" s="26" t="s">
        <v>77</v>
      </c>
      <c r="AG22" s="26" t="s">
        <v>80</v>
      </c>
      <c r="AH22" s="26" t="s">
        <v>22</v>
      </c>
      <c r="AI22" s="26" t="s">
        <v>79</v>
      </c>
      <c r="AJ22" s="2"/>
      <c r="AK22" s="97">
        <v>-50</v>
      </c>
      <c r="AL22" s="98">
        <f>AI24</f>
        <v>-28.879519216141848</v>
      </c>
      <c r="AM22" s="98">
        <f>AD24</f>
        <v>-6.6560352274971022</v>
      </c>
      <c r="AN22" s="99">
        <f t="shared" ref="AN22:AN32" si="11">AD39</f>
        <v>-1.916142552930034</v>
      </c>
      <c r="AO22" s="99">
        <f t="shared" ref="AO22:AO32" si="12">AI39</f>
        <v>-13.006787041771013</v>
      </c>
      <c r="AP22" s="99">
        <f>AD54</f>
        <v>-3.0217786067622328</v>
      </c>
      <c r="AQ22" s="106">
        <f>AD69</f>
        <v>6.6560352274971271</v>
      </c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16" t="s">
        <v>161</v>
      </c>
      <c r="F23" s="2">
        <v>68.67</v>
      </c>
      <c r="G23" s="2" t="s">
        <v>62</v>
      </c>
      <c r="H23" s="15"/>
      <c r="I23" s="57" t="s">
        <v>135</v>
      </c>
      <c r="J23" s="58"/>
      <c r="K23" s="58"/>
      <c r="L23" s="59"/>
      <c r="M23" s="2"/>
      <c r="N23" s="11">
        <f t="shared" si="9"/>
        <v>0</v>
      </c>
      <c r="O23" s="11"/>
      <c r="P23" s="20">
        <f t="shared" si="1"/>
        <v>0</v>
      </c>
      <c r="Q23" s="21">
        <f t="shared" si="2"/>
        <v>0</v>
      </c>
      <c r="R23" s="21">
        <f t="shared" si="3"/>
        <v>0</v>
      </c>
      <c r="S23" s="21">
        <f t="shared" si="4"/>
        <v>0</v>
      </c>
      <c r="T23" s="21">
        <f t="shared" si="5"/>
        <v>0</v>
      </c>
      <c r="U23" s="21">
        <f t="shared" si="6"/>
        <v>0</v>
      </c>
      <c r="V23" s="20">
        <f t="shared" si="10"/>
        <v>0</v>
      </c>
      <c r="W23" s="18">
        <f t="shared" si="0"/>
        <v>0</v>
      </c>
      <c r="X23" s="3"/>
      <c r="Y23" s="6">
        <f t="shared" si="8"/>
        <v>0</v>
      </c>
      <c r="Z23" s="2"/>
      <c r="AA23" s="26" t="s">
        <v>82</v>
      </c>
      <c r="AB23" s="28">
        <v>0.37037037037037035</v>
      </c>
      <c r="AC23" s="29">
        <f>W49</f>
        <v>116961.67376209161</v>
      </c>
      <c r="AD23" s="26"/>
      <c r="AE23" s="2"/>
      <c r="AF23" s="26" t="s">
        <v>83</v>
      </c>
      <c r="AG23" s="30">
        <v>61714.630652329739</v>
      </c>
      <c r="AH23" s="29">
        <f>W49</f>
        <v>116961.67376209161</v>
      </c>
      <c r="AI23" s="26"/>
      <c r="AJ23" s="2"/>
      <c r="AK23" s="97">
        <v>-40</v>
      </c>
      <c r="AL23" s="98">
        <f>AI25</f>
        <v>-23.103615372913463</v>
      </c>
      <c r="AM23" s="98">
        <f t="shared" ref="AM23:AM32" si="13">AD25</f>
        <v>-5.3248281819976695</v>
      </c>
      <c r="AN23" s="99">
        <f t="shared" si="11"/>
        <v>-1.5329140423440371</v>
      </c>
      <c r="AO23" s="99">
        <f t="shared" si="12"/>
        <v>-10.85505940296909</v>
      </c>
      <c r="AP23" s="99">
        <f t="shared" ref="AP23:AP32" si="14">AD55</f>
        <v>-2.4174228854097914</v>
      </c>
      <c r="AQ23" s="106">
        <f t="shared" ref="AQ23:AQ32" si="15">AD70</f>
        <v>5.3248281819977068</v>
      </c>
      <c r="AR23" s="33"/>
      <c r="AS23" s="33"/>
      <c r="AT23" s="33"/>
      <c r="AU23" s="33"/>
      <c r="AV23" s="33"/>
      <c r="AW23" s="33"/>
      <c r="AX23" s="33"/>
    </row>
    <row r="24" spans="1:50" ht="15.75" customHeight="1" x14ac:dyDescent="0.25">
      <c r="A24" s="13"/>
      <c r="B24" s="2"/>
      <c r="C24" s="2"/>
      <c r="D24" s="2"/>
      <c r="E24" s="16" t="s">
        <v>159</v>
      </c>
      <c r="F24" s="6">
        <v>3000</v>
      </c>
      <c r="G24" s="2" t="s">
        <v>62</v>
      </c>
      <c r="H24" s="15"/>
      <c r="I24" s="58" t="s">
        <v>136</v>
      </c>
      <c r="J24" s="60" t="s">
        <v>134</v>
      </c>
      <c r="K24" s="58"/>
      <c r="L24" s="59"/>
      <c r="M24" s="2"/>
      <c r="N24" s="11">
        <f t="shared" si="9"/>
        <v>0</v>
      </c>
      <c r="O24" s="11"/>
      <c r="P24" s="20">
        <f t="shared" si="1"/>
        <v>0</v>
      </c>
      <c r="Q24" s="21">
        <f t="shared" si="2"/>
        <v>0</v>
      </c>
      <c r="R24" s="21">
        <f t="shared" si="3"/>
        <v>0</v>
      </c>
      <c r="S24" s="21">
        <f t="shared" si="4"/>
        <v>0</v>
      </c>
      <c r="T24" s="21">
        <f t="shared" si="5"/>
        <v>0</v>
      </c>
      <c r="U24" s="21">
        <f t="shared" si="6"/>
        <v>0</v>
      </c>
      <c r="V24" s="20">
        <f t="shared" si="10"/>
        <v>0</v>
      </c>
      <c r="W24" s="18">
        <f t="shared" si="0"/>
        <v>0</v>
      </c>
      <c r="X24" s="3"/>
      <c r="Y24" s="6">
        <f t="shared" si="8"/>
        <v>0</v>
      </c>
      <c r="Z24" s="2"/>
      <c r="AA24" s="26">
        <f t="shared" ref="AA24:AA28" si="16">AA25-10</f>
        <v>-50</v>
      </c>
      <c r="AB24" s="28">
        <f t="shared" ref="AB24:AB34" si="17">$AB$23*(1+(AA24/100))</f>
        <v>0.18518518518518517</v>
      </c>
      <c r="AC24" s="29">
        <f t="dataTable" ref="AC24:AC34" dt2D="0" dtr="0" r1="F36" ca="1"/>
        <v>109176.66355381656</v>
      </c>
      <c r="AD24" s="34">
        <f t="shared" ref="AD24:AD34" si="18">100*((AC24-$AC$29)/$AC$29)</f>
        <v>-6.6560352274971022</v>
      </c>
      <c r="AE24" s="2"/>
      <c r="AF24" s="26">
        <f t="shared" ref="AF24:AF28" si="19">AF25-10</f>
        <v>-50</v>
      </c>
      <c r="AG24" s="30">
        <f t="shared" ref="AG24:AG34" si="20">$AG$23*(1+(AF24/100))</f>
        <v>30857.315326164869</v>
      </c>
      <c r="AH24" s="29">
        <f t="dataTable" ref="AH24:AH34" dt2D="0" dtr="0" r1="B52" ca="1"/>
        <v>83183.70471244723</v>
      </c>
      <c r="AI24" s="34">
        <f t="shared" ref="AI24:AI34" si="21">100*((AH24-$AH$29)/$AH$29)</f>
        <v>-28.879519216141848</v>
      </c>
      <c r="AJ24" s="2"/>
      <c r="AK24" s="97">
        <v>-30</v>
      </c>
      <c r="AL24" s="98">
        <f t="shared" ref="AL24:AL32" si="22">AI26</f>
        <v>-17.327711529685104</v>
      </c>
      <c r="AM24" s="98">
        <f t="shared" si="13"/>
        <v>-3.9936211364982612</v>
      </c>
      <c r="AN24" s="99">
        <f t="shared" si="11"/>
        <v>-1.1496855317580279</v>
      </c>
      <c r="AO24" s="99">
        <f t="shared" si="12"/>
        <v>-8.8048868687146911</v>
      </c>
      <c r="AP24" s="99">
        <f t="shared" si="14"/>
        <v>-1.8130671640573373</v>
      </c>
      <c r="AQ24" s="106">
        <f t="shared" si="15"/>
        <v>3.9936211364982861</v>
      </c>
      <c r="AR24" s="33"/>
      <c r="AS24" s="33"/>
      <c r="AT24" s="33"/>
      <c r="AU24" s="33"/>
      <c r="AV24" s="33"/>
      <c r="AW24" s="33"/>
      <c r="AX24" s="33"/>
    </row>
    <row r="25" spans="1:50" ht="15.75" customHeight="1" x14ac:dyDescent="0.25">
      <c r="A25" s="13"/>
      <c r="B25" s="2"/>
      <c r="C25" s="2"/>
      <c r="D25" s="2"/>
      <c r="E25" s="16" t="s">
        <v>162</v>
      </c>
      <c r="F25" s="6"/>
      <c r="G25" s="2" t="s">
        <v>62</v>
      </c>
      <c r="H25" s="15"/>
      <c r="I25" s="61" t="s">
        <v>137</v>
      </c>
      <c r="J25" s="61">
        <v>1.3</v>
      </c>
      <c r="K25" s="61" t="s">
        <v>138</v>
      </c>
      <c r="L25" s="59"/>
      <c r="M25" s="2"/>
      <c r="N25" s="11">
        <f t="shared" si="9"/>
        <v>0</v>
      </c>
      <c r="O25" s="11"/>
      <c r="P25" s="20">
        <f t="shared" si="1"/>
        <v>0</v>
      </c>
      <c r="Q25" s="21">
        <f t="shared" si="2"/>
        <v>0</v>
      </c>
      <c r="R25" s="21">
        <f t="shared" si="3"/>
        <v>0</v>
      </c>
      <c r="S25" s="21">
        <f t="shared" si="4"/>
        <v>0</v>
      </c>
      <c r="T25" s="21">
        <f t="shared" si="5"/>
        <v>0</v>
      </c>
      <c r="U25" s="21">
        <f t="shared" si="6"/>
        <v>0</v>
      </c>
      <c r="V25" s="20">
        <f t="shared" si="10"/>
        <v>0</v>
      </c>
      <c r="W25" s="18">
        <f t="shared" si="0"/>
        <v>0</v>
      </c>
      <c r="X25" s="3"/>
      <c r="Y25" s="6">
        <f t="shared" si="8"/>
        <v>0</v>
      </c>
      <c r="Z25" s="2"/>
      <c r="AA25" s="26">
        <f t="shared" si="16"/>
        <v>-40</v>
      </c>
      <c r="AB25" s="28">
        <f t="shared" si="17"/>
        <v>0.22222222222222221</v>
      </c>
      <c r="AC25" s="29">
        <v>110733.66559547158</v>
      </c>
      <c r="AD25" s="34">
        <f t="shared" si="18"/>
        <v>-5.3248281819976695</v>
      </c>
      <c r="AE25" s="2"/>
      <c r="AF25" s="26">
        <f t="shared" si="19"/>
        <v>-40</v>
      </c>
      <c r="AG25" s="30">
        <f t="shared" si="20"/>
        <v>37028.778391397842</v>
      </c>
      <c r="AH25" s="29">
        <v>89939.298522376121</v>
      </c>
      <c r="AI25" s="34">
        <f t="shared" si="21"/>
        <v>-23.103615372913463</v>
      </c>
      <c r="AJ25" s="2"/>
      <c r="AK25" s="97">
        <v>-20</v>
      </c>
      <c r="AL25" s="98">
        <f t="shared" si="22"/>
        <v>-11.551807686456725</v>
      </c>
      <c r="AM25" s="98">
        <f t="shared" si="13"/>
        <v>-2.662414090998841</v>
      </c>
      <c r="AN25" s="99">
        <f t="shared" si="11"/>
        <v>-0.76645702117201853</v>
      </c>
      <c r="AO25" s="99">
        <f t="shared" si="12"/>
        <v>-4.2029382965398199</v>
      </c>
      <c r="AP25" s="99">
        <f t="shared" si="14"/>
        <v>-1.2087114427048957</v>
      </c>
      <c r="AQ25" s="106">
        <f t="shared" si="15"/>
        <v>2.6624140909988658</v>
      </c>
      <c r="AR25" s="33"/>
      <c r="AS25" s="33"/>
      <c r="AT25" s="33"/>
      <c r="AU25" s="33"/>
      <c r="AV25" s="33"/>
      <c r="AW25" s="33"/>
      <c r="AX25" s="33"/>
    </row>
    <row r="26" spans="1:50" ht="15.75" customHeight="1" x14ac:dyDescent="0.25">
      <c r="A26" s="36"/>
      <c r="B26" s="37"/>
      <c r="C26" s="37"/>
      <c r="D26" s="37"/>
      <c r="E26" s="38" t="s">
        <v>164</v>
      </c>
      <c r="F26" s="37">
        <v>72</v>
      </c>
      <c r="G26" s="37" t="s">
        <v>62</v>
      </c>
      <c r="H26" s="39"/>
      <c r="I26" s="62" t="s">
        <v>139</v>
      </c>
      <c r="J26" s="63">
        <f>J12/2</f>
        <v>150</v>
      </c>
      <c r="K26" s="62" t="s">
        <v>140</v>
      </c>
      <c r="L26" s="64"/>
      <c r="M26" s="2"/>
      <c r="N26" s="11">
        <f t="shared" si="9"/>
        <v>0</v>
      </c>
      <c r="O26" s="11"/>
      <c r="P26" s="20">
        <f t="shared" si="1"/>
        <v>0</v>
      </c>
      <c r="Q26" s="21">
        <f t="shared" si="2"/>
        <v>0</v>
      </c>
      <c r="R26" s="21">
        <f t="shared" si="3"/>
        <v>0</v>
      </c>
      <c r="S26" s="21">
        <f t="shared" si="4"/>
        <v>0</v>
      </c>
      <c r="T26" s="21">
        <f t="shared" si="5"/>
        <v>0</v>
      </c>
      <c r="U26" s="21">
        <f t="shared" si="6"/>
        <v>0</v>
      </c>
      <c r="V26" s="20">
        <f t="shared" si="10"/>
        <v>0</v>
      </c>
      <c r="W26" s="18">
        <f t="shared" si="0"/>
        <v>0</v>
      </c>
      <c r="X26" s="3"/>
      <c r="Y26" s="6">
        <f t="shared" si="8"/>
        <v>0</v>
      </c>
      <c r="Z26" s="2"/>
      <c r="AA26" s="26">
        <f t="shared" si="16"/>
        <v>-30</v>
      </c>
      <c r="AB26" s="28">
        <f t="shared" si="17"/>
        <v>0.25925925925925924</v>
      </c>
      <c r="AC26" s="29">
        <v>112290.66763712658</v>
      </c>
      <c r="AD26" s="34">
        <f t="shared" si="18"/>
        <v>-3.9936211364982612</v>
      </c>
      <c r="AE26" s="2"/>
      <c r="AF26" s="26">
        <f t="shared" si="19"/>
        <v>-30</v>
      </c>
      <c r="AG26" s="30">
        <f t="shared" si="20"/>
        <v>43200.241456630814</v>
      </c>
      <c r="AH26" s="29">
        <v>96694.892332304982</v>
      </c>
      <c r="AI26" s="34">
        <f t="shared" si="21"/>
        <v>-17.327711529685104</v>
      </c>
      <c r="AJ26" s="2"/>
      <c r="AK26" s="97">
        <v>-10</v>
      </c>
      <c r="AL26" s="98">
        <f t="shared" si="22"/>
        <v>-5.775903843228356</v>
      </c>
      <c r="AM26" s="98">
        <f t="shared" si="13"/>
        <v>-1.3312070454994329</v>
      </c>
      <c r="AN26" s="99">
        <f t="shared" si="11"/>
        <v>-0.38322851058600926</v>
      </c>
      <c r="AO26" s="99">
        <f t="shared" si="12"/>
        <v>-2.267375529687945</v>
      </c>
      <c r="AP26" s="99">
        <f t="shared" si="14"/>
        <v>-0.60435572135244153</v>
      </c>
      <c r="AQ26" s="106">
        <f t="shared" si="15"/>
        <v>1.3312070454994205</v>
      </c>
      <c r="AR26" s="33"/>
      <c r="AS26" s="33"/>
      <c r="AT26" s="33"/>
      <c r="AU26" s="33"/>
      <c r="AV26" s="33"/>
      <c r="AW26" s="33"/>
      <c r="AX26" s="33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9"/>
        <v>0</v>
      </c>
      <c r="O27" s="11"/>
      <c r="P27" s="20">
        <f t="shared" si="1"/>
        <v>0</v>
      </c>
      <c r="Q27" s="21">
        <f t="shared" si="2"/>
        <v>0</v>
      </c>
      <c r="R27" s="21">
        <f t="shared" si="3"/>
        <v>0</v>
      </c>
      <c r="S27" s="21">
        <f t="shared" si="4"/>
        <v>0</v>
      </c>
      <c r="T27" s="21">
        <f t="shared" si="5"/>
        <v>0</v>
      </c>
      <c r="U27" s="21">
        <f t="shared" si="6"/>
        <v>0</v>
      </c>
      <c r="V27" s="20">
        <f t="shared" si="10"/>
        <v>0</v>
      </c>
      <c r="W27" s="18">
        <f t="shared" si="0"/>
        <v>0</v>
      </c>
      <c r="X27" s="3"/>
      <c r="Y27" s="6">
        <f t="shared" si="8"/>
        <v>0</v>
      </c>
      <c r="Z27" s="2"/>
      <c r="AA27" s="26">
        <f t="shared" si="16"/>
        <v>-20</v>
      </c>
      <c r="AB27" s="28">
        <f t="shared" si="17"/>
        <v>0.29629629629629628</v>
      </c>
      <c r="AC27" s="29">
        <v>113847.66967878159</v>
      </c>
      <c r="AD27" s="34">
        <f t="shared" si="18"/>
        <v>-2.662414090998841</v>
      </c>
      <c r="AE27" s="2"/>
      <c r="AF27" s="26">
        <f t="shared" si="19"/>
        <v>-20</v>
      </c>
      <c r="AG27" s="30">
        <f t="shared" si="20"/>
        <v>49371.704521863794</v>
      </c>
      <c r="AH27" s="29">
        <v>103450.48614223387</v>
      </c>
      <c r="AI27" s="34">
        <f t="shared" si="21"/>
        <v>-11.551807686456725</v>
      </c>
      <c r="AJ27" s="2"/>
      <c r="AK27" s="97">
        <v>0</v>
      </c>
      <c r="AL27" s="98">
        <f t="shared" si="22"/>
        <v>0</v>
      </c>
      <c r="AM27" s="98">
        <f t="shared" si="13"/>
        <v>0</v>
      </c>
      <c r="AN27" s="99">
        <f t="shared" si="11"/>
        <v>0</v>
      </c>
      <c r="AO27" s="99">
        <f t="shared" si="12"/>
        <v>0</v>
      </c>
      <c r="AP27" s="99">
        <f t="shared" si="14"/>
        <v>0</v>
      </c>
      <c r="AQ27" s="106">
        <f t="shared" si="15"/>
        <v>0</v>
      </c>
      <c r="AR27" s="33"/>
      <c r="AS27" s="33"/>
      <c r="AT27" s="33"/>
      <c r="AU27" s="33"/>
      <c r="AV27" s="33"/>
      <c r="AW27" s="33"/>
      <c r="AX27" s="33"/>
    </row>
    <row r="28" spans="1:50" ht="15.75" customHeight="1" x14ac:dyDescent="0.25">
      <c r="A28" s="1" t="s">
        <v>86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9"/>
        <v>0</v>
      </c>
      <c r="O28" s="11"/>
      <c r="P28" s="20">
        <f t="shared" si="1"/>
        <v>0</v>
      </c>
      <c r="Q28" s="21">
        <f t="shared" si="2"/>
        <v>0</v>
      </c>
      <c r="R28" s="21">
        <f t="shared" si="3"/>
        <v>0</v>
      </c>
      <c r="S28" s="21">
        <f t="shared" si="4"/>
        <v>0</v>
      </c>
      <c r="T28" s="21">
        <f t="shared" si="5"/>
        <v>0</v>
      </c>
      <c r="U28" s="21">
        <f t="shared" si="6"/>
        <v>0</v>
      </c>
      <c r="V28" s="20">
        <f t="shared" si="10"/>
        <v>0</v>
      </c>
      <c r="W28" s="18">
        <f t="shared" si="0"/>
        <v>0</v>
      </c>
      <c r="X28" s="3"/>
      <c r="Y28" s="6">
        <f t="shared" si="8"/>
        <v>0</v>
      </c>
      <c r="Z28" s="2"/>
      <c r="AA28" s="26">
        <f t="shared" si="16"/>
        <v>-10</v>
      </c>
      <c r="AB28" s="28">
        <f t="shared" si="17"/>
        <v>0.33333333333333331</v>
      </c>
      <c r="AC28" s="29">
        <v>115404.67172043659</v>
      </c>
      <c r="AD28" s="34">
        <f t="shared" si="18"/>
        <v>-1.3312070454994329</v>
      </c>
      <c r="AE28" s="2"/>
      <c r="AF28" s="26">
        <f t="shared" si="19"/>
        <v>-10</v>
      </c>
      <c r="AG28" s="30">
        <f t="shared" si="20"/>
        <v>55543.167587096767</v>
      </c>
      <c r="AH28" s="29">
        <v>110206.07995216275</v>
      </c>
      <c r="AI28" s="34">
        <f t="shared" si="21"/>
        <v>-5.775903843228356</v>
      </c>
      <c r="AJ28" s="2"/>
      <c r="AK28" s="97">
        <v>10</v>
      </c>
      <c r="AL28" s="98">
        <f t="shared" si="22"/>
        <v>5.7759038432283933</v>
      </c>
      <c r="AM28" s="98">
        <f t="shared" si="13"/>
        <v>1.3312070454994205</v>
      </c>
      <c r="AN28" s="99">
        <f t="shared" si="11"/>
        <v>0.3832285105860217</v>
      </c>
      <c r="AO28" s="99">
        <f t="shared" si="12"/>
        <v>1.9355627668518744</v>
      </c>
      <c r="AP28" s="99">
        <f t="shared" si="14"/>
        <v>0.60435572135246651</v>
      </c>
      <c r="AQ28" s="106">
        <f t="shared" si="15"/>
        <v>-1.3312070454994329</v>
      </c>
      <c r="AR28" s="33"/>
      <c r="AS28" s="33"/>
      <c r="AT28" s="33"/>
      <c r="AU28" s="33"/>
      <c r="AV28" s="33"/>
      <c r="AW28" s="33"/>
      <c r="AX28" s="33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9"/>
        <v>0</v>
      </c>
      <c r="O29" s="11"/>
      <c r="P29" s="20">
        <f t="shared" si="1"/>
        <v>0</v>
      </c>
      <c r="Q29" s="21">
        <f t="shared" si="2"/>
        <v>0</v>
      </c>
      <c r="R29" s="21">
        <f t="shared" si="3"/>
        <v>0</v>
      </c>
      <c r="S29" s="21">
        <f t="shared" si="4"/>
        <v>0</v>
      </c>
      <c r="T29" s="21">
        <f t="shared" si="5"/>
        <v>0</v>
      </c>
      <c r="U29" s="21">
        <f t="shared" si="6"/>
        <v>0</v>
      </c>
      <c r="V29" s="20">
        <f t="shared" si="10"/>
        <v>0</v>
      </c>
      <c r="W29" s="18">
        <f t="shared" si="0"/>
        <v>0</v>
      </c>
      <c r="X29" s="3"/>
      <c r="Y29" s="6">
        <f t="shared" si="8"/>
        <v>0</v>
      </c>
      <c r="Z29" s="2"/>
      <c r="AA29" s="40">
        <v>0</v>
      </c>
      <c r="AB29" s="41">
        <f t="shared" si="17"/>
        <v>0.37037037037037035</v>
      </c>
      <c r="AC29" s="42">
        <v>116961.67376209161</v>
      </c>
      <c r="AD29" s="43">
        <f t="shared" si="18"/>
        <v>0</v>
      </c>
      <c r="AE29" s="2"/>
      <c r="AF29" s="40">
        <v>0</v>
      </c>
      <c r="AG29" s="44">
        <f t="shared" si="20"/>
        <v>61714.630652329739</v>
      </c>
      <c r="AH29" s="42">
        <v>116961.67376209161</v>
      </c>
      <c r="AI29" s="43">
        <f t="shared" si="21"/>
        <v>0</v>
      </c>
      <c r="AJ29" s="2"/>
      <c r="AK29" s="97">
        <v>20</v>
      </c>
      <c r="AL29" s="98">
        <f t="shared" si="22"/>
        <v>11.551807686456774</v>
      </c>
      <c r="AM29" s="98">
        <f t="shared" si="13"/>
        <v>2.6624140909988658</v>
      </c>
      <c r="AN29" s="99">
        <f t="shared" si="11"/>
        <v>0.7664570211720434</v>
      </c>
      <c r="AO29" s="99">
        <f t="shared" si="12"/>
        <v>6.8739367150446036</v>
      </c>
      <c r="AP29" s="99">
        <f t="shared" si="14"/>
        <v>1.2087114427049082</v>
      </c>
      <c r="AQ29" s="106">
        <f t="shared" si="15"/>
        <v>-2.662414090998841</v>
      </c>
      <c r="AR29" s="33"/>
      <c r="AS29" s="33"/>
      <c r="AT29" s="33"/>
      <c r="AU29" s="33"/>
      <c r="AV29" s="33"/>
      <c r="AW29" s="33"/>
      <c r="AX29" s="33"/>
    </row>
    <row r="30" spans="1:50" ht="15.75" customHeight="1" x14ac:dyDescent="0.25">
      <c r="A30" s="7" t="s">
        <v>87</v>
      </c>
      <c r="B30" s="8"/>
      <c r="C30" s="8"/>
      <c r="D30" s="8"/>
      <c r="E30" s="10" t="s">
        <v>88</v>
      </c>
      <c r="F30" s="8"/>
      <c r="G30" s="8"/>
      <c r="H30" s="8"/>
      <c r="I30" s="10" t="s">
        <v>89</v>
      </c>
      <c r="J30" s="45"/>
      <c r="K30" s="8"/>
      <c r="L30" s="9"/>
      <c r="M30" s="2"/>
      <c r="N30" s="11">
        <f t="shared" si="9"/>
        <v>0</v>
      </c>
      <c r="O30" s="11"/>
      <c r="P30" s="20">
        <f t="shared" si="1"/>
        <v>0</v>
      </c>
      <c r="Q30" s="21">
        <f t="shared" si="2"/>
        <v>0</v>
      </c>
      <c r="R30" s="21">
        <f t="shared" si="3"/>
        <v>0</v>
      </c>
      <c r="S30" s="21">
        <f t="shared" si="4"/>
        <v>0</v>
      </c>
      <c r="T30" s="21">
        <f t="shared" si="5"/>
        <v>0</v>
      </c>
      <c r="U30" s="21">
        <f t="shared" si="6"/>
        <v>0</v>
      </c>
      <c r="V30" s="20">
        <f t="shared" si="10"/>
        <v>0</v>
      </c>
      <c r="W30" s="18">
        <f t="shared" si="0"/>
        <v>0</v>
      </c>
      <c r="X30" s="3"/>
      <c r="Y30" s="6">
        <f t="shared" si="8"/>
        <v>0</v>
      </c>
      <c r="Z30" s="2"/>
      <c r="AA30" s="26">
        <f t="shared" ref="AA30:AA34" si="23">AA29+10</f>
        <v>10</v>
      </c>
      <c r="AB30" s="28">
        <f t="shared" si="17"/>
        <v>0.40740740740740744</v>
      </c>
      <c r="AC30" s="29">
        <v>118518.67580374662</v>
      </c>
      <c r="AD30" s="34">
        <f t="shared" si="18"/>
        <v>1.3312070454994205</v>
      </c>
      <c r="AE30" s="2"/>
      <c r="AF30" s="26">
        <f t="shared" ref="AF30:AF34" si="24">AF29+10</f>
        <v>10</v>
      </c>
      <c r="AG30" s="30">
        <f t="shared" si="20"/>
        <v>67886.093717562719</v>
      </c>
      <c r="AH30" s="29">
        <v>123717.26757202052</v>
      </c>
      <c r="AI30" s="34">
        <f t="shared" si="21"/>
        <v>5.7759038432283933</v>
      </c>
      <c r="AJ30" s="2"/>
      <c r="AK30" s="97">
        <v>30</v>
      </c>
      <c r="AL30" s="98">
        <f t="shared" si="22"/>
        <v>17.327711529685143</v>
      </c>
      <c r="AM30" s="98">
        <f t="shared" si="13"/>
        <v>3.9936211364982861</v>
      </c>
      <c r="AN30" s="99">
        <f t="shared" si="11"/>
        <v>1.1496855317580528</v>
      </c>
      <c r="AO30" s="99">
        <f t="shared" si="12"/>
        <v>8.8094994818964913</v>
      </c>
      <c r="AP30" s="99">
        <f t="shared" si="14"/>
        <v>1.813067164057387</v>
      </c>
      <c r="AQ30" s="106">
        <f t="shared" si="15"/>
        <v>-3.9936211364982612</v>
      </c>
      <c r="AR30" s="33"/>
      <c r="AS30" s="33"/>
      <c r="AT30" s="33"/>
      <c r="AU30" s="33"/>
      <c r="AV30" s="33"/>
      <c r="AW30" s="33"/>
      <c r="AX30" s="33"/>
    </row>
    <row r="31" spans="1:50" ht="15.75" customHeight="1" x14ac:dyDescent="0.25">
      <c r="A31" s="24" t="s">
        <v>151</v>
      </c>
      <c r="B31" s="6">
        <f t="shared" ref="B31:B32" si="25">IF(B11=0,0,-(B11/100)*$B$50)</f>
        <v>0</v>
      </c>
      <c r="C31" s="2" t="s">
        <v>3</v>
      </c>
      <c r="D31" s="2"/>
      <c r="E31" s="16" t="s">
        <v>90</v>
      </c>
      <c r="F31" s="23">
        <f>(J21/100)*B52</f>
        <v>18514.389195698921</v>
      </c>
      <c r="G31" s="2" t="s">
        <v>3</v>
      </c>
      <c r="H31" s="2"/>
      <c r="I31" s="16" t="s">
        <v>91</v>
      </c>
      <c r="J31" s="33">
        <f>ROUNDDOWN(J11/(F12/J12),0)</f>
        <v>4</v>
      </c>
      <c r="K31" s="2" t="s">
        <v>51</v>
      </c>
      <c r="L31" s="15"/>
      <c r="M31" s="2"/>
      <c r="N31" s="11">
        <f t="shared" si="9"/>
        <v>0</v>
      </c>
      <c r="O31" s="11"/>
      <c r="P31" s="20">
        <f t="shared" si="1"/>
        <v>0</v>
      </c>
      <c r="Q31" s="21">
        <f t="shared" si="2"/>
        <v>0</v>
      </c>
      <c r="R31" s="21">
        <f t="shared" si="3"/>
        <v>0</v>
      </c>
      <c r="S31" s="21">
        <f t="shared" si="4"/>
        <v>0</v>
      </c>
      <c r="T31" s="21">
        <f t="shared" si="5"/>
        <v>0</v>
      </c>
      <c r="U31" s="21">
        <f t="shared" si="6"/>
        <v>0</v>
      </c>
      <c r="V31" s="20">
        <f t="shared" si="10"/>
        <v>0</v>
      </c>
      <c r="W31" s="18">
        <f t="shared" si="0"/>
        <v>0</v>
      </c>
      <c r="X31" s="3"/>
      <c r="Y31" s="6">
        <f t="shared" si="8"/>
        <v>0</v>
      </c>
      <c r="Z31" s="2"/>
      <c r="AA31" s="26">
        <f t="shared" si="23"/>
        <v>20</v>
      </c>
      <c r="AB31" s="28">
        <f t="shared" si="17"/>
        <v>0.44444444444444442</v>
      </c>
      <c r="AC31" s="29">
        <v>120075.67784540166</v>
      </c>
      <c r="AD31" s="34">
        <f t="shared" si="18"/>
        <v>2.6624140909988658</v>
      </c>
      <c r="AE31" s="2"/>
      <c r="AF31" s="26">
        <f t="shared" si="24"/>
        <v>20</v>
      </c>
      <c r="AG31" s="30">
        <f t="shared" si="20"/>
        <v>74057.556782795684</v>
      </c>
      <c r="AH31" s="29">
        <v>130472.86138194941</v>
      </c>
      <c r="AI31" s="34">
        <f t="shared" si="21"/>
        <v>11.551807686456774</v>
      </c>
      <c r="AJ31" s="2"/>
      <c r="AK31" s="97">
        <v>40</v>
      </c>
      <c r="AL31" s="98">
        <f t="shared" si="22"/>
        <v>23.103615372913499</v>
      </c>
      <c r="AM31" s="98">
        <f t="shared" si="13"/>
        <v>5.3248281819977068</v>
      </c>
      <c r="AN31" s="99">
        <f t="shared" si="11"/>
        <v>1.5329140423440746</v>
      </c>
      <c r="AO31" s="99">
        <f t="shared" si="12"/>
        <v>10.745062248748367</v>
      </c>
      <c r="AP31" s="99">
        <f t="shared" si="14"/>
        <v>2.4174228854098287</v>
      </c>
      <c r="AQ31" s="106">
        <f t="shared" si="15"/>
        <v>-5.3248281819976695</v>
      </c>
      <c r="AR31" s="33"/>
      <c r="AS31" s="33"/>
      <c r="AT31" s="33"/>
      <c r="AU31" s="33"/>
      <c r="AV31" s="33"/>
      <c r="AW31" s="33"/>
      <c r="AX31" s="33"/>
    </row>
    <row r="32" spans="1:50" ht="15.75" customHeight="1" x14ac:dyDescent="0.25">
      <c r="A32" s="24" t="s">
        <v>42</v>
      </c>
      <c r="B32" s="6">
        <f t="shared" si="25"/>
        <v>0</v>
      </c>
      <c r="C32" s="2" t="s">
        <v>3</v>
      </c>
      <c r="D32" s="2"/>
      <c r="E32" s="16" t="s">
        <v>92</v>
      </c>
      <c r="F32" s="6">
        <f>B52-F31</f>
        <v>43200.241456630814</v>
      </c>
      <c r="G32" s="2" t="s">
        <v>3</v>
      </c>
      <c r="H32" s="2"/>
      <c r="I32" s="16" t="s">
        <v>61</v>
      </c>
      <c r="J32" s="76">
        <f>IF(J24="Yes",SUM(F50:F51),0)</f>
        <v>0</v>
      </c>
      <c r="K32" s="2" t="s">
        <v>47</v>
      </c>
      <c r="L32" s="15"/>
      <c r="M32" s="2"/>
      <c r="N32" s="11">
        <f t="shared" si="9"/>
        <v>0</v>
      </c>
      <c r="O32" s="11"/>
      <c r="P32" s="20">
        <f t="shared" si="1"/>
        <v>0</v>
      </c>
      <c r="Q32" s="21">
        <f t="shared" si="2"/>
        <v>0</v>
      </c>
      <c r="R32" s="21">
        <f t="shared" si="3"/>
        <v>0</v>
      </c>
      <c r="S32" s="21">
        <f t="shared" si="4"/>
        <v>0</v>
      </c>
      <c r="T32" s="21">
        <f t="shared" si="5"/>
        <v>0</v>
      </c>
      <c r="U32" s="21">
        <f t="shared" si="6"/>
        <v>0</v>
      </c>
      <c r="V32" s="20">
        <f t="shared" si="10"/>
        <v>0</v>
      </c>
      <c r="W32" s="18">
        <f t="shared" si="0"/>
        <v>0</v>
      </c>
      <c r="X32" s="3"/>
      <c r="Y32" s="6">
        <f t="shared" si="8"/>
        <v>0</v>
      </c>
      <c r="Z32" s="2"/>
      <c r="AA32" s="26">
        <f t="shared" si="23"/>
        <v>30</v>
      </c>
      <c r="AB32" s="28">
        <f t="shared" si="17"/>
        <v>0.48148148148148145</v>
      </c>
      <c r="AC32" s="29">
        <v>121632.67988705667</v>
      </c>
      <c r="AD32" s="34">
        <f t="shared" si="18"/>
        <v>3.9936211364982861</v>
      </c>
      <c r="AE32" s="2"/>
      <c r="AF32" s="26">
        <f t="shared" si="24"/>
        <v>30</v>
      </c>
      <c r="AG32" s="30">
        <f t="shared" si="20"/>
        <v>80229.019848028664</v>
      </c>
      <c r="AH32" s="29">
        <v>137228.45519187828</v>
      </c>
      <c r="AI32" s="34">
        <f t="shared" si="21"/>
        <v>17.327711529685143</v>
      </c>
      <c r="AJ32" s="2"/>
      <c r="AK32" s="97">
        <v>50</v>
      </c>
      <c r="AL32" s="98">
        <f t="shared" si="22"/>
        <v>28.879519216141858</v>
      </c>
      <c r="AM32" s="98">
        <f t="shared" si="13"/>
        <v>6.6560352274971271</v>
      </c>
      <c r="AN32" s="99">
        <f t="shared" si="11"/>
        <v>1.916142552930084</v>
      </c>
      <c r="AO32" s="99">
        <f t="shared" si="12"/>
        <v>12.680625015600253</v>
      </c>
      <c r="AP32" s="99">
        <f t="shared" si="14"/>
        <v>3.0217786067622576</v>
      </c>
      <c r="AQ32" s="106">
        <f t="shared" si="15"/>
        <v>-6.6560352274971022</v>
      </c>
      <c r="AR32" s="33"/>
      <c r="AS32" s="33"/>
      <c r="AT32" s="33"/>
      <c r="AU32" s="33"/>
      <c r="AV32" s="33"/>
      <c r="AW32" s="33"/>
      <c r="AX32" s="33"/>
    </row>
    <row r="33" spans="1:50" ht="15.75" customHeight="1" x14ac:dyDescent="0.25">
      <c r="A33" s="24" t="s">
        <v>48</v>
      </c>
      <c r="B33" s="6">
        <f>IF(B13=0,0,(B13/100)*($B$49))</f>
        <v>1324.7095053763437</v>
      </c>
      <c r="C33" s="2" t="s">
        <v>3</v>
      </c>
      <c r="D33" s="2"/>
      <c r="E33" s="16" t="s">
        <v>93</v>
      </c>
      <c r="F33" s="23">
        <f>F32*(F20/100)*J20</f>
        <v>11880.066400573472</v>
      </c>
      <c r="G33" s="2" t="s">
        <v>3</v>
      </c>
      <c r="H33" s="2"/>
      <c r="I33" s="2"/>
      <c r="J33" s="2"/>
      <c r="K33" s="2"/>
      <c r="L33" s="15"/>
      <c r="M33" s="2"/>
      <c r="N33" s="11">
        <f t="shared" si="9"/>
        <v>0</v>
      </c>
      <c r="O33" s="11"/>
      <c r="P33" s="20">
        <f t="shared" si="1"/>
        <v>0</v>
      </c>
      <c r="Q33" s="21">
        <f t="shared" si="2"/>
        <v>0</v>
      </c>
      <c r="R33" s="21">
        <f t="shared" si="3"/>
        <v>0</v>
      </c>
      <c r="S33" s="21">
        <f t="shared" si="4"/>
        <v>0</v>
      </c>
      <c r="T33" s="21">
        <f t="shared" si="5"/>
        <v>0</v>
      </c>
      <c r="U33" s="21">
        <f t="shared" si="6"/>
        <v>0</v>
      </c>
      <c r="V33" s="20">
        <f t="shared" si="10"/>
        <v>0</v>
      </c>
      <c r="W33" s="18">
        <f t="shared" si="0"/>
        <v>0</v>
      </c>
      <c r="X33" s="3"/>
      <c r="Y33" s="6">
        <f t="shared" si="8"/>
        <v>0</v>
      </c>
      <c r="Z33" s="2"/>
      <c r="AA33" s="26">
        <f t="shared" si="23"/>
        <v>40</v>
      </c>
      <c r="AB33" s="28">
        <f t="shared" si="17"/>
        <v>0.51851851851851849</v>
      </c>
      <c r="AC33" s="29">
        <v>123189.68192871168</v>
      </c>
      <c r="AD33" s="34">
        <f t="shared" si="18"/>
        <v>5.3248281819977068</v>
      </c>
      <c r="AE33" s="2"/>
      <c r="AF33" s="26">
        <f t="shared" si="24"/>
        <v>40</v>
      </c>
      <c r="AG33" s="30">
        <f t="shared" si="20"/>
        <v>86400.482913261629</v>
      </c>
      <c r="AH33" s="29">
        <v>143984.04900180714</v>
      </c>
      <c r="AI33" s="34">
        <f t="shared" si="21"/>
        <v>23.103615372913499</v>
      </c>
      <c r="AJ33" s="2"/>
      <c r="AK33" s="27"/>
      <c r="AL33" s="31"/>
      <c r="AM33" s="32"/>
      <c r="AN33" s="35"/>
      <c r="AO33" s="2"/>
      <c r="AP33" s="33"/>
      <c r="AQ33" s="33"/>
      <c r="AR33" s="33"/>
      <c r="AS33" s="33"/>
      <c r="AT33" s="33"/>
      <c r="AU33" s="33"/>
      <c r="AV33" s="33"/>
      <c r="AW33" s="33"/>
      <c r="AX33" s="33"/>
    </row>
    <row r="34" spans="1:50" ht="15.75" customHeight="1" x14ac:dyDescent="0.25">
      <c r="A34" s="24" t="s">
        <v>165</v>
      </c>
      <c r="B34" s="6">
        <f>IF(B15=0,0,(B15/B8))</f>
        <v>259.25925925925924</v>
      </c>
      <c r="C34" s="2" t="s">
        <v>3</v>
      </c>
      <c r="D34" s="2"/>
      <c r="E34" s="2"/>
      <c r="F34" s="33"/>
      <c r="G34" s="2"/>
      <c r="H34" s="2"/>
      <c r="I34" s="16" t="s">
        <v>95</v>
      </c>
      <c r="J34" s="6">
        <f>F12*B5</f>
        <v>350000</v>
      </c>
      <c r="K34" s="2" t="s">
        <v>96</v>
      </c>
      <c r="L34" s="15"/>
      <c r="M34" s="2"/>
      <c r="N34" s="11">
        <f t="shared" si="9"/>
        <v>0</v>
      </c>
      <c r="O34" s="11"/>
      <c r="P34" s="20">
        <f t="shared" si="1"/>
        <v>0</v>
      </c>
      <c r="Q34" s="21">
        <f t="shared" si="2"/>
        <v>0</v>
      </c>
      <c r="R34" s="21">
        <f t="shared" si="3"/>
        <v>0</v>
      </c>
      <c r="S34" s="21">
        <f t="shared" si="4"/>
        <v>0</v>
      </c>
      <c r="T34" s="21">
        <f t="shared" si="5"/>
        <v>0</v>
      </c>
      <c r="U34" s="21">
        <f t="shared" si="6"/>
        <v>0</v>
      </c>
      <c r="V34" s="20">
        <f t="shared" si="10"/>
        <v>0</v>
      </c>
      <c r="W34" s="18">
        <f t="shared" si="0"/>
        <v>0</v>
      </c>
      <c r="X34" s="3"/>
      <c r="Y34" s="6">
        <f t="shared" si="8"/>
        <v>0</v>
      </c>
      <c r="Z34" s="2"/>
      <c r="AA34" s="26">
        <f t="shared" si="23"/>
        <v>50</v>
      </c>
      <c r="AB34" s="28">
        <f t="shared" si="17"/>
        <v>0.55555555555555558</v>
      </c>
      <c r="AC34" s="29">
        <v>124746.68397036669</v>
      </c>
      <c r="AD34" s="34">
        <f t="shared" si="18"/>
        <v>6.6560352274971271</v>
      </c>
      <c r="AE34" s="2"/>
      <c r="AF34" s="26">
        <f t="shared" si="24"/>
        <v>50</v>
      </c>
      <c r="AG34" s="30">
        <f t="shared" si="20"/>
        <v>92571.945978494608</v>
      </c>
      <c r="AH34" s="29">
        <v>150739.642811736</v>
      </c>
      <c r="AI34" s="34">
        <f t="shared" si="21"/>
        <v>28.879519216141858</v>
      </c>
      <c r="AJ34" s="2"/>
      <c r="AK34" s="27"/>
      <c r="AL34" s="31"/>
      <c r="AM34" s="32"/>
      <c r="AN34" s="35"/>
      <c r="AO34" s="2"/>
      <c r="AP34" s="33"/>
      <c r="AQ34" s="33"/>
      <c r="AR34" s="33"/>
      <c r="AS34" s="33"/>
      <c r="AT34" s="33"/>
      <c r="AU34" s="33"/>
      <c r="AV34" s="33"/>
      <c r="AW34" s="33"/>
      <c r="AX34" s="33"/>
    </row>
    <row r="35" spans="1:50" ht="15.75" customHeight="1" x14ac:dyDescent="0.25">
      <c r="A35" s="24" t="s">
        <v>60</v>
      </c>
      <c r="B35" s="6">
        <f>(B16%*J8)/B8</f>
        <v>587.09677419354807</v>
      </c>
      <c r="C35" s="2" t="s">
        <v>3</v>
      </c>
      <c r="D35" s="2"/>
      <c r="E35" s="1" t="s">
        <v>97</v>
      </c>
      <c r="F35" s="2"/>
      <c r="G35" s="2"/>
      <c r="H35" s="2"/>
      <c r="I35" s="2"/>
      <c r="J35" s="2"/>
      <c r="K35" s="2"/>
      <c r="L35" s="15"/>
      <c r="M35" s="2"/>
      <c r="N35" s="11">
        <f t="shared" si="9"/>
        <v>0</v>
      </c>
      <c r="O35" s="11"/>
      <c r="P35" s="20">
        <f t="shared" si="1"/>
        <v>0</v>
      </c>
      <c r="Q35" s="21">
        <f t="shared" si="2"/>
        <v>0</v>
      </c>
      <c r="R35" s="21">
        <f t="shared" si="3"/>
        <v>0</v>
      </c>
      <c r="S35" s="21">
        <f t="shared" si="4"/>
        <v>0</v>
      </c>
      <c r="T35" s="21">
        <f t="shared" si="5"/>
        <v>0</v>
      </c>
      <c r="U35" s="21">
        <f t="shared" si="6"/>
        <v>0</v>
      </c>
      <c r="V35" s="20">
        <f t="shared" si="10"/>
        <v>0</v>
      </c>
      <c r="W35" s="18">
        <f t="shared" si="0"/>
        <v>0</v>
      </c>
      <c r="X35" s="3"/>
      <c r="Y35" s="6">
        <f t="shared" si="8"/>
        <v>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4" t="s">
        <v>64</v>
      </c>
      <c r="B36" s="6">
        <f>B17/B8</f>
        <v>53334.074074074073</v>
      </c>
      <c r="C36" s="2" t="s">
        <v>3</v>
      </c>
      <c r="D36" s="2"/>
      <c r="E36" s="16" t="s">
        <v>29</v>
      </c>
      <c r="F36" s="14">
        <f>F13/$B$8</f>
        <v>0.37037037037037035</v>
      </c>
      <c r="G36" s="2" t="s">
        <v>30</v>
      </c>
      <c r="H36" s="2"/>
      <c r="I36" s="2"/>
      <c r="J36" s="2"/>
      <c r="K36" s="2"/>
      <c r="L36" s="15"/>
      <c r="M36" s="2"/>
      <c r="N36" s="11">
        <f t="shared" si="9"/>
        <v>0</v>
      </c>
      <c r="O36" s="11"/>
      <c r="P36" s="20">
        <f t="shared" si="1"/>
        <v>0</v>
      </c>
      <c r="Q36" s="21">
        <f t="shared" si="2"/>
        <v>0</v>
      </c>
      <c r="R36" s="21">
        <f t="shared" si="3"/>
        <v>0</v>
      </c>
      <c r="S36" s="21">
        <f t="shared" si="4"/>
        <v>0</v>
      </c>
      <c r="T36" s="21">
        <f t="shared" si="5"/>
        <v>0</v>
      </c>
      <c r="U36" s="21">
        <f t="shared" si="6"/>
        <v>0</v>
      </c>
      <c r="V36" s="20">
        <f t="shared" si="10"/>
        <v>0</v>
      </c>
      <c r="W36" s="18">
        <f t="shared" si="0"/>
        <v>0</v>
      </c>
      <c r="X36" s="3"/>
      <c r="Y36" s="6">
        <f t="shared" si="8"/>
        <v>0</v>
      </c>
      <c r="Z36" s="2"/>
      <c r="AA36" s="25" t="s">
        <v>32</v>
      </c>
      <c r="AB36" s="26"/>
      <c r="AC36" s="26"/>
      <c r="AD36" s="26"/>
      <c r="AE36" s="2"/>
      <c r="AF36" s="25" t="s">
        <v>98</v>
      </c>
      <c r="AG36" s="26"/>
      <c r="AH36" s="26"/>
      <c r="AI36" s="26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4" t="s">
        <v>68</v>
      </c>
      <c r="B37" s="6">
        <f>B18/B8</f>
        <v>-11111.111111111109</v>
      </c>
      <c r="C37" s="2" t="s">
        <v>3</v>
      </c>
      <c r="D37" s="2"/>
      <c r="E37" s="16" t="s">
        <v>99</v>
      </c>
      <c r="F37" s="6">
        <f>(F18/((1-J14%)*J10))/B8</f>
        <v>0</v>
      </c>
      <c r="G37" s="2" t="s">
        <v>30</v>
      </c>
      <c r="H37" s="2"/>
      <c r="I37" s="1" t="s">
        <v>100</v>
      </c>
      <c r="J37" s="46">
        <f>SUM(J38:J46)</f>
        <v>3906.8111111111111</v>
      </c>
      <c r="K37" s="1" t="s">
        <v>47</v>
      </c>
      <c r="L37" s="15"/>
      <c r="M37" s="2"/>
      <c r="N37" s="11">
        <f t="shared" si="9"/>
        <v>0</v>
      </c>
      <c r="O37" s="11"/>
      <c r="P37" s="20">
        <f t="shared" si="1"/>
        <v>0</v>
      </c>
      <c r="Q37" s="21">
        <f t="shared" si="2"/>
        <v>0</v>
      </c>
      <c r="R37" s="21">
        <f t="shared" si="3"/>
        <v>0</v>
      </c>
      <c r="S37" s="21">
        <f t="shared" si="4"/>
        <v>0</v>
      </c>
      <c r="T37" s="21">
        <f t="shared" si="5"/>
        <v>0</v>
      </c>
      <c r="U37" s="21">
        <f t="shared" si="6"/>
        <v>0</v>
      </c>
      <c r="V37" s="20">
        <f t="shared" si="10"/>
        <v>0</v>
      </c>
      <c r="W37" s="18">
        <f t="shared" si="0"/>
        <v>0</v>
      </c>
      <c r="X37" s="3"/>
      <c r="Y37" s="6">
        <f t="shared" si="8"/>
        <v>0</v>
      </c>
      <c r="Z37" s="2"/>
      <c r="AA37" s="26" t="s">
        <v>77</v>
      </c>
      <c r="AB37" s="26" t="s">
        <v>101</v>
      </c>
      <c r="AC37" s="26" t="s">
        <v>22</v>
      </c>
      <c r="AD37" s="26" t="s">
        <v>79</v>
      </c>
      <c r="AE37" s="2"/>
      <c r="AF37" s="26" t="s">
        <v>77</v>
      </c>
      <c r="AG37" s="26" t="s">
        <v>102</v>
      </c>
      <c r="AH37" s="26" t="s">
        <v>22</v>
      </c>
      <c r="AI37" s="26" t="s">
        <v>79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4" t="s">
        <v>71</v>
      </c>
      <c r="B38" s="14">
        <f>IF(B19=0,0,(B19/B8))</f>
        <v>20.99259259259259</v>
      </c>
      <c r="C38" s="2" t="s">
        <v>3</v>
      </c>
      <c r="D38" s="2"/>
      <c r="E38" s="16" t="s">
        <v>103</v>
      </c>
      <c r="F38" s="47">
        <f>F36*J17</f>
        <v>5.2592592592592587E-2</v>
      </c>
      <c r="G38" s="2" t="s">
        <v>4</v>
      </c>
      <c r="H38" s="2"/>
      <c r="I38" s="16" t="s">
        <v>74</v>
      </c>
      <c r="J38" s="14">
        <f t="shared" ref="J38:J43" si="26">F21/$B$8</f>
        <v>74.074074074074076</v>
      </c>
      <c r="K38" s="2" t="s">
        <v>47</v>
      </c>
      <c r="L38" s="15"/>
      <c r="M38" s="2"/>
      <c r="N38" s="11">
        <f t="shared" si="9"/>
        <v>0</v>
      </c>
      <c r="O38" s="11"/>
      <c r="P38" s="20">
        <f t="shared" si="1"/>
        <v>0</v>
      </c>
      <c r="Q38" s="21">
        <f t="shared" si="2"/>
        <v>0</v>
      </c>
      <c r="R38" s="21">
        <f t="shared" si="3"/>
        <v>0</v>
      </c>
      <c r="S38" s="21">
        <f t="shared" si="4"/>
        <v>0</v>
      </c>
      <c r="T38" s="21">
        <f t="shared" si="5"/>
        <v>0</v>
      </c>
      <c r="U38" s="21">
        <f t="shared" si="6"/>
        <v>0</v>
      </c>
      <c r="V38" s="20">
        <f t="shared" si="10"/>
        <v>0</v>
      </c>
      <c r="W38" s="18">
        <f t="shared" si="0"/>
        <v>0</v>
      </c>
      <c r="X38" s="3"/>
      <c r="Y38" s="6">
        <f t="shared" si="8"/>
        <v>0</v>
      </c>
      <c r="Z38" s="2"/>
      <c r="AA38" s="26" t="s">
        <v>82</v>
      </c>
      <c r="AB38" s="30">
        <v>4613.4666666666662</v>
      </c>
      <c r="AC38" s="29">
        <f>W49</f>
        <v>116961.67376209161</v>
      </c>
      <c r="AD38" s="26"/>
      <c r="AE38" s="2"/>
      <c r="AF38" s="26" t="s">
        <v>82</v>
      </c>
      <c r="AG38" s="30">
        <v>35000</v>
      </c>
      <c r="AH38" s="29">
        <f>W49</f>
        <v>116961.67376209161</v>
      </c>
      <c r="AI38" s="26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4" t="s">
        <v>72</v>
      </c>
      <c r="B39" s="6">
        <f>IF(B20=0,0,(B20/B8))</f>
        <v>740.74074074074065</v>
      </c>
      <c r="C39" s="2" t="s">
        <v>3</v>
      </c>
      <c r="D39" s="2"/>
      <c r="E39" s="2"/>
      <c r="F39" s="2"/>
      <c r="G39" s="2"/>
      <c r="H39" s="2"/>
      <c r="I39" s="16" t="s">
        <v>75</v>
      </c>
      <c r="J39" s="14">
        <f t="shared" si="26"/>
        <v>242.2222222222222</v>
      </c>
      <c r="K39" s="2" t="s">
        <v>47</v>
      </c>
      <c r="L39" s="15"/>
      <c r="M39" s="2"/>
      <c r="N39" s="11">
        <f t="shared" si="9"/>
        <v>0</v>
      </c>
      <c r="O39" s="11"/>
      <c r="P39" s="20">
        <f t="shared" si="1"/>
        <v>0</v>
      </c>
      <c r="Q39" s="21">
        <f t="shared" si="2"/>
        <v>0</v>
      </c>
      <c r="R39" s="21">
        <f t="shared" si="3"/>
        <v>0</v>
      </c>
      <c r="S39" s="21">
        <f t="shared" si="4"/>
        <v>0</v>
      </c>
      <c r="T39" s="21">
        <f t="shared" si="5"/>
        <v>0</v>
      </c>
      <c r="U39" s="21">
        <f t="shared" si="6"/>
        <v>0</v>
      </c>
      <c r="V39" s="20">
        <f t="shared" si="10"/>
        <v>0</v>
      </c>
      <c r="W39" s="18">
        <f t="shared" si="0"/>
        <v>0</v>
      </c>
      <c r="X39" s="3"/>
      <c r="Y39" s="6">
        <f t="shared" si="8"/>
        <v>0</v>
      </c>
      <c r="Z39" s="2"/>
      <c r="AA39" s="26">
        <f t="shared" ref="AA39:AA43" si="27">AA40-10</f>
        <v>-50</v>
      </c>
      <c r="AB39" s="30">
        <f t="shared" ref="AB39:AB49" si="28">$AB$38*(1+(AA39/100))</f>
        <v>2306.7333333333331</v>
      </c>
      <c r="AC39" s="29">
        <f t="dataTable" ref="AC39:AC49" dt2D="0" dtr="0" r1="B48" ca="1"/>
        <v>114720.52136051697</v>
      </c>
      <c r="AD39" s="34">
        <f>100*((AC39-$AC$44)/$AC$44)</f>
        <v>-1.916142552930034</v>
      </c>
      <c r="AE39" s="2"/>
      <c r="AF39" s="26">
        <f t="shared" ref="AF39:AF43" si="29">AF40-10</f>
        <v>-50</v>
      </c>
      <c r="AG39" s="30">
        <f t="shared" ref="AG39:AG49" si="30">$AG$38*(1+(AF39/100))</f>
        <v>17500</v>
      </c>
      <c r="AH39" s="29">
        <f t="dataTable" ref="AH39:AH49" dt2D="0" dtr="0" r1="F12" ca="1"/>
        <v>101748.71793536539</v>
      </c>
      <c r="AI39" s="34">
        <f t="shared" ref="AI39:AI49" si="31">100*((AH39-$AH$44)/$AH$44)</f>
        <v>-13.006787041771013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16" t="s">
        <v>104</v>
      </c>
      <c r="F40" s="14">
        <f>F37*F12*J17</f>
        <v>0</v>
      </c>
      <c r="G40" s="2" t="s">
        <v>47</v>
      </c>
      <c r="H40" s="2"/>
      <c r="I40" s="16" t="s">
        <v>161</v>
      </c>
      <c r="J40" s="14">
        <f t="shared" si="26"/>
        <v>50.866666666666667</v>
      </c>
      <c r="K40" s="2" t="s">
        <v>47</v>
      </c>
      <c r="L40" s="15"/>
      <c r="M40" s="2"/>
      <c r="N40" s="11">
        <f t="shared" si="9"/>
        <v>0</v>
      </c>
      <c r="O40" s="11"/>
      <c r="P40" s="20">
        <f t="shared" si="1"/>
        <v>0</v>
      </c>
      <c r="Q40" s="21">
        <f t="shared" si="2"/>
        <v>0</v>
      </c>
      <c r="R40" s="21">
        <f t="shared" si="3"/>
        <v>0</v>
      </c>
      <c r="S40" s="21">
        <f t="shared" si="4"/>
        <v>0</v>
      </c>
      <c r="T40" s="21">
        <f t="shared" si="5"/>
        <v>0</v>
      </c>
      <c r="U40" s="21">
        <f t="shared" si="6"/>
        <v>0</v>
      </c>
      <c r="V40" s="20">
        <f t="shared" si="10"/>
        <v>0</v>
      </c>
      <c r="W40" s="18">
        <f t="shared" si="0"/>
        <v>0</v>
      </c>
      <c r="X40" s="3"/>
      <c r="Y40" s="6">
        <f t="shared" si="8"/>
        <v>0</v>
      </c>
      <c r="Z40" s="2"/>
      <c r="AA40" s="26">
        <f t="shared" si="27"/>
        <v>-40</v>
      </c>
      <c r="AB40" s="30">
        <f t="shared" si="28"/>
        <v>2768.0799999999995</v>
      </c>
      <c r="AC40" s="29">
        <v>115168.75184083189</v>
      </c>
      <c r="AD40" s="34">
        <f t="shared" ref="AD40:AD49" si="32">100*((AC40-$AC$29)/$AC$29)</f>
        <v>-1.5329140423440371</v>
      </c>
      <c r="AE40" s="2"/>
      <c r="AF40" s="26">
        <f t="shared" si="29"/>
        <v>-40</v>
      </c>
      <c r="AG40" s="30">
        <f t="shared" si="30"/>
        <v>21000</v>
      </c>
      <c r="AH40" s="29">
        <v>104265.41459650965</v>
      </c>
      <c r="AI40" s="34">
        <f t="shared" si="31"/>
        <v>-10.85505940296909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16" t="s">
        <v>105</v>
      </c>
      <c r="F41" s="33">
        <f>F38*F12</f>
        <v>1840.7407407407404</v>
      </c>
      <c r="G41" s="48" t="s">
        <v>47</v>
      </c>
      <c r="H41" s="2"/>
      <c r="I41" s="16" t="s">
        <v>159</v>
      </c>
      <c r="J41" s="14">
        <f t="shared" si="26"/>
        <v>2222.2222222222222</v>
      </c>
      <c r="K41" s="2" t="s">
        <v>47</v>
      </c>
      <c r="L41" s="15"/>
      <c r="M41" s="2"/>
      <c r="N41" s="11">
        <f t="shared" si="9"/>
        <v>0</v>
      </c>
      <c r="O41" s="11"/>
      <c r="P41" s="20">
        <f t="shared" si="1"/>
        <v>0</v>
      </c>
      <c r="Q41" s="21">
        <f t="shared" si="2"/>
        <v>0</v>
      </c>
      <c r="R41" s="21">
        <f t="shared" si="3"/>
        <v>0</v>
      </c>
      <c r="S41" s="21">
        <f t="shared" si="4"/>
        <v>0</v>
      </c>
      <c r="T41" s="21">
        <f t="shared" si="5"/>
        <v>0</v>
      </c>
      <c r="U41" s="21">
        <f t="shared" si="6"/>
        <v>0</v>
      </c>
      <c r="V41" s="20">
        <f t="shared" si="10"/>
        <v>0</v>
      </c>
      <c r="W41" s="18">
        <f t="shared" si="0"/>
        <v>0</v>
      </c>
      <c r="X41" s="3"/>
      <c r="Y41" s="6">
        <f t="shared" si="8"/>
        <v>0</v>
      </c>
      <c r="Z41" s="2"/>
      <c r="AA41" s="26">
        <f t="shared" si="27"/>
        <v>-30</v>
      </c>
      <c r="AB41" s="30">
        <f t="shared" si="28"/>
        <v>3229.4266666666663</v>
      </c>
      <c r="AC41" s="29">
        <v>115616.98232114682</v>
      </c>
      <c r="AD41" s="34">
        <f t="shared" si="32"/>
        <v>-1.1496855317580279</v>
      </c>
      <c r="AE41" s="2"/>
      <c r="AF41" s="26">
        <f t="shared" si="29"/>
        <v>-30</v>
      </c>
      <c r="AG41" s="30">
        <f t="shared" si="30"/>
        <v>24500</v>
      </c>
      <c r="AH41" s="29">
        <v>106663.33070758429</v>
      </c>
      <c r="AI41" s="34">
        <f t="shared" si="31"/>
        <v>-8.8048868687146911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16" t="s">
        <v>162</v>
      </c>
      <c r="J42" s="14">
        <f t="shared" si="26"/>
        <v>0</v>
      </c>
      <c r="K42" s="2" t="s">
        <v>47</v>
      </c>
      <c r="L42" s="15"/>
      <c r="M42" s="2"/>
      <c r="N42" s="11">
        <f t="shared" si="9"/>
        <v>0</v>
      </c>
      <c r="O42" s="11"/>
      <c r="P42" s="20">
        <f t="shared" si="1"/>
        <v>0</v>
      </c>
      <c r="Q42" s="21">
        <f t="shared" si="2"/>
        <v>0</v>
      </c>
      <c r="R42" s="21">
        <f t="shared" si="3"/>
        <v>0</v>
      </c>
      <c r="S42" s="21">
        <f t="shared" si="4"/>
        <v>0</v>
      </c>
      <c r="T42" s="21">
        <f t="shared" si="5"/>
        <v>0</v>
      </c>
      <c r="U42" s="21">
        <f t="shared" si="6"/>
        <v>0</v>
      </c>
      <c r="V42" s="20">
        <f t="shared" si="10"/>
        <v>0</v>
      </c>
      <c r="W42" s="18">
        <f t="shared" si="0"/>
        <v>0</v>
      </c>
      <c r="X42" s="3"/>
      <c r="Y42" s="6">
        <f t="shared" si="8"/>
        <v>0</v>
      </c>
      <c r="Z42" s="2"/>
      <c r="AA42" s="26">
        <f t="shared" si="27"/>
        <v>-20</v>
      </c>
      <c r="AB42" s="30">
        <f t="shared" si="28"/>
        <v>3690.7733333333331</v>
      </c>
      <c r="AC42" s="29">
        <v>116065.21280146175</v>
      </c>
      <c r="AD42" s="34">
        <f t="shared" si="32"/>
        <v>-0.76645702117201853</v>
      </c>
      <c r="AE42" s="2"/>
      <c r="AF42" s="26">
        <f t="shared" si="29"/>
        <v>-20</v>
      </c>
      <c r="AG42" s="30">
        <f t="shared" si="30"/>
        <v>28000</v>
      </c>
      <c r="AH42" s="29">
        <v>112045.8467832707</v>
      </c>
      <c r="AI42" s="34">
        <f t="shared" si="31"/>
        <v>-4.2029382965398199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16" t="s">
        <v>164</v>
      </c>
      <c r="J43" s="14">
        <f t="shared" si="26"/>
        <v>53.333333333333329</v>
      </c>
      <c r="K43" s="2" t="s">
        <v>47</v>
      </c>
      <c r="L43" s="15"/>
      <c r="M43" s="2"/>
      <c r="N43" s="11">
        <f t="shared" si="9"/>
        <v>0</v>
      </c>
      <c r="O43" s="11"/>
      <c r="P43" s="20">
        <f t="shared" si="1"/>
        <v>0</v>
      </c>
      <c r="Q43" s="21">
        <f t="shared" si="2"/>
        <v>0</v>
      </c>
      <c r="R43" s="21">
        <f t="shared" si="3"/>
        <v>0</v>
      </c>
      <c r="S43" s="21">
        <f t="shared" si="4"/>
        <v>0</v>
      </c>
      <c r="T43" s="21">
        <f t="shared" si="5"/>
        <v>0</v>
      </c>
      <c r="U43" s="21">
        <f t="shared" si="6"/>
        <v>0</v>
      </c>
      <c r="V43" s="20">
        <f t="shared" si="10"/>
        <v>0</v>
      </c>
      <c r="W43" s="18">
        <f t="shared" si="0"/>
        <v>0</v>
      </c>
      <c r="X43" s="3"/>
      <c r="Y43" s="6">
        <f t="shared" si="8"/>
        <v>0</v>
      </c>
      <c r="Z43" s="2"/>
      <c r="AA43" s="26">
        <f t="shared" si="27"/>
        <v>-10</v>
      </c>
      <c r="AB43" s="30">
        <f t="shared" si="28"/>
        <v>4152.12</v>
      </c>
      <c r="AC43" s="29">
        <v>116513.44328177668</v>
      </c>
      <c r="AD43" s="34">
        <f t="shared" si="32"/>
        <v>-0.38322851058600926</v>
      </c>
      <c r="AE43" s="2"/>
      <c r="AF43" s="26">
        <f t="shared" si="29"/>
        <v>-10</v>
      </c>
      <c r="AG43" s="30">
        <f t="shared" si="30"/>
        <v>31500</v>
      </c>
      <c r="AH43" s="29">
        <v>114309.7133920965</v>
      </c>
      <c r="AI43" s="34">
        <f t="shared" si="31"/>
        <v>-2.267375529687945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2" t="s">
        <v>106</v>
      </c>
      <c r="B44" s="3"/>
      <c r="C44" s="1"/>
      <c r="D44" s="2"/>
      <c r="E44" s="68" t="s">
        <v>141</v>
      </c>
      <c r="F44" s="69"/>
      <c r="G44" s="69"/>
      <c r="H44" s="2"/>
      <c r="I44" s="16" t="s">
        <v>46</v>
      </c>
      <c r="J44" s="49">
        <f>F19*F12/B8</f>
        <v>871.49999999999989</v>
      </c>
      <c r="K44" s="2" t="s">
        <v>47</v>
      </c>
      <c r="L44" s="15"/>
      <c r="M44" s="2"/>
      <c r="N44" s="11">
        <f t="shared" si="9"/>
        <v>0</v>
      </c>
      <c r="O44" s="11"/>
      <c r="P44" s="20">
        <f t="shared" si="1"/>
        <v>0</v>
      </c>
      <c r="Q44" s="21">
        <f t="shared" si="2"/>
        <v>0</v>
      </c>
      <c r="R44" s="21">
        <f t="shared" si="3"/>
        <v>0</v>
      </c>
      <c r="S44" s="21">
        <f t="shared" si="4"/>
        <v>0</v>
      </c>
      <c r="T44" s="21">
        <f t="shared" si="5"/>
        <v>0</v>
      </c>
      <c r="U44" s="21">
        <f t="shared" si="6"/>
        <v>0</v>
      </c>
      <c r="V44" s="20">
        <f t="shared" si="10"/>
        <v>0</v>
      </c>
      <c r="W44" s="18">
        <f t="shared" si="0"/>
        <v>0</v>
      </c>
      <c r="X44" s="3"/>
      <c r="Y44" s="6">
        <f t="shared" si="8"/>
        <v>0</v>
      </c>
      <c r="Z44" s="2"/>
      <c r="AA44" s="40">
        <v>0</v>
      </c>
      <c r="AB44" s="44">
        <f t="shared" si="28"/>
        <v>4613.4666666666662</v>
      </c>
      <c r="AC44" s="42">
        <v>116961.67376209161</v>
      </c>
      <c r="AD44" s="43">
        <f t="shared" si="32"/>
        <v>0</v>
      </c>
      <c r="AE44" s="2"/>
      <c r="AF44" s="40">
        <v>0</v>
      </c>
      <c r="AG44" s="44">
        <f t="shared" si="30"/>
        <v>35000</v>
      </c>
      <c r="AH44" s="42">
        <v>116961.67376209161</v>
      </c>
      <c r="AI44" s="43">
        <f t="shared" si="31"/>
        <v>0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16" t="s">
        <v>183</v>
      </c>
      <c r="B45" s="6">
        <f>J8/B8</f>
        <v>11741.935483870962</v>
      </c>
      <c r="C45" s="2" t="s">
        <v>3</v>
      </c>
      <c r="D45" s="2"/>
      <c r="E45" s="70" t="s">
        <v>142</v>
      </c>
      <c r="F45" s="71">
        <f>(J9*J10)*(1+(B13%))</f>
        <v>4762.8</v>
      </c>
      <c r="G45" s="69" t="s">
        <v>3</v>
      </c>
      <c r="H45" s="2"/>
      <c r="I45" s="16" t="s">
        <v>65</v>
      </c>
      <c r="J45" s="14">
        <f t="shared" ref="J45:J46" si="33">F16/$B$8</f>
        <v>251.85185185185185</v>
      </c>
      <c r="K45" s="2" t="s">
        <v>47</v>
      </c>
      <c r="L45" s="15"/>
      <c r="M45" s="2"/>
      <c r="N45" s="11">
        <f t="shared" si="9"/>
        <v>0</v>
      </c>
      <c r="O45" s="11"/>
      <c r="P45" s="20">
        <f t="shared" si="1"/>
        <v>0</v>
      </c>
      <c r="Q45" s="21">
        <f t="shared" si="2"/>
        <v>0</v>
      </c>
      <c r="R45" s="21">
        <f t="shared" si="3"/>
        <v>0</v>
      </c>
      <c r="S45" s="21">
        <f t="shared" si="4"/>
        <v>0</v>
      </c>
      <c r="T45" s="21">
        <f t="shared" si="5"/>
        <v>0</v>
      </c>
      <c r="U45" s="21">
        <f t="shared" si="6"/>
        <v>0</v>
      </c>
      <c r="V45" s="20">
        <f t="shared" si="10"/>
        <v>0</v>
      </c>
      <c r="W45" s="18">
        <f t="shared" si="0"/>
        <v>0</v>
      </c>
      <c r="X45" s="3"/>
      <c r="Y45" s="6">
        <f t="shared" si="8"/>
        <v>0</v>
      </c>
      <c r="Z45" s="2"/>
      <c r="AA45" s="26">
        <f t="shared" ref="AA45:AA49" si="34">AA44+10</f>
        <v>10</v>
      </c>
      <c r="AB45" s="30">
        <f t="shared" si="28"/>
        <v>5074.8133333333335</v>
      </c>
      <c r="AC45" s="29">
        <v>117409.90424240656</v>
      </c>
      <c r="AD45" s="34">
        <f t="shared" si="32"/>
        <v>0.3832285105860217</v>
      </c>
      <c r="AE45" s="2"/>
      <c r="AF45" s="26">
        <f t="shared" ref="AF45:AF49" si="35">AF44+10</f>
        <v>10</v>
      </c>
      <c r="AG45" s="30">
        <f t="shared" si="30"/>
        <v>38500</v>
      </c>
      <c r="AH45" s="29">
        <v>119225.54037091741</v>
      </c>
      <c r="AI45" s="34">
        <f t="shared" si="31"/>
        <v>1.9355627668518744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16" t="s">
        <v>107</v>
      </c>
      <c r="B46" s="6">
        <f>IF(J24="No",J9*J10,0)</f>
        <v>4410</v>
      </c>
      <c r="C46" s="2" t="s">
        <v>3</v>
      </c>
      <c r="D46" s="2"/>
      <c r="E46" s="69" t="s">
        <v>143</v>
      </c>
      <c r="F46" s="71">
        <f>((J21%)*F45)+(((1-J21%)*F45)*(1+(F20%*J20)))</f>
        <v>5679.6390000000001</v>
      </c>
      <c r="G46" s="69" t="s">
        <v>3</v>
      </c>
      <c r="H46" s="2"/>
      <c r="I46" s="16" t="s">
        <v>132</v>
      </c>
      <c r="J46" s="14">
        <f t="shared" si="33"/>
        <v>140.74074074074073</v>
      </c>
      <c r="K46" s="2" t="s">
        <v>47</v>
      </c>
      <c r="L46" s="15"/>
      <c r="M46" s="2"/>
      <c r="N46" s="11">
        <f t="shared" si="9"/>
        <v>0</v>
      </c>
      <c r="O46" s="11"/>
      <c r="P46" s="20">
        <f t="shared" si="1"/>
        <v>0</v>
      </c>
      <c r="Q46" s="21">
        <f t="shared" si="2"/>
        <v>0</v>
      </c>
      <c r="R46" s="21">
        <f t="shared" si="3"/>
        <v>0</v>
      </c>
      <c r="S46" s="21">
        <f t="shared" si="4"/>
        <v>0</v>
      </c>
      <c r="T46" s="21">
        <f t="shared" si="5"/>
        <v>0</v>
      </c>
      <c r="U46" s="21">
        <f t="shared" si="6"/>
        <v>0</v>
      </c>
      <c r="V46" s="20">
        <f t="shared" si="10"/>
        <v>0</v>
      </c>
      <c r="W46" s="18">
        <f t="shared" si="0"/>
        <v>0</v>
      </c>
      <c r="X46" s="3"/>
      <c r="Y46" s="6">
        <f t="shared" si="8"/>
        <v>0</v>
      </c>
      <c r="Z46" s="2"/>
      <c r="AA46" s="26">
        <f t="shared" si="34"/>
        <v>20</v>
      </c>
      <c r="AB46" s="30">
        <f t="shared" si="28"/>
        <v>5536.1599999999989</v>
      </c>
      <c r="AC46" s="29">
        <v>117858.1347227215</v>
      </c>
      <c r="AD46" s="34">
        <f t="shared" si="32"/>
        <v>0.7664570211720434</v>
      </c>
      <c r="AE46" s="2"/>
      <c r="AF46" s="26">
        <f t="shared" si="35"/>
        <v>20</v>
      </c>
      <c r="AG46" s="30">
        <f t="shared" si="30"/>
        <v>42000</v>
      </c>
      <c r="AH46" s="29">
        <v>125001.54519735472</v>
      </c>
      <c r="AI46" s="34">
        <f t="shared" si="31"/>
        <v>6.8739367150446036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4" t="s">
        <v>108</v>
      </c>
      <c r="B47" s="23">
        <f>B45+(B14/B8)</f>
        <v>11945.402150537629</v>
      </c>
      <c r="C47" s="2" t="s">
        <v>3</v>
      </c>
      <c r="D47" s="2"/>
      <c r="E47" s="69" t="s">
        <v>91</v>
      </c>
      <c r="F47" s="71">
        <f>J12*J11</f>
        <v>160800</v>
      </c>
      <c r="G47" s="69" t="s">
        <v>96</v>
      </c>
      <c r="H47" s="2"/>
      <c r="I47" s="2"/>
      <c r="J47" s="2"/>
      <c r="K47" s="2"/>
      <c r="L47" s="15"/>
      <c r="M47" s="2"/>
      <c r="N47" s="11">
        <f t="shared" si="9"/>
        <v>0</v>
      </c>
      <c r="O47" s="11"/>
      <c r="P47" s="20">
        <f t="shared" si="1"/>
        <v>0</v>
      </c>
      <c r="Q47" s="21">
        <f t="shared" si="2"/>
        <v>0</v>
      </c>
      <c r="R47" s="21">
        <f t="shared" si="3"/>
        <v>0</v>
      </c>
      <c r="S47" s="21">
        <f t="shared" si="4"/>
        <v>0</v>
      </c>
      <c r="T47" s="21">
        <f t="shared" si="5"/>
        <v>0</v>
      </c>
      <c r="U47" s="21">
        <f t="shared" si="6"/>
        <v>0</v>
      </c>
      <c r="V47" s="20">
        <f t="shared" si="10"/>
        <v>0</v>
      </c>
      <c r="W47" s="18">
        <f t="shared" si="0"/>
        <v>0</v>
      </c>
      <c r="X47" s="3"/>
      <c r="Y47" s="6">
        <f t="shared" si="8"/>
        <v>0</v>
      </c>
      <c r="Z47" s="2"/>
      <c r="AA47" s="26">
        <f t="shared" si="34"/>
        <v>30</v>
      </c>
      <c r="AB47" s="30">
        <f t="shared" si="28"/>
        <v>5997.5066666666662</v>
      </c>
      <c r="AC47" s="29">
        <v>118306.36520303643</v>
      </c>
      <c r="AD47" s="34">
        <f t="shared" si="32"/>
        <v>1.1496855317580528</v>
      </c>
      <c r="AE47" s="2"/>
      <c r="AF47" s="26">
        <f t="shared" si="35"/>
        <v>30</v>
      </c>
      <c r="AG47" s="30">
        <f t="shared" si="30"/>
        <v>45500</v>
      </c>
      <c r="AH47" s="29">
        <v>127265.41180618053</v>
      </c>
      <c r="AI47" s="34">
        <f t="shared" si="31"/>
        <v>8.8094994818964913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4" t="s">
        <v>109</v>
      </c>
      <c r="B48" s="5">
        <f>B46+(B14/B8)</f>
        <v>4613.4666666666662</v>
      </c>
      <c r="C48" s="2" t="s">
        <v>3</v>
      </c>
      <c r="D48" s="2"/>
      <c r="E48" s="69" t="s">
        <v>144</v>
      </c>
      <c r="F48" s="72">
        <f>(F46/F47)*J25</f>
        <v>4.5917479477611947E-2</v>
      </c>
      <c r="G48" s="69" t="s">
        <v>4</v>
      </c>
      <c r="H48" s="2"/>
      <c r="I48" s="2"/>
      <c r="J48" s="2"/>
      <c r="K48" s="2"/>
      <c r="L48" s="15"/>
      <c r="M48" s="2"/>
      <c r="N48" s="11">
        <f t="shared" si="9"/>
        <v>0</v>
      </c>
      <c r="O48" s="11"/>
      <c r="P48" s="20">
        <f t="shared" si="1"/>
        <v>0</v>
      </c>
      <c r="Q48" s="21">
        <f t="shared" si="2"/>
        <v>0</v>
      </c>
      <c r="R48" s="21">
        <f t="shared" si="3"/>
        <v>0</v>
      </c>
      <c r="S48" s="21">
        <f t="shared" si="4"/>
        <v>0</v>
      </c>
      <c r="T48" s="21">
        <f t="shared" si="5"/>
        <v>0</v>
      </c>
      <c r="U48" s="21">
        <f t="shared" si="6"/>
        <v>0</v>
      </c>
      <c r="V48" s="20">
        <f t="shared" si="10"/>
        <v>0</v>
      </c>
      <c r="W48" s="18">
        <f t="shared" si="0"/>
        <v>0</v>
      </c>
      <c r="X48" s="3"/>
      <c r="Y48" s="6">
        <f t="shared" si="8"/>
        <v>0</v>
      </c>
      <c r="Z48" s="2"/>
      <c r="AA48" s="26">
        <f t="shared" si="34"/>
        <v>40</v>
      </c>
      <c r="AB48" s="30">
        <f t="shared" si="28"/>
        <v>6458.8533333333326</v>
      </c>
      <c r="AC48" s="29">
        <v>118754.59568335138</v>
      </c>
      <c r="AD48" s="34">
        <f t="shared" si="32"/>
        <v>1.5329140423440746</v>
      </c>
      <c r="AE48" s="2"/>
      <c r="AF48" s="26">
        <f t="shared" si="35"/>
        <v>40</v>
      </c>
      <c r="AG48" s="30">
        <f t="shared" si="30"/>
        <v>49000</v>
      </c>
      <c r="AH48" s="29">
        <v>129529.27841500634</v>
      </c>
      <c r="AI48" s="34">
        <f t="shared" si="31"/>
        <v>10.745062248748367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 t="s">
        <v>160</v>
      </c>
      <c r="B49" s="23">
        <f>B47+B48</f>
        <v>16558.868817204297</v>
      </c>
      <c r="C49" s="2" t="s">
        <v>3</v>
      </c>
      <c r="D49" s="2"/>
      <c r="E49" s="69" t="s">
        <v>145</v>
      </c>
      <c r="F49" s="67">
        <f>J26*365</f>
        <v>54750</v>
      </c>
      <c r="G49" s="69" t="s">
        <v>41</v>
      </c>
      <c r="H49" s="2"/>
      <c r="I49" s="16"/>
      <c r="J49" s="14"/>
      <c r="K49" s="2"/>
      <c r="L49" s="15"/>
      <c r="M49" s="2"/>
      <c r="N49" s="12" t="s">
        <v>110</v>
      </c>
      <c r="O49" s="18">
        <f t="shared" ref="O49:W49" si="36">SUM(O8:O48)</f>
        <v>18514.389195698921</v>
      </c>
      <c r="P49" s="18">
        <f t="shared" si="36"/>
        <v>49041.548903589879</v>
      </c>
      <c r="Q49" s="18">
        <f t="shared" si="36"/>
        <v>15570.020416550136</v>
      </c>
      <c r="R49" s="18">
        <f t="shared" si="36"/>
        <v>0</v>
      </c>
      <c r="S49" s="18">
        <f t="shared" si="36"/>
        <v>31687.737751848432</v>
      </c>
      <c r="T49" s="18">
        <f t="shared" si="36"/>
        <v>6992.0302864998393</v>
      </c>
      <c r="U49" s="18">
        <f t="shared" si="36"/>
        <v>0</v>
      </c>
      <c r="V49" s="18">
        <f t="shared" si="36"/>
        <v>-4844.0527920955838</v>
      </c>
      <c r="W49" s="18">
        <f t="shared" si="36"/>
        <v>116961.67376209161</v>
      </c>
      <c r="X49" s="3"/>
      <c r="Y49" s="3"/>
      <c r="Z49" s="2"/>
      <c r="AA49" s="26">
        <f t="shared" si="34"/>
        <v>50</v>
      </c>
      <c r="AB49" s="30">
        <f t="shared" si="28"/>
        <v>6920.1999999999989</v>
      </c>
      <c r="AC49" s="29">
        <v>119202.82616366631</v>
      </c>
      <c r="AD49" s="34">
        <f t="shared" si="32"/>
        <v>1.916142552930084</v>
      </c>
      <c r="AE49" s="2"/>
      <c r="AF49" s="26">
        <f t="shared" si="35"/>
        <v>50</v>
      </c>
      <c r="AG49" s="30">
        <f t="shared" si="30"/>
        <v>52500</v>
      </c>
      <c r="AH49" s="29">
        <v>131793.14502383216</v>
      </c>
      <c r="AI49" s="34">
        <f t="shared" si="31"/>
        <v>12.680625015600253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4" t="s">
        <v>111</v>
      </c>
      <c r="B50" s="6">
        <f>SUM(B33:B39)+SUM(B49)</f>
        <v>61714.630652329739</v>
      </c>
      <c r="C50" s="2" t="s">
        <v>3</v>
      </c>
      <c r="D50" s="2"/>
      <c r="E50" s="69" t="s">
        <v>146</v>
      </c>
      <c r="F50" s="73">
        <f>F48*F49</f>
        <v>2513.9820013992539</v>
      </c>
      <c r="G50" s="74" t="s">
        <v>47</v>
      </c>
      <c r="H50" s="2"/>
      <c r="I50" s="2"/>
      <c r="J50" s="2"/>
      <c r="K50" s="2"/>
      <c r="L50" s="15"/>
      <c r="M50" s="2"/>
      <c r="N50" s="2"/>
      <c r="O50" s="2"/>
      <c r="P50" s="6"/>
      <c r="Q50" s="2"/>
      <c r="R50" s="2"/>
      <c r="S50" s="2"/>
      <c r="T50" s="2"/>
      <c r="U50" s="2"/>
      <c r="V50" s="2"/>
      <c r="W50" s="23"/>
      <c r="X50" s="2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4" t="s">
        <v>152</v>
      </c>
      <c r="B51" s="6">
        <f>SUM(B31:B32)</f>
        <v>0</v>
      </c>
      <c r="C51" s="2" t="s">
        <v>3</v>
      </c>
      <c r="D51" s="2"/>
      <c r="E51" s="69" t="s">
        <v>147</v>
      </c>
      <c r="F51" s="75">
        <f>IF(F12&gt;F49,(F12-F49)*F48,0)</f>
        <v>0</v>
      </c>
      <c r="G51" s="74" t="s">
        <v>47</v>
      </c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5" t="s">
        <v>46</v>
      </c>
      <c r="AB51" s="26"/>
      <c r="AC51" s="26"/>
      <c r="AD51" s="26"/>
      <c r="AE51" s="2"/>
      <c r="AF51" s="77" t="s">
        <v>139</v>
      </c>
      <c r="AG51" s="78"/>
      <c r="AH51" s="78"/>
      <c r="AI51" s="78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4" t="s">
        <v>150</v>
      </c>
      <c r="B52" s="6">
        <f>B50+B51</f>
        <v>61714.630652329739</v>
      </c>
      <c r="C52" s="2" t="s">
        <v>3</v>
      </c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6" t="s">
        <v>77</v>
      </c>
      <c r="AB52" s="26" t="s">
        <v>80</v>
      </c>
      <c r="AC52" s="26" t="s">
        <v>22</v>
      </c>
      <c r="AD52" s="26" t="s">
        <v>79</v>
      </c>
      <c r="AE52" s="2"/>
      <c r="AF52" s="78" t="s">
        <v>77</v>
      </c>
      <c r="AG52" s="78" t="s">
        <v>149</v>
      </c>
      <c r="AH52" s="78" t="s">
        <v>22</v>
      </c>
      <c r="AI52" s="78" t="s">
        <v>79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9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6" t="s">
        <v>82</v>
      </c>
      <c r="AB53" s="30">
        <v>871.49999999999989</v>
      </c>
      <c r="AC53" s="29">
        <f>W49</f>
        <v>116961.67376209161</v>
      </c>
      <c r="AD53" s="26"/>
      <c r="AE53" s="2"/>
      <c r="AF53" s="78" t="s">
        <v>82</v>
      </c>
      <c r="AG53" s="79">
        <v>150</v>
      </c>
      <c r="AH53" s="80">
        <f>W49</f>
        <v>116961.67376209161</v>
      </c>
      <c r="AI53" s="78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0"/>
      <c r="O54" s="51" t="s">
        <v>112</v>
      </c>
      <c r="P54" s="52" t="str">
        <f>B1</f>
        <v>Singapore</v>
      </c>
      <c r="Q54" s="50"/>
      <c r="R54" s="50"/>
      <c r="S54" s="50"/>
      <c r="T54" s="50"/>
      <c r="U54" s="53"/>
      <c r="V54" s="2"/>
      <c r="W54" s="33"/>
      <c r="X54" s="33"/>
      <c r="Y54" s="53"/>
      <c r="Z54" s="33"/>
      <c r="AA54" s="26">
        <f t="shared" ref="AA54:AA58" si="37">AA55-10</f>
        <v>-50</v>
      </c>
      <c r="AB54" s="30">
        <f t="shared" ref="AB54:AB64" si="38">$AB$53*(1+(AA54/100))</f>
        <v>435.74999999999994</v>
      </c>
      <c r="AC54" s="29">
        <f t="dataTable" ref="AC54:AC64" dt2D="0" dtr="0" r1="J44" ca="1"/>
        <v>113427.35092623769</v>
      </c>
      <c r="AD54" s="34">
        <f t="shared" ref="AD54:AD64" si="39">100*((AC54-$AC$59)/$AC$59)</f>
        <v>-3.0217786067622328</v>
      </c>
      <c r="AE54" s="2"/>
      <c r="AF54" s="78">
        <f t="shared" ref="AF54:AF56" si="40">AF55-20</f>
        <v>-100</v>
      </c>
      <c r="AG54" s="30">
        <f>$AG$53*(1+(AF54/100))</f>
        <v>0</v>
      </c>
      <c r="AH54" s="29">
        <f t="dataTable" ref="AH54:AH64" dt2D="0" dtr="0" r1="J26" ca="1"/>
        <v>116961.67376209161</v>
      </c>
      <c r="AI54" s="34">
        <f>100*((AH54-$AH$59)/$AH$59)</f>
        <v>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113</v>
      </c>
      <c r="P55" s="23">
        <f>SUM(O49:P49)</f>
        <v>67555.938099288804</v>
      </c>
      <c r="Q55" s="2" t="s">
        <v>3</v>
      </c>
      <c r="R55" s="47">
        <f t="shared" ref="R55:R59" si="41">P55/$J$34</f>
        <v>0.193016965997968</v>
      </c>
      <c r="S55" s="2" t="s">
        <v>4</v>
      </c>
      <c r="T55" s="2"/>
      <c r="U55" s="53"/>
      <c r="V55" s="2"/>
      <c r="W55" s="33"/>
      <c r="X55" s="33"/>
      <c r="Y55" s="53"/>
      <c r="Z55" s="33"/>
      <c r="AA55" s="26">
        <f t="shared" si="37"/>
        <v>-40</v>
      </c>
      <c r="AB55" s="30">
        <f t="shared" si="38"/>
        <v>522.89999999999986</v>
      </c>
      <c r="AC55" s="29">
        <v>114134.21549340847</v>
      </c>
      <c r="AD55" s="34">
        <f t="shared" si="39"/>
        <v>-2.4174228854097914</v>
      </c>
      <c r="AE55" s="2"/>
      <c r="AF55" s="78">
        <f t="shared" si="40"/>
        <v>-80</v>
      </c>
      <c r="AG55" s="30">
        <f t="shared" ref="AG55:AG64" si="42">$AG$53*(1+(AF55/100))</f>
        <v>29.999999999999993</v>
      </c>
      <c r="AH55" s="29">
        <v>116961.67376209161</v>
      </c>
      <c r="AI55" s="34">
        <f t="shared" ref="AI55:AI64" si="43">100*((AH55-$AH$59)/$AH$59)</f>
        <v>0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97</v>
      </c>
      <c r="P56" s="23">
        <f>SUM(Q49:R49)</f>
        <v>15570.020416550136</v>
      </c>
      <c r="Q56" s="2" t="s">
        <v>3</v>
      </c>
      <c r="R56" s="47">
        <f t="shared" si="41"/>
        <v>4.4485772618714677E-2</v>
      </c>
      <c r="S56" s="2" t="s">
        <v>4</v>
      </c>
      <c r="T56" s="2"/>
      <c r="U56" s="53"/>
      <c r="V56" s="2"/>
      <c r="W56" s="33"/>
      <c r="X56" s="33"/>
      <c r="Y56" s="53"/>
      <c r="Z56" s="33"/>
      <c r="AA56" s="26">
        <f t="shared" si="37"/>
        <v>-30</v>
      </c>
      <c r="AB56" s="30">
        <f t="shared" si="38"/>
        <v>610.04999999999984</v>
      </c>
      <c r="AC56" s="29">
        <v>114841.08006057926</v>
      </c>
      <c r="AD56" s="34">
        <f t="shared" si="39"/>
        <v>-1.8130671640573373</v>
      </c>
      <c r="AE56" s="2"/>
      <c r="AF56" s="78">
        <f t="shared" si="40"/>
        <v>-60</v>
      </c>
      <c r="AG56" s="30">
        <f t="shared" si="42"/>
        <v>60</v>
      </c>
      <c r="AH56" s="29">
        <v>116961.67376209161</v>
      </c>
      <c r="AI56" s="34">
        <f t="shared" si="43"/>
        <v>0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114</v>
      </c>
      <c r="P57" s="23">
        <f>SUM(S49)</f>
        <v>31687.737751848432</v>
      </c>
      <c r="Q57" s="2" t="s">
        <v>3</v>
      </c>
      <c r="R57" s="47">
        <f t="shared" si="41"/>
        <v>9.0536393576709812E-2</v>
      </c>
      <c r="S57" s="2" t="s">
        <v>4</v>
      </c>
      <c r="T57" s="2"/>
      <c r="U57" s="53"/>
      <c r="V57" s="2"/>
      <c r="W57" s="33"/>
      <c r="X57" s="33"/>
      <c r="Y57" s="53"/>
      <c r="Z57" s="33"/>
      <c r="AA57" s="26">
        <f t="shared" si="37"/>
        <v>-20</v>
      </c>
      <c r="AB57" s="30">
        <f t="shared" si="38"/>
        <v>697.19999999999993</v>
      </c>
      <c r="AC57" s="29">
        <v>115547.94462775004</v>
      </c>
      <c r="AD57" s="34">
        <f t="shared" si="39"/>
        <v>-1.2087114427048957</v>
      </c>
      <c r="AE57" s="2"/>
      <c r="AF57" s="78">
        <f>AF58-20</f>
        <v>-40</v>
      </c>
      <c r="AG57" s="30">
        <f t="shared" si="42"/>
        <v>90</v>
      </c>
      <c r="AH57" s="29">
        <v>116961.67376209161</v>
      </c>
      <c r="AI57" s="34">
        <f t="shared" si="43"/>
        <v>0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115</v>
      </c>
      <c r="P58" s="23">
        <f>SUM(T49:U49)</f>
        <v>6992.0302864998393</v>
      </c>
      <c r="Q58" s="2" t="s">
        <v>3</v>
      </c>
      <c r="R58" s="47">
        <f t="shared" si="41"/>
        <v>1.9977229389999542E-2</v>
      </c>
      <c r="S58" s="2" t="s">
        <v>4</v>
      </c>
      <c r="T58" s="2"/>
      <c r="U58" s="53"/>
      <c r="V58" s="2"/>
      <c r="W58" s="33"/>
      <c r="X58" s="33"/>
      <c r="Y58" s="53"/>
      <c r="Z58" s="33"/>
      <c r="AA58" s="26">
        <f t="shared" si="37"/>
        <v>-10</v>
      </c>
      <c r="AB58" s="30">
        <f t="shared" si="38"/>
        <v>784.34999999999991</v>
      </c>
      <c r="AC58" s="29">
        <v>116254.80919492083</v>
      </c>
      <c r="AD58" s="34">
        <f t="shared" si="39"/>
        <v>-0.60435572135244153</v>
      </c>
      <c r="AE58" s="2"/>
      <c r="AF58" s="78">
        <f>AF59-20</f>
        <v>-20</v>
      </c>
      <c r="AG58" s="30">
        <f t="shared" si="42"/>
        <v>120</v>
      </c>
      <c r="AH58" s="29">
        <v>116961.67376209161</v>
      </c>
      <c r="AI58" s="34">
        <f t="shared" si="43"/>
        <v>0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116</v>
      </c>
      <c r="P59" s="23">
        <f>V49</f>
        <v>-4844.0527920955838</v>
      </c>
      <c r="Q59" s="2" t="s">
        <v>3</v>
      </c>
      <c r="R59" s="47">
        <f t="shared" si="41"/>
        <v>-1.384015083455881E-2</v>
      </c>
      <c r="S59" s="2" t="s">
        <v>4</v>
      </c>
      <c r="T59" s="2"/>
      <c r="U59" s="53"/>
      <c r="V59" s="2"/>
      <c r="W59" s="33"/>
      <c r="X59" s="33"/>
      <c r="Y59" s="53"/>
      <c r="Z59" s="33"/>
      <c r="AA59" s="40">
        <v>0</v>
      </c>
      <c r="AB59" s="44">
        <f t="shared" si="38"/>
        <v>871.49999999999989</v>
      </c>
      <c r="AC59" s="42">
        <v>116961.67376209161</v>
      </c>
      <c r="AD59" s="43">
        <f t="shared" si="39"/>
        <v>0</v>
      </c>
      <c r="AE59" s="2"/>
      <c r="AF59" s="81">
        <v>0</v>
      </c>
      <c r="AG59" s="83">
        <f t="shared" si="42"/>
        <v>150</v>
      </c>
      <c r="AH59" s="42">
        <v>116961.67376209161</v>
      </c>
      <c r="AI59" s="82">
        <f t="shared" si="43"/>
        <v>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SUM(P55:P59)</f>
        <v>116961.67376209162</v>
      </c>
      <c r="Q60" s="1" t="s">
        <v>3</v>
      </c>
      <c r="R60" s="55">
        <f>SUM(R55:R59)</f>
        <v>0.33417621074883319</v>
      </c>
      <c r="S60" s="1" t="s">
        <v>4</v>
      </c>
      <c r="T60" s="2"/>
      <c r="U60" s="53"/>
      <c r="V60" s="2"/>
      <c r="W60" s="33"/>
      <c r="X60" s="33"/>
      <c r="Y60" s="53"/>
      <c r="Z60" s="33"/>
      <c r="AA60" s="26">
        <f t="shared" ref="AA60:AA64" si="44">AA59+10</f>
        <v>10</v>
      </c>
      <c r="AB60" s="30">
        <f t="shared" si="38"/>
        <v>958.65</v>
      </c>
      <c r="AC60" s="29">
        <v>117668.53832926242</v>
      </c>
      <c r="AD60" s="34">
        <f t="shared" si="39"/>
        <v>0.60435572135246651</v>
      </c>
      <c r="AE60" s="2"/>
      <c r="AF60" s="78">
        <f>AF59+20</f>
        <v>20</v>
      </c>
      <c r="AG60" s="30">
        <f t="shared" si="42"/>
        <v>180</v>
      </c>
      <c r="AH60" s="29">
        <v>116961.67376209161</v>
      </c>
      <c r="AI60" s="34">
        <f t="shared" si="43"/>
        <v>0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53"/>
      <c r="V61" s="2"/>
      <c r="W61" s="33"/>
      <c r="X61" s="33"/>
      <c r="Y61" s="53"/>
      <c r="Z61" s="33"/>
      <c r="AA61" s="26">
        <f t="shared" si="44"/>
        <v>20</v>
      </c>
      <c r="AB61" s="30">
        <f t="shared" si="38"/>
        <v>1045.7999999999997</v>
      </c>
      <c r="AC61" s="29">
        <v>118375.4028964332</v>
      </c>
      <c r="AD61" s="34">
        <f t="shared" si="39"/>
        <v>1.2087114427049082</v>
      </c>
      <c r="AE61" s="2"/>
      <c r="AF61" s="78">
        <f t="shared" ref="AF61:AF64" si="45">AF60+20</f>
        <v>40</v>
      </c>
      <c r="AG61" s="30">
        <f t="shared" si="42"/>
        <v>210</v>
      </c>
      <c r="AH61" s="29">
        <v>116961.67376209161</v>
      </c>
      <c r="AI61" s="34">
        <f t="shared" si="43"/>
        <v>0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53"/>
      <c r="V62" s="2"/>
      <c r="W62" s="33"/>
      <c r="X62" s="33"/>
      <c r="Y62" s="53"/>
      <c r="Z62" s="33"/>
      <c r="AA62" s="26">
        <f t="shared" si="44"/>
        <v>30</v>
      </c>
      <c r="AB62" s="30">
        <f t="shared" si="38"/>
        <v>1132.9499999999998</v>
      </c>
      <c r="AC62" s="29">
        <v>119082.26746360402</v>
      </c>
      <c r="AD62" s="34">
        <f t="shared" si="39"/>
        <v>1.813067164057387</v>
      </c>
      <c r="AE62" s="2"/>
      <c r="AF62" s="78">
        <f t="shared" si="45"/>
        <v>60</v>
      </c>
      <c r="AG62" s="30">
        <f t="shared" si="42"/>
        <v>240</v>
      </c>
      <c r="AH62" s="29">
        <v>116961.67376209161</v>
      </c>
      <c r="AI62" s="34">
        <f t="shared" si="43"/>
        <v>0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53"/>
      <c r="V63" s="2"/>
      <c r="W63" s="33"/>
      <c r="X63" s="33"/>
      <c r="Y63" s="53"/>
      <c r="Z63" s="33"/>
      <c r="AA63" s="26">
        <f t="shared" si="44"/>
        <v>40</v>
      </c>
      <c r="AB63" s="30">
        <f t="shared" si="38"/>
        <v>1220.0999999999997</v>
      </c>
      <c r="AC63" s="29">
        <v>119789.1320307748</v>
      </c>
      <c r="AD63" s="34">
        <f t="shared" si="39"/>
        <v>2.4174228854098287</v>
      </c>
      <c r="AE63" s="2"/>
      <c r="AF63" s="78">
        <f t="shared" si="45"/>
        <v>80</v>
      </c>
      <c r="AG63" s="30">
        <f t="shared" si="42"/>
        <v>270</v>
      </c>
      <c r="AH63" s="29">
        <v>116961.67376209161</v>
      </c>
      <c r="AI63" s="34">
        <f t="shared" si="43"/>
        <v>0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53"/>
      <c r="V64" s="2"/>
      <c r="W64" s="33"/>
      <c r="X64" s="33"/>
      <c r="Y64" s="53"/>
      <c r="Z64" s="33"/>
      <c r="AA64" s="26">
        <f t="shared" si="44"/>
        <v>50</v>
      </c>
      <c r="AB64" s="30">
        <f t="shared" si="38"/>
        <v>1307.2499999999998</v>
      </c>
      <c r="AC64" s="29">
        <v>120495.99659794556</v>
      </c>
      <c r="AD64" s="34">
        <f t="shared" si="39"/>
        <v>3.0217786067622576</v>
      </c>
      <c r="AE64" s="2"/>
      <c r="AF64" s="78">
        <f t="shared" si="45"/>
        <v>100</v>
      </c>
      <c r="AG64" s="30">
        <f t="shared" si="42"/>
        <v>300</v>
      </c>
      <c r="AH64" s="29">
        <v>116961.67376209161</v>
      </c>
      <c r="AI64" s="34">
        <f t="shared" si="43"/>
        <v>0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53"/>
      <c r="V65" s="2"/>
      <c r="W65" s="33"/>
      <c r="X65" s="33"/>
      <c r="Y65" s="53"/>
      <c r="Z65" s="33"/>
      <c r="AA65" s="2"/>
      <c r="AB65" s="2"/>
      <c r="AC65" s="2"/>
      <c r="AD65" s="2"/>
      <c r="AE65" s="2"/>
      <c r="AF65" s="2"/>
      <c r="AG65" s="49"/>
      <c r="AH65" s="6"/>
      <c r="AI65" s="54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53"/>
      <c r="V66" s="2"/>
      <c r="W66" s="33"/>
      <c r="X66" s="33"/>
      <c r="Y66" s="53"/>
      <c r="Z66" s="33"/>
      <c r="AA66" s="77" t="s">
        <v>178</v>
      </c>
      <c r="AB66" s="78"/>
      <c r="AC66" s="78"/>
      <c r="AD66" s="78"/>
      <c r="AE66" s="2"/>
      <c r="AF66" s="2"/>
      <c r="AG66" s="49"/>
      <c r="AH66" s="6"/>
      <c r="AI66" s="54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3"/>
      <c r="V67" s="2"/>
      <c r="W67" s="33"/>
      <c r="X67" s="33"/>
      <c r="Y67" s="53"/>
      <c r="Z67" s="33"/>
      <c r="AA67" s="78" t="s">
        <v>77</v>
      </c>
      <c r="AB67" s="78" t="s">
        <v>178</v>
      </c>
      <c r="AC67" s="78" t="s">
        <v>22</v>
      </c>
      <c r="AD67" s="78" t="s">
        <v>79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53"/>
      <c r="V68" s="2"/>
      <c r="W68" s="33"/>
      <c r="X68" s="33"/>
      <c r="Y68" s="53"/>
      <c r="Z68" s="33"/>
      <c r="AA68" s="78" t="s">
        <v>82</v>
      </c>
      <c r="AB68" s="100">
        <v>0.14199999999999999</v>
      </c>
      <c r="AC68" s="80">
        <f>W49</f>
        <v>116961.67376209161</v>
      </c>
      <c r="AD68" s="78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56"/>
      <c r="X69" s="56"/>
      <c r="Y69" s="2"/>
      <c r="Z69" s="56"/>
      <c r="AA69" s="78">
        <f t="shared" ref="AA69:AA73" si="46">AA70-10</f>
        <v>-50</v>
      </c>
      <c r="AB69" s="100">
        <f>$AB$68*(1+(-AA69/100))</f>
        <v>0.21299999999999997</v>
      </c>
      <c r="AC69" s="80">
        <f t="dataTable" ref="AC69:AC79" dt2D="0" dtr="0" r1="J17"/>
        <v>124746.68397036669</v>
      </c>
      <c r="AD69" s="101">
        <f>100*((AC69-$AC$74)/$AC$74)</f>
        <v>6.6560352274971271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78">
        <f t="shared" si="46"/>
        <v>-40</v>
      </c>
      <c r="AB70" s="100">
        <f t="shared" ref="AB70:AB79" si="47">$AB$68*(1+(-AA70/100))</f>
        <v>0.19879999999999998</v>
      </c>
      <c r="AC70" s="80">
        <v>123189.68192871168</v>
      </c>
      <c r="AD70" s="101">
        <f t="shared" ref="AD70:AD79" si="48">100*((AC70-$AC$74)/$AC$74)</f>
        <v>5.3248281819977068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78">
        <f t="shared" si="46"/>
        <v>-30</v>
      </c>
      <c r="AB71" s="100">
        <f t="shared" si="47"/>
        <v>0.18459999999999999</v>
      </c>
      <c r="AC71" s="80">
        <v>121632.67988705667</v>
      </c>
      <c r="AD71" s="101">
        <f t="shared" si="48"/>
        <v>3.9936211364982861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78">
        <f t="shared" si="46"/>
        <v>-20</v>
      </c>
      <c r="AB72" s="100">
        <f t="shared" si="47"/>
        <v>0.17039999999999997</v>
      </c>
      <c r="AC72" s="80">
        <v>120075.67784540166</v>
      </c>
      <c r="AD72" s="101">
        <f t="shared" si="48"/>
        <v>2.6624140909988658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78">
        <f t="shared" si="46"/>
        <v>-10</v>
      </c>
      <c r="AB73" s="100">
        <f t="shared" si="47"/>
        <v>0.15620000000000001</v>
      </c>
      <c r="AC73" s="80">
        <v>118518.67580374662</v>
      </c>
      <c r="AD73" s="101">
        <f t="shared" si="48"/>
        <v>1.3312070454994205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81">
        <v>0</v>
      </c>
      <c r="AB74" s="102">
        <f t="shared" si="47"/>
        <v>0.14199999999999999</v>
      </c>
      <c r="AC74" s="103">
        <v>116961.67376209161</v>
      </c>
      <c r="AD74" s="104">
        <f t="shared" si="48"/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78">
        <f t="shared" ref="AA75:AA79" si="49">AA74+10</f>
        <v>10</v>
      </c>
      <c r="AB75" s="100">
        <f t="shared" si="47"/>
        <v>0.1278</v>
      </c>
      <c r="AC75" s="80">
        <v>115404.67172043659</v>
      </c>
      <c r="AD75" s="101">
        <f t="shared" si="48"/>
        <v>-1.3312070454994329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78">
        <f t="shared" si="49"/>
        <v>20</v>
      </c>
      <c r="AB76" s="100">
        <f t="shared" si="47"/>
        <v>0.11359999999999999</v>
      </c>
      <c r="AC76" s="80">
        <v>113847.66967878159</v>
      </c>
      <c r="AD76" s="101">
        <f t="shared" si="48"/>
        <v>-2.662414090998841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78">
        <f t="shared" si="49"/>
        <v>30</v>
      </c>
      <c r="AB77" s="100">
        <f t="shared" si="47"/>
        <v>9.9399999999999988E-2</v>
      </c>
      <c r="AC77" s="80">
        <v>112290.66763712658</v>
      </c>
      <c r="AD77" s="101">
        <f t="shared" si="48"/>
        <v>-3.9936211364982612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78">
        <f t="shared" si="49"/>
        <v>40</v>
      </c>
      <c r="AB78" s="100">
        <f t="shared" si="47"/>
        <v>8.5199999999999984E-2</v>
      </c>
      <c r="AC78" s="80">
        <v>110733.66559547158</v>
      </c>
      <c r="AD78" s="101">
        <f t="shared" si="48"/>
        <v>-5.3248281819976695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78">
        <f t="shared" si="49"/>
        <v>50</v>
      </c>
      <c r="AB79" s="100">
        <f t="shared" si="47"/>
        <v>7.0999999999999994E-2</v>
      </c>
      <c r="AC79" s="80">
        <v>109176.66355381656</v>
      </c>
      <c r="AD79" s="101">
        <f t="shared" si="48"/>
        <v>-6.6560352274971022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dataValidations count="1">
    <dataValidation type="list" allowBlank="1" showInputMessage="1" showErrorMessage="1" sqref="J24" xr:uid="{D65AA8EA-6751-4C62-8525-6966DE414F98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P1000"/>
  <sheetViews>
    <sheetView topLeftCell="F1" zoomScale="66" zoomScaleNormal="110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37.85546875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31.7109375" customWidth="1"/>
    <col min="20" max="20" width="13.42578125" customWidth="1"/>
    <col min="21" max="21" width="22" customWidth="1"/>
    <col min="22" max="22" width="23.85546875" customWidth="1"/>
    <col min="23" max="23" width="12.7109375" customWidth="1"/>
    <col min="24" max="24" width="19.42578125" customWidth="1"/>
    <col min="25" max="25" width="13.42578125" customWidth="1"/>
    <col min="26" max="26" width="8.85546875" customWidth="1"/>
    <col min="27" max="27" width="20.140625" customWidth="1"/>
    <col min="28" max="28" width="25" customWidth="1"/>
    <col min="29" max="29" width="12.85546875" customWidth="1"/>
    <col min="30" max="30" width="19" customWidth="1"/>
    <col min="31" max="31" width="4.7109375" customWidth="1"/>
    <col min="32" max="32" width="20.140625" customWidth="1"/>
    <col min="33" max="33" width="19.28515625" customWidth="1"/>
    <col min="34" max="34" width="11.28515625" customWidth="1"/>
    <col min="35" max="35" width="17.85546875" customWidth="1"/>
  </cols>
  <sheetData>
    <row r="1" spans="1:35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1" t="s">
        <v>2</v>
      </c>
      <c r="B2" s="3">
        <f>T49</f>
        <v>138302.25647656256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4">
        <f>B2/F41</f>
        <v>0.39514930421875016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1" t="s">
        <v>5</v>
      </c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1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 t="s">
        <v>7</v>
      </c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 t="s">
        <v>8</v>
      </c>
      <c r="B5" s="6">
        <v>10</v>
      </c>
      <c r="C5" s="2" t="s">
        <v>9</v>
      </c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7" t="s">
        <v>11</v>
      </c>
      <c r="B7" s="8"/>
      <c r="C7" s="8"/>
      <c r="D7" s="8"/>
      <c r="E7" s="8"/>
      <c r="F7" s="8"/>
      <c r="G7" s="8"/>
      <c r="H7" s="9"/>
      <c r="I7" s="10" t="s">
        <v>12</v>
      </c>
      <c r="J7" s="8"/>
      <c r="K7" s="8"/>
      <c r="L7" s="9"/>
      <c r="M7" s="2"/>
      <c r="N7" s="11" t="s">
        <v>13</v>
      </c>
      <c r="O7" s="11" t="s">
        <v>14</v>
      </c>
      <c r="P7" s="11" t="s">
        <v>15</v>
      </c>
      <c r="Q7" s="11" t="s">
        <v>117</v>
      </c>
      <c r="R7" s="11" t="s">
        <v>118</v>
      </c>
      <c r="S7" s="11" t="s">
        <v>21</v>
      </c>
      <c r="T7" s="12" t="s">
        <v>22</v>
      </c>
      <c r="U7" s="2"/>
      <c r="V7" s="2"/>
      <c r="W7" s="1"/>
      <c r="X7" s="2" t="s">
        <v>23</v>
      </c>
      <c r="Y7" s="2"/>
      <c r="Z7" s="2"/>
      <c r="AA7" s="2" t="s">
        <v>24</v>
      </c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3" t="s">
        <v>25</v>
      </c>
      <c r="B8" s="14">
        <v>1.35</v>
      </c>
      <c r="C8" s="2" t="s">
        <v>26</v>
      </c>
      <c r="D8" s="2"/>
      <c r="E8" s="2"/>
      <c r="F8" s="2"/>
      <c r="G8" s="2"/>
      <c r="H8" s="15"/>
      <c r="I8" s="16" t="s">
        <v>183</v>
      </c>
      <c r="J8" s="6">
        <v>6270.9677419354803</v>
      </c>
      <c r="K8" s="2" t="s">
        <v>28</v>
      </c>
      <c r="L8" s="15"/>
      <c r="M8" s="2"/>
      <c r="N8" s="11">
        <v>0</v>
      </c>
      <c r="O8" s="17">
        <f>F31</f>
        <v>16836.041766308241</v>
      </c>
      <c r="P8" s="11"/>
      <c r="Q8" s="11"/>
      <c r="R8" s="11"/>
      <c r="S8" s="11"/>
      <c r="T8" s="18">
        <f t="shared" ref="T8:T48" si="0">SUM(O8:S8)</f>
        <v>16836.041766308241</v>
      </c>
      <c r="U8" s="2"/>
      <c r="V8" s="2"/>
      <c r="W8" s="3"/>
      <c r="X8" s="6"/>
      <c r="Y8" s="2"/>
      <c r="Z8" s="2"/>
      <c r="AA8" s="2" t="s">
        <v>156</v>
      </c>
      <c r="AB8" s="14">
        <f>F36</f>
        <v>2.1407407407407408</v>
      </c>
      <c r="AC8" s="2" t="s">
        <v>120</v>
      </c>
      <c r="AD8" s="2">
        <v>0.43870967741935485</v>
      </c>
      <c r="AE8" s="2"/>
      <c r="AF8" s="2"/>
      <c r="AG8" s="2"/>
      <c r="AH8" s="2"/>
      <c r="AI8" s="2"/>
    </row>
    <row r="9" spans="1:35" x14ac:dyDescent="0.25">
      <c r="A9" s="13"/>
      <c r="B9" s="2"/>
      <c r="C9" s="2"/>
      <c r="D9" s="2"/>
      <c r="E9" s="2"/>
      <c r="F9" s="49"/>
      <c r="G9" s="2"/>
      <c r="H9" s="15"/>
      <c r="I9" s="2"/>
      <c r="J9" s="2"/>
      <c r="K9" s="2"/>
      <c r="L9" s="15"/>
      <c r="M9" s="2"/>
      <c r="N9" s="11">
        <v>1</v>
      </c>
      <c r="O9" s="11"/>
      <c r="P9" s="20">
        <f t="shared" ref="P9:P48" si="1">IF(N9&gt;0,IF(N9&lt;=$J$15,(($F$32+$F$33)/$J$15)/((1+($F$11/100))^N9),0),0)</f>
        <v>9632.1585105321174</v>
      </c>
      <c r="Q9" s="21">
        <f t="shared" ref="Q9:Q48" si="2">IF(N9&gt;0,($F$38*((1+($F$14/100))^(N9-1)))/((1+($F$11/100))^N9),0)</f>
        <v>5223.2015669515667</v>
      </c>
      <c r="R9" s="21">
        <f t="shared" ref="R9:R48" si="3">IF(N9&gt;0,$J$31/((1+($F$11/100))^N9),0)</f>
        <v>3852.1367521367524</v>
      </c>
      <c r="S9" s="20">
        <f t="shared" ref="S9:S48" si="4">IF(N9=$B$5,((((1-$J$12/100)^N9)*$B$44)/((1+($F$11/100))^N9))*-1,0)</f>
        <v>0</v>
      </c>
      <c r="T9" s="18">
        <f t="shared" si="0"/>
        <v>18707.496829620439</v>
      </c>
      <c r="U9" s="2"/>
      <c r="V9" s="2"/>
      <c r="W9" s="3"/>
      <c r="X9" s="6">
        <f t="shared" ref="X9:X48" si="5">IF(N9&gt;0,((((1-$J$12/100)^N9)*$B$44/((1+($F$11/100))^N9))),0)</f>
        <v>4332.0625938792364</v>
      </c>
      <c r="Y9" s="2"/>
      <c r="Z9" s="2"/>
      <c r="AA9" s="16" t="s">
        <v>150</v>
      </c>
      <c r="AB9" s="23">
        <f>B47</f>
        <v>56120.139221027472</v>
      </c>
      <c r="AC9" s="2" t="s">
        <v>3</v>
      </c>
      <c r="AD9" s="2">
        <v>101935.48387096774</v>
      </c>
      <c r="AE9" s="6"/>
      <c r="AF9" s="2"/>
      <c r="AG9" s="2"/>
      <c r="AH9" s="2"/>
      <c r="AI9" s="2"/>
    </row>
    <row r="10" spans="1:35" x14ac:dyDescent="0.25">
      <c r="A10" s="22" t="s">
        <v>33</v>
      </c>
      <c r="B10" s="2"/>
      <c r="C10" s="2"/>
      <c r="D10" s="2"/>
      <c r="E10" s="1" t="s">
        <v>37</v>
      </c>
      <c r="F10" s="2"/>
      <c r="G10" s="2"/>
      <c r="H10" s="15"/>
      <c r="I10" s="16" t="s">
        <v>121</v>
      </c>
      <c r="J10" s="14">
        <v>7.2499999999999995E-2</v>
      </c>
      <c r="K10" s="2" t="s">
        <v>122</v>
      </c>
      <c r="L10" s="15"/>
      <c r="M10" s="2"/>
      <c r="N10" s="11">
        <f t="shared" ref="N10:N48" si="6">IF((N9+1)&gt;$B$5,,IF(N9=0,,N9+1))</f>
        <v>2</v>
      </c>
      <c r="O10" s="11"/>
      <c r="P10" s="20">
        <f t="shared" si="1"/>
        <v>9261.690875511651</v>
      </c>
      <c r="Q10" s="21">
        <f t="shared" si="2"/>
        <v>5072.5322909818096</v>
      </c>
      <c r="R10" s="21">
        <f t="shared" si="3"/>
        <v>3703.9776462853388</v>
      </c>
      <c r="S10" s="20">
        <f t="shared" si="4"/>
        <v>0</v>
      </c>
      <c r="T10" s="18">
        <f t="shared" si="0"/>
        <v>18038.200812778799</v>
      </c>
      <c r="U10" s="2"/>
      <c r="V10" s="2"/>
      <c r="W10" s="3"/>
      <c r="X10" s="6">
        <f t="shared" si="5"/>
        <v>3870.5313098390247</v>
      </c>
      <c r="Y10" s="2"/>
      <c r="Z10" s="2"/>
      <c r="AA10" s="2" t="s">
        <v>40</v>
      </c>
      <c r="AB10" s="6">
        <f>F12</f>
        <v>35000</v>
      </c>
      <c r="AC10" s="2" t="s">
        <v>41</v>
      </c>
      <c r="AD10" s="2">
        <v>70353</v>
      </c>
      <c r="AE10" s="6"/>
      <c r="AF10" s="2"/>
      <c r="AG10" s="2"/>
      <c r="AH10" s="2"/>
      <c r="AI10" s="2"/>
    </row>
    <row r="11" spans="1:35" x14ac:dyDescent="0.25">
      <c r="A11" s="24" t="s">
        <v>151</v>
      </c>
      <c r="B11" s="2">
        <v>0</v>
      </c>
      <c r="C11" s="2" t="s">
        <v>36</v>
      </c>
      <c r="D11" s="2"/>
      <c r="E11" s="16" t="s">
        <v>43</v>
      </c>
      <c r="F11" s="2">
        <v>4</v>
      </c>
      <c r="G11" s="2" t="s">
        <v>36</v>
      </c>
      <c r="H11" s="15"/>
      <c r="I11" s="16" t="s">
        <v>50</v>
      </c>
      <c r="J11" s="2">
        <v>30</v>
      </c>
      <c r="K11" s="2" t="s">
        <v>51</v>
      </c>
      <c r="L11" s="15"/>
      <c r="M11" s="2"/>
      <c r="N11" s="11">
        <f t="shared" si="6"/>
        <v>3</v>
      </c>
      <c r="O11" s="11"/>
      <c r="P11" s="20">
        <f t="shared" si="1"/>
        <v>8905.47199568428</v>
      </c>
      <c r="Q11" s="21">
        <f t="shared" si="2"/>
        <v>4926.2092441265659</v>
      </c>
      <c r="R11" s="21">
        <f t="shared" si="3"/>
        <v>3561.5169675820566</v>
      </c>
      <c r="S11" s="20">
        <f t="shared" si="4"/>
        <v>0</v>
      </c>
      <c r="T11" s="18">
        <f t="shared" si="0"/>
        <v>17393.198207392903</v>
      </c>
      <c r="U11" s="2"/>
      <c r="V11" s="2"/>
      <c r="W11" s="3"/>
      <c r="X11" s="6">
        <f t="shared" si="5"/>
        <v>3458.170858752329</v>
      </c>
      <c r="Y11" s="2"/>
      <c r="Z11" s="2"/>
      <c r="AA11" s="16" t="s">
        <v>46</v>
      </c>
      <c r="AB11" s="6">
        <f>J33</f>
        <v>1106.0000000000002</v>
      </c>
      <c r="AC11" s="2" t="s">
        <v>47</v>
      </c>
      <c r="AD11" s="2">
        <v>19063.393548387096</v>
      </c>
      <c r="AE11" s="6"/>
      <c r="AF11" s="2"/>
      <c r="AG11" s="2"/>
      <c r="AH11" s="2"/>
      <c r="AI11" s="2"/>
    </row>
    <row r="12" spans="1:35" x14ac:dyDescent="0.25">
      <c r="A12" s="24" t="s">
        <v>42</v>
      </c>
      <c r="B12" s="2">
        <v>0</v>
      </c>
      <c r="C12" s="2" t="s">
        <v>36</v>
      </c>
      <c r="D12" s="2"/>
      <c r="E12" s="16" t="s">
        <v>49</v>
      </c>
      <c r="F12" s="6">
        <v>35000</v>
      </c>
      <c r="G12" s="2" t="s">
        <v>41</v>
      </c>
      <c r="H12" s="15"/>
      <c r="I12" s="16" t="s">
        <v>58</v>
      </c>
      <c r="J12" s="2">
        <v>7.08</v>
      </c>
      <c r="K12" s="2" t="s">
        <v>59</v>
      </c>
      <c r="L12" s="15"/>
      <c r="M12" s="2"/>
      <c r="N12" s="11">
        <f t="shared" si="6"/>
        <v>4</v>
      </c>
      <c r="O12" s="11"/>
      <c r="P12" s="20">
        <f t="shared" si="1"/>
        <v>8562.9538420041154</v>
      </c>
      <c r="Q12" s="21">
        <f t="shared" si="2"/>
        <v>4784.1070543921442</v>
      </c>
      <c r="R12" s="21">
        <f t="shared" si="3"/>
        <v>3424.5355457519768</v>
      </c>
      <c r="S12" s="20">
        <f t="shared" si="4"/>
        <v>0</v>
      </c>
      <c r="T12" s="18">
        <f t="shared" si="0"/>
        <v>16771.596442148235</v>
      </c>
      <c r="U12" s="2"/>
      <c r="V12" s="2"/>
      <c r="W12" s="3"/>
      <c r="X12" s="6">
        <f t="shared" si="5"/>
        <v>3089.7426557237154</v>
      </c>
      <c r="Y12" s="2"/>
      <c r="Z12" s="2"/>
      <c r="AA12" s="69" t="s">
        <v>178</v>
      </c>
      <c r="AB12" s="76">
        <f>J10</f>
        <v>7.2499999999999995E-2</v>
      </c>
      <c r="AC12" s="2" t="s">
        <v>122</v>
      </c>
      <c r="AD12" s="2"/>
      <c r="AE12" s="6"/>
      <c r="AF12" s="2"/>
      <c r="AG12" s="2"/>
      <c r="AH12" s="2"/>
      <c r="AI12" s="2"/>
    </row>
    <row r="13" spans="1:35" x14ac:dyDescent="0.25">
      <c r="A13" s="24" t="s">
        <v>48</v>
      </c>
      <c r="B13" s="2">
        <v>8</v>
      </c>
      <c r="C13" s="2" t="s">
        <v>36</v>
      </c>
      <c r="D13" s="2"/>
      <c r="E13" s="16" t="s">
        <v>119</v>
      </c>
      <c r="F13" s="14">
        <v>2.89</v>
      </c>
      <c r="G13" s="14" t="s">
        <v>123</v>
      </c>
      <c r="H13" s="15"/>
      <c r="I13" s="16"/>
      <c r="J13" s="6"/>
      <c r="K13" s="2"/>
      <c r="L13" s="15"/>
      <c r="M13" s="2"/>
      <c r="N13" s="11">
        <f t="shared" si="6"/>
        <v>5</v>
      </c>
      <c r="O13" s="11"/>
      <c r="P13" s="20">
        <f t="shared" si="1"/>
        <v>8233.6094634654946</v>
      </c>
      <c r="Q13" s="21">
        <f t="shared" si="2"/>
        <v>4646.1039662846788</v>
      </c>
      <c r="R13" s="21">
        <f t="shared" si="3"/>
        <v>3292.8226401461316</v>
      </c>
      <c r="S13" s="20">
        <f t="shared" si="4"/>
        <v>0</v>
      </c>
      <c r="T13" s="18">
        <f t="shared" si="0"/>
        <v>16172.536069896305</v>
      </c>
      <c r="U13" s="2"/>
      <c r="V13" s="2"/>
      <c r="W13" s="3"/>
      <c r="X13" s="6">
        <f t="shared" si="5"/>
        <v>2760.5662266331501</v>
      </c>
      <c r="Y13" s="2"/>
      <c r="Z13" s="2"/>
      <c r="AA13" s="2"/>
      <c r="AB13" s="2"/>
      <c r="AC13" s="2"/>
      <c r="AD13" s="2"/>
      <c r="AE13" s="6"/>
      <c r="AF13" s="2"/>
      <c r="AG13" s="2"/>
      <c r="AH13" s="2"/>
      <c r="AI13" s="2"/>
    </row>
    <row r="14" spans="1:35" x14ac:dyDescent="0.25">
      <c r="A14" s="24" t="s">
        <v>52</v>
      </c>
      <c r="B14" s="2">
        <v>274.68</v>
      </c>
      <c r="C14" s="2" t="s">
        <v>28</v>
      </c>
      <c r="D14" s="2"/>
      <c r="E14" s="16" t="s">
        <v>124</v>
      </c>
      <c r="F14" s="2">
        <v>1</v>
      </c>
      <c r="G14" s="2" t="s">
        <v>57</v>
      </c>
      <c r="H14" s="15"/>
      <c r="I14" s="1" t="s">
        <v>76</v>
      </c>
      <c r="J14" s="2"/>
      <c r="K14" s="2"/>
      <c r="L14" s="15"/>
      <c r="M14" s="2"/>
      <c r="N14" s="11">
        <f t="shared" si="6"/>
        <v>6</v>
      </c>
      <c r="O14" s="11"/>
      <c r="P14" s="20">
        <f t="shared" si="1"/>
        <v>0</v>
      </c>
      <c r="Q14" s="21">
        <f t="shared" si="2"/>
        <v>4512.0817364880049</v>
      </c>
      <c r="R14" s="21">
        <f t="shared" si="3"/>
        <v>3166.1756155251264</v>
      </c>
      <c r="S14" s="20">
        <f t="shared" si="4"/>
        <v>0</v>
      </c>
      <c r="T14" s="18">
        <f t="shared" si="0"/>
        <v>7678.2573520131318</v>
      </c>
      <c r="U14" s="2"/>
      <c r="V14" s="2"/>
      <c r="W14" s="3"/>
      <c r="X14" s="6">
        <f t="shared" si="5"/>
        <v>2466.4597478726187</v>
      </c>
      <c r="Y14" s="2"/>
      <c r="Z14" s="2"/>
      <c r="AA14" s="2"/>
      <c r="AB14" s="2"/>
      <c r="AC14" s="2"/>
      <c r="AD14" s="2"/>
      <c r="AE14" s="6"/>
      <c r="AF14" s="2"/>
      <c r="AG14" s="2"/>
      <c r="AH14" s="2"/>
      <c r="AI14" s="2"/>
    </row>
    <row r="15" spans="1:35" x14ac:dyDescent="0.25">
      <c r="A15" s="24" t="s">
        <v>165</v>
      </c>
      <c r="B15" s="2">
        <v>350</v>
      </c>
      <c r="C15" s="2" t="s">
        <v>28</v>
      </c>
      <c r="D15" s="2"/>
      <c r="E15" s="16" t="s">
        <v>125</v>
      </c>
      <c r="F15" s="2">
        <v>7.63</v>
      </c>
      <c r="G15" s="2" t="s">
        <v>62</v>
      </c>
      <c r="H15" s="15"/>
      <c r="I15" s="16" t="s">
        <v>81</v>
      </c>
      <c r="J15" s="2">
        <v>5</v>
      </c>
      <c r="K15" s="2" t="s">
        <v>51</v>
      </c>
      <c r="L15" s="15"/>
      <c r="M15" s="2"/>
      <c r="N15" s="11">
        <f t="shared" si="6"/>
        <v>7</v>
      </c>
      <c r="O15" s="11"/>
      <c r="P15" s="20">
        <f t="shared" si="1"/>
        <v>0</v>
      </c>
      <c r="Q15" s="21">
        <f t="shared" si="2"/>
        <v>4381.925532550852</v>
      </c>
      <c r="R15" s="21">
        <f t="shared" si="3"/>
        <v>3044.3996303126219</v>
      </c>
      <c r="S15" s="20">
        <f t="shared" si="4"/>
        <v>0</v>
      </c>
      <c r="T15" s="18">
        <f t="shared" si="0"/>
        <v>7426.3251628634735</v>
      </c>
      <c r="U15" s="2"/>
      <c r="V15" s="2"/>
      <c r="W15" s="3"/>
      <c r="X15" s="6">
        <f t="shared" si="5"/>
        <v>2203.6869208877279</v>
      </c>
      <c r="Y15" s="2"/>
      <c r="Z15" s="2"/>
      <c r="AA15" s="2"/>
      <c r="AB15" s="2"/>
      <c r="AC15" s="2"/>
      <c r="AD15" s="2"/>
      <c r="AE15" s="6"/>
      <c r="AF15" s="2"/>
      <c r="AG15" s="2"/>
      <c r="AH15" s="2"/>
      <c r="AI15" s="2"/>
    </row>
    <row r="16" spans="1:35" x14ac:dyDescent="0.25">
      <c r="A16" s="24" t="s">
        <v>126</v>
      </c>
      <c r="B16" s="2">
        <v>5</v>
      </c>
      <c r="C16" s="2" t="s">
        <v>36</v>
      </c>
      <c r="D16" s="2"/>
      <c r="E16" s="16" t="s">
        <v>65</v>
      </c>
      <c r="F16" s="6">
        <v>340</v>
      </c>
      <c r="G16" s="2" t="s">
        <v>62</v>
      </c>
      <c r="H16" s="15"/>
      <c r="I16" s="16" t="s">
        <v>84</v>
      </c>
      <c r="J16" s="2">
        <v>30</v>
      </c>
      <c r="K16" s="2" t="s">
        <v>85</v>
      </c>
      <c r="L16" s="15"/>
      <c r="M16" s="2"/>
      <c r="N16" s="11">
        <f t="shared" si="6"/>
        <v>8</v>
      </c>
      <c r="O16" s="11"/>
      <c r="P16" s="20">
        <f t="shared" si="1"/>
        <v>0</v>
      </c>
      <c r="Q16" s="21">
        <f t="shared" si="2"/>
        <v>4255.5238344964991</v>
      </c>
      <c r="R16" s="21">
        <f t="shared" si="3"/>
        <v>2927.3073368390587</v>
      </c>
      <c r="S16" s="20">
        <f t="shared" si="4"/>
        <v>0</v>
      </c>
      <c r="T16" s="18">
        <f t="shared" si="0"/>
        <v>7182.8311713355579</v>
      </c>
      <c r="U16" s="2"/>
      <c r="V16" s="2"/>
      <c r="W16" s="3"/>
      <c r="X16" s="6">
        <f t="shared" si="5"/>
        <v>1968.9095066239202</v>
      </c>
      <c r="Y16" s="2"/>
      <c r="Z16" s="2"/>
      <c r="AA16" s="2"/>
      <c r="AB16" s="2"/>
      <c r="AC16" s="2"/>
      <c r="AD16" s="2"/>
      <c r="AE16" s="6"/>
      <c r="AF16" s="2"/>
      <c r="AG16" s="2"/>
      <c r="AH16" s="2"/>
      <c r="AI16" s="2"/>
    </row>
    <row r="17" spans="1:42" x14ac:dyDescent="0.25">
      <c r="A17" s="24" t="s">
        <v>64</v>
      </c>
      <c r="B17" s="6">
        <v>72001</v>
      </c>
      <c r="C17" s="2" t="s">
        <v>28</v>
      </c>
      <c r="D17" s="2"/>
      <c r="E17" s="16" t="s">
        <v>46</v>
      </c>
      <c r="F17" s="33">
        <v>4.266000000000001E-2</v>
      </c>
      <c r="G17" s="2" t="s">
        <v>133</v>
      </c>
      <c r="H17" s="15"/>
      <c r="I17" s="2"/>
      <c r="J17" s="2"/>
      <c r="K17" s="2"/>
      <c r="L17" s="15"/>
      <c r="M17" s="2"/>
      <c r="N17" s="11">
        <f t="shared" si="6"/>
        <v>9</v>
      </c>
      <c r="O17" s="11"/>
      <c r="P17" s="20">
        <f t="shared" si="1"/>
        <v>0</v>
      </c>
      <c r="Q17" s="21">
        <f t="shared" si="2"/>
        <v>4132.7683392706385</v>
      </c>
      <c r="R17" s="21">
        <f t="shared" si="3"/>
        <v>2814.7185931144795</v>
      </c>
      <c r="S17" s="20">
        <f t="shared" si="4"/>
        <v>0</v>
      </c>
      <c r="T17" s="18">
        <f t="shared" si="0"/>
        <v>6947.4869323851181</v>
      </c>
      <c r="U17" s="2"/>
      <c r="V17" s="2"/>
      <c r="W17" s="3"/>
      <c r="X17" s="6">
        <f t="shared" si="5"/>
        <v>1759.144916879756</v>
      </c>
      <c r="Y17" s="2"/>
      <c r="Z17" s="2"/>
      <c r="AA17" s="2"/>
      <c r="AB17" s="2"/>
      <c r="AC17" s="2"/>
      <c r="AD17" s="2"/>
      <c r="AE17" s="6"/>
      <c r="AF17" s="2"/>
      <c r="AG17" s="2"/>
      <c r="AH17" s="2"/>
      <c r="AI17" s="2"/>
    </row>
    <row r="18" spans="1:42" x14ac:dyDescent="0.25">
      <c r="A18" s="24" t="s">
        <v>68</v>
      </c>
      <c r="B18" s="6">
        <v>-5000</v>
      </c>
      <c r="C18" s="2" t="s">
        <v>28</v>
      </c>
      <c r="D18" s="2"/>
      <c r="E18" s="16" t="s">
        <v>73</v>
      </c>
      <c r="F18" s="2">
        <v>5.5</v>
      </c>
      <c r="G18" s="2" t="s">
        <v>59</v>
      </c>
      <c r="H18" s="15"/>
      <c r="I18" s="16"/>
      <c r="J18" s="2"/>
      <c r="K18" s="2"/>
      <c r="L18" s="15"/>
      <c r="M18" s="2"/>
      <c r="N18" s="11">
        <f t="shared" si="6"/>
        <v>10</v>
      </c>
      <c r="O18" s="11"/>
      <c r="P18" s="20">
        <f t="shared" si="1"/>
        <v>0</v>
      </c>
      <c r="Q18" s="21">
        <f t="shared" si="2"/>
        <v>4013.5538679455244</v>
      </c>
      <c r="R18" s="21">
        <f t="shared" si="3"/>
        <v>2706.4601856869995</v>
      </c>
      <c r="S18" s="20">
        <f t="shared" si="4"/>
        <v>-1571.728323812182</v>
      </c>
      <c r="T18" s="18">
        <f t="shared" si="0"/>
        <v>5148.2857298203417</v>
      </c>
      <c r="U18" s="2"/>
      <c r="V18" s="2"/>
      <c r="W18" s="3"/>
      <c r="X18" s="6">
        <f t="shared" si="5"/>
        <v>1571.728323812182</v>
      </c>
      <c r="Y18" s="2"/>
      <c r="Z18" s="2"/>
      <c r="AA18" s="2"/>
      <c r="AB18" s="2"/>
      <c r="AC18" s="2"/>
      <c r="AD18" s="2"/>
      <c r="AE18" s="6"/>
      <c r="AF18" s="2"/>
      <c r="AG18" s="2"/>
      <c r="AH18" s="2"/>
      <c r="AI18" s="2"/>
    </row>
    <row r="19" spans="1:42" x14ac:dyDescent="0.25">
      <c r="A19" s="24" t="s">
        <v>71</v>
      </c>
      <c r="B19" s="2">
        <v>28.34</v>
      </c>
      <c r="C19" s="2" t="s">
        <v>28</v>
      </c>
      <c r="D19" s="2"/>
      <c r="E19" s="2"/>
      <c r="F19" s="2"/>
      <c r="G19" s="2"/>
      <c r="H19" s="15"/>
      <c r="I19" s="2"/>
      <c r="J19" s="2"/>
      <c r="K19" s="2"/>
      <c r="L19" s="15"/>
      <c r="M19" s="2"/>
      <c r="N19" s="11">
        <f t="shared" si="6"/>
        <v>0</v>
      </c>
      <c r="O19" s="11"/>
      <c r="P19" s="20">
        <f t="shared" si="1"/>
        <v>0</v>
      </c>
      <c r="Q19" s="21">
        <f t="shared" si="2"/>
        <v>0</v>
      </c>
      <c r="R19" s="21">
        <f t="shared" si="3"/>
        <v>0</v>
      </c>
      <c r="S19" s="20">
        <f t="shared" si="4"/>
        <v>0</v>
      </c>
      <c r="T19" s="18">
        <f t="shared" si="0"/>
        <v>0</v>
      </c>
      <c r="U19" s="2"/>
      <c r="V19" s="2"/>
      <c r="W19" s="3"/>
      <c r="X19" s="6">
        <f t="shared" si="5"/>
        <v>0</v>
      </c>
      <c r="Y19" s="2"/>
      <c r="Z19" s="2"/>
      <c r="AA19" s="2"/>
      <c r="AB19" s="2"/>
      <c r="AC19" s="2"/>
      <c r="AD19" s="2"/>
      <c r="AE19" s="6"/>
      <c r="AF19" s="2"/>
      <c r="AG19" s="2"/>
      <c r="AH19" s="2"/>
      <c r="AI19" s="2"/>
    </row>
    <row r="20" spans="1:42" x14ac:dyDescent="0.25">
      <c r="A20" s="24" t="s">
        <v>72</v>
      </c>
      <c r="B20" s="6">
        <v>1000</v>
      </c>
      <c r="C20" s="2" t="s">
        <v>28</v>
      </c>
      <c r="D20" s="2"/>
      <c r="E20" s="16" t="s">
        <v>74</v>
      </c>
      <c r="F20" s="2">
        <v>100</v>
      </c>
      <c r="G20" s="2" t="s">
        <v>62</v>
      </c>
      <c r="H20" s="15"/>
      <c r="I20" s="2"/>
      <c r="J20" s="2"/>
      <c r="K20" s="2"/>
      <c r="L20" s="15"/>
      <c r="M20" s="2"/>
      <c r="N20" s="11">
        <f t="shared" si="6"/>
        <v>0</v>
      </c>
      <c r="O20" s="11"/>
      <c r="P20" s="20">
        <f t="shared" si="1"/>
        <v>0</v>
      </c>
      <c r="Q20" s="21">
        <f t="shared" si="2"/>
        <v>0</v>
      </c>
      <c r="R20" s="21">
        <f t="shared" si="3"/>
        <v>0</v>
      </c>
      <c r="S20" s="20">
        <f t="shared" si="4"/>
        <v>0</v>
      </c>
      <c r="T20" s="18">
        <f t="shared" si="0"/>
        <v>0</v>
      </c>
      <c r="U20" s="2"/>
      <c r="V20" s="2"/>
      <c r="W20" s="3"/>
      <c r="X20" s="6">
        <f t="shared" si="5"/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42" ht="15.75" customHeight="1" x14ac:dyDescent="0.25">
      <c r="A21" s="2"/>
      <c r="B21" s="2"/>
      <c r="C21" s="2"/>
      <c r="D21" s="2"/>
      <c r="E21" s="16" t="s">
        <v>75</v>
      </c>
      <c r="F21" s="2">
        <v>327</v>
      </c>
      <c r="G21" s="2" t="s">
        <v>62</v>
      </c>
      <c r="H21" s="15"/>
      <c r="I21" s="2"/>
      <c r="J21" s="2"/>
      <c r="K21" s="2"/>
      <c r="L21" s="15"/>
      <c r="M21" s="2"/>
      <c r="N21" s="11">
        <f t="shared" si="6"/>
        <v>0</v>
      </c>
      <c r="O21" s="11"/>
      <c r="P21" s="20">
        <f t="shared" si="1"/>
        <v>0</v>
      </c>
      <c r="Q21" s="21">
        <f t="shared" si="2"/>
        <v>0</v>
      </c>
      <c r="R21" s="21">
        <f t="shared" si="3"/>
        <v>0</v>
      </c>
      <c r="S21" s="20">
        <f t="shared" si="4"/>
        <v>0</v>
      </c>
      <c r="T21" s="18">
        <f t="shared" si="0"/>
        <v>0</v>
      </c>
      <c r="U21" s="2"/>
      <c r="V21" s="2"/>
      <c r="W21" s="3"/>
      <c r="X21" s="6">
        <f t="shared" si="5"/>
        <v>0</v>
      </c>
      <c r="Y21" s="2"/>
      <c r="Z21" s="2"/>
      <c r="AA21" s="25" t="s">
        <v>119</v>
      </c>
      <c r="AB21" s="26"/>
      <c r="AC21" s="26"/>
      <c r="AD21" s="26"/>
      <c r="AE21" s="2"/>
      <c r="AF21" s="25" t="s">
        <v>27</v>
      </c>
      <c r="AG21" s="26"/>
      <c r="AH21" s="26"/>
      <c r="AI21" s="26"/>
      <c r="AK21" s="96" t="s">
        <v>169</v>
      </c>
      <c r="AL21" s="96" t="s">
        <v>170</v>
      </c>
      <c r="AM21" s="96" t="s">
        <v>177</v>
      </c>
      <c r="AN21" s="96" t="s">
        <v>173</v>
      </c>
      <c r="AO21" s="96" t="s">
        <v>172</v>
      </c>
      <c r="AP21" s="108" t="str">
        <f>AA51</f>
        <v>Energy Efficiency</v>
      </c>
    </row>
    <row r="22" spans="1:42" ht="15.75" customHeight="1" x14ac:dyDescent="0.25">
      <c r="A22" s="2"/>
      <c r="B22" s="2"/>
      <c r="C22" s="2"/>
      <c r="D22" s="2"/>
      <c r="E22" s="16" t="s">
        <v>161</v>
      </c>
      <c r="F22" s="33">
        <v>68.67</v>
      </c>
      <c r="G22" s="2" t="s">
        <v>62</v>
      </c>
      <c r="H22" s="15"/>
      <c r="I22" s="2"/>
      <c r="J22" s="2"/>
      <c r="K22" s="2"/>
      <c r="L22" s="15"/>
      <c r="M22" s="2"/>
      <c r="N22" s="11">
        <f t="shared" si="6"/>
        <v>0</v>
      </c>
      <c r="O22" s="11"/>
      <c r="P22" s="20">
        <f t="shared" si="1"/>
        <v>0</v>
      </c>
      <c r="Q22" s="21">
        <f t="shared" si="2"/>
        <v>0</v>
      </c>
      <c r="R22" s="21">
        <f t="shared" si="3"/>
        <v>0</v>
      </c>
      <c r="S22" s="20">
        <f t="shared" si="4"/>
        <v>0</v>
      </c>
      <c r="T22" s="18">
        <f t="shared" si="0"/>
        <v>0</v>
      </c>
      <c r="U22" s="2"/>
      <c r="V22" s="2"/>
      <c r="W22" s="3"/>
      <c r="X22" s="6">
        <f t="shared" si="5"/>
        <v>0</v>
      </c>
      <c r="Y22" s="2"/>
      <c r="Z22" s="2"/>
      <c r="AA22" s="26" t="s">
        <v>77</v>
      </c>
      <c r="AB22" s="26" t="s">
        <v>127</v>
      </c>
      <c r="AC22" s="26" t="s">
        <v>22</v>
      </c>
      <c r="AD22" s="26" t="s">
        <v>79</v>
      </c>
      <c r="AE22" s="2"/>
      <c r="AF22" s="26" t="s">
        <v>77</v>
      </c>
      <c r="AG22" s="26" t="s">
        <v>80</v>
      </c>
      <c r="AH22" s="26" t="s">
        <v>22</v>
      </c>
      <c r="AI22" s="26" t="s">
        <v>79</v>
      </c>
      <c r="AK22" s="97">
        <v>-50</v>
      </c>
      <c r="AL22" s="98">
        <f>AI24</f>
        <v>-22.209300129501681</v>
      </c>
      <c r="AM22" s="98">
        <f>AD24</f>
        <v>-16.611445324203704</v>
      </c>
      <c r="AN22" s="99">
        <f t="shared" ref="AN22:AN32" si="7">AD39</f>
        <v>-3.2431324551406764</v>
      </c>
      <c r="AO22" s="99">
        <f t="shared" ref="AO22:AO32" si="8">AI39</f>
        <v>-19.8545777793444</v>
      </c>
      <c r="AP22" s="109">
        <f t="shared" ref="AP22:AP32" si="9">AD54</f>
        <v>16.611445324203679</v>
      </c>
    </row>
    <row r="23" spans="1:42" ht="15.75" customHeight="1" x14ac:dyDescent="0.25">
      <c r="A23" s="2"/>
      <c r="B23" s="2"/>
      <c r="C23" s="2"/>
      <c r="D23" s="2"/>
      <c r="E23" s="16" t="s">
        <v>159</v>
      </c>
      <c r="F23" s="6">
        <v>3000</v>
      </c>
      <c r="G23" s="2" t="s">
        <v>62</v>
      </c>
      <c r="H23" s="15"/>
      <c r="I23" s="2"/>
      <c r="J23" s="2"/>
      <c r="K23" s="2"/>
      <c r="L23" s="15"/>
      <c r="M23" s="2"/>
      <c r="N23" s="11">
        <f t="shared" si="6"/>
        <v>0</v>
      </c>
      <c r="O23" s="11"/>
      <c r="P23" s="20">
        <f t="shared" si="1"/>
        <v>0</v>
      </c>
      <c r="Q23" s="21">
        <f t="shared" si="2"/>
        <v>0</v>
      </c>
      <c r="R23" s="21">
        <f t="shared" si="3"/>
        <v>0</v>
      </c>
      <c r="S23" s="20">
        <f t="shared" si="4"/>
        <v>0</v>
      </c>
      <c r="T23" s="18">
        <f t="shared" si="0"/>
        <v>0</v>
      </c>
      <c r="U23" s="2"/>
      <c r="V23" s="2"/>
      <c r="W23" s="3"/>
      <c r="X23" s="6">
        <f t="shared" si="5"/>
        <v>0</v>
      </c>
      <c r="Y23" s="2"/>
      <c r="Z23" s="2"/>
      <c r="AA23" s="26" t="s">
        <v>83</v>
      </c>
      <c r="AB23" s="28">
        <v>2.1407407407407408</v>
      </c>
      <c r="AC23" s="29">
        <f>T49</f>
        <v>138302.25647656256</v>
      </c>
      <c r="AD23" s="26"/>
      <c r="AE23" s="2"/>
      <c r="AF23" s="26" t="s">
        <v>83</v>
      </c>
      <c r="AG23" s="30">
        <v>56120.139221027472</v>
      </c>
      <c r="AH23" s="29">
        <f>T49</f>
        <v>138302.25647656256</v>
      </c>
      <c r="AI23" s="26"/>
      <c r="AK23" s="97">
        <v>-40</v>
      </c>
      <c r="AL23" s="98">
        <f>AI25</f>
        <v>-17.767440103601345</v>
      </c>
      <c r="AM23" s="98">
        <f t="shared" ref="AM23:AM32" si="10">AD25</f>
        <v>-13.289156259362958</v>
      </c>
      <c r="AN23" s="99">
        <f t="shared" si="7"/>
        <v>-2.5945059641125625</v>
      </c>
      <c r="AO23" s="99">
        <f t="shared" si="8"/>
        <v>-15.883662223475531</v>
      </c>
      <c r="AP23" s="109">
        <f t="shared" si="9"/>
        <v>13.289156259362978</v>
      </c>
    </row>
    <row r="24" spans="1:42" ht="15.75" customHeight="1" x14ac:dyDescent="0.25">
      <c r="A24" s="2"/>
      <c r="B24" s="2"/>
      <c r="C24" s="2"/>
      <c r="D24" s="2"/>
      <c r="E24" s="16" t="s">
        <v>162</v>
      </c>
      <c r="F24" s="6"/>
      <c r="G24" s="2" t="s">
        <v>62</v>
      </c>
      <c r="H24" s="2"/>
      <c r="I24" s="13"/>
      <c r="J24" s="2"/>
      <c r="K24" s="2"/>
      <c r="L24" s="15"/>
      <c r="M24" s="2"/>
      <c r="N24" s="11">
        <f t="shared" si="6"/>
        <v>0</v>
      </c>
      <c r="O24" s="11"/>
      <c r="P24" s="20">
        <f t="shared" si="1"/>
        <v>0</v>
      </c>
      <c r="Q24" s="21">
        <f t="shared" si="2"/>
        <v>0</v>
      </c>
      <c r="R24" s="21">
        <f t="shared" si="3"/>
        <v>0</v>
      </c>
      <c r="S24" s="20">
        <f t="shared" si="4"/>
        <v>0</v>
      </c>
      <c r="T24" s="18">
        <f t="shared" si="0"/>
        <v>0</v>
      </c>
      <c r="U24" s="2"/>
      <c r="V24" s="2"/>
      <c r="W24" s="3"/>
      <c r="X24" s="6">
        <f t="shared" si="5"/>
        <v>0</v>
      </c>
      <c r="Y24" s="2"/>
      <c r="Z24" s="2"/>
      <c r="AA24" s="26">
        <f t="shared" ref="AA24:AA28" si="11">AA25-10</f>
        <v>-50</v>
      </c>
      <c r="AB24" s="28">
        <f t="shared" ref="AB24:AB34" si="12">$AB$23*(1+(AA24/100))</f>
        <v>1.0703703703703704</v>
      </c>
      <c r="AC24" s="29">
        <f t="dataTable" ref="AC24:AC34" dt2D="0" dtr="0" r1="F36" ca="1"/>
        <v>115328.2527598184</v>
      </c>
      <c r="AD24" s="34">
        <f t="shared" ref="AD24:AD34" si="13">100*((AC24-$AC$29)/$AC$29)</f>
        <v>-16.611445324203704</v>
      </c>
      <c r="AE24" s="2"/>
      <c r="AF24" s="26">
        <f t="shared" ref="AF24:AF28" si="14">AF25-10</f>
        <v>-50</v>
      </c>
      <c r="AG24" s="30">
        <f t="shared" ref="AG24:AG34" si="15">$AG$23*(1+(AF24/100))</f>
        <v>28060.069610513736</v>
      </c>
      <c r="AH24" s="29">
        <f t="dataTable" ref="AH24:AH34" dt2D="0" dtr="0" r1="B47" ca="1"/>
        <v>107586.29324980961</v>
      </c>
      <c r="AI24" s="34">
        <f t="shared" ref="AI24:AI34" si="16">100*((AH24-$AH$29)/$AH$29)</f>
        <v>-22.209300129501681</v>
      </c>
      <c r="AK24" s="97">
        <v>-30</v>
      </c>
      <c r="AL24" s="98">
        <f t="shared" ref="AL24:AL32" si="17">AI26</f>
        <v>-13.32558007770101</v>
      </c>
      <c r="AM24" s="98">
        <f t="shared" si="10"/>
        <v>-9.9668671945222229</v>
      </c>
      <c r="AN24" s="99">
        <f t="shared" si="7"/>
        <v>-1.9458794730844271</v>
      </c>
      <c r="AO24" s="99">
        <f t="shared" si="8"/>
        <v>-11.912746667606651</v>
      </c>
      <c r="AP24" s="109">
        <f t="shared" si="9"/>
        <v>9.9668671945221909</v>
      </c>
    </row>
    <row r="25" spans="1:42" ht="15.75" customHeight="1" x14ac:dyDescent="0.25">
      <c r="A25" s="13"/>
      <c r="B25" s="2"/>
      <c r="C25" s="2"/>
      <c r="D25" s="2"/>
      <c r="E25" s="16" t="s">
        <v>164</v>
      </c>
      <c r="F25" s="2">
        <v>72</v>
      </c>
      <c r="G25" s="2" t="s">
        <v>62</v>
      </c>
      <c r="H25" s="15"/>
      <c r="I25" s="2"/>
      <c r="J25" s="2"/>
      <c r="K25" s="2"/>
      <c r="L25" s="15"/>
      <c r="M25" s="2"/>
      <c r="N25" s="11">
        <f t="shared" si="6"/>
        <v>0</v>
      </c>
      <c r="O25" s="11"/>
      <c r="P25" s="20">
        <f t="shared" si="1"/>
        <v>0</v>
      </c>
      <c r="Q25" s="21">
        <f t="shared" si="2"/>
        <v>0</v>
      </c>
      <c r="R25" s="21">
        <f t="shared" si="3"/>
        <v>0</v>
      </c>
      <c r="S25" s="20">
        <f t="shared" si="4"/>
        <v>0</v>
      </c>
      <c r="T25" s="18">
        <f t="shared" si="0"/>
        <v>0</v>
      </c>
      <c r="U25" s="2"/>
      <c r="V25" s="2"/>
      <c r="W25" s="3"/>
      <c r="X25" s="6">
        <f t="shared" si="5"/>
        <v>0</v>
      </c>
      <c r="Y25" s="2"/>
      <c r="Z25" s="2"/>
      <c r="AA25" s="26">
        <f t="shared" si="11"/>
        <v>-40</v>
      </c>
      <c r="AB25" s="28">
        <f t="shared" si="12"/>
        <v>1.2844444444444445</v>
      </c>
      <c r="AC25" s="29">
        <v>119923.05350316723</v>
      </c>
      <c r="AD25" s="34">
        <f t="shared" si="13"/>
        <v>-13.289156259362958</v>
      </c>
      <c r="AE25" s="2"/>
      <c r="AF25" s="26">
        <f t="shared" si="14"/>
        <v>-40</v>
      </c>
      <c r="AG25" s="30">
        <f t="shared" si="15"/>
        <v>33672.083532616482</v>
      </c>
      <c r="AH25" s="29">
        <v>113729.48589516019</v>
      </c>
      <c r="AI25" s="34">
        <f t="shared" si="16"/>
        <v>-17.767440103601345</v>
      </c>
      <c r="AK25" s="97">
        <v>-20</v>
      </c>
      <c r="AL25" s="98">
        <f t="shared" si="17"/>
        <v>-8.8837200518006778</v>
      </c>
      <c r="AM25" s="98">
        <f t="shared" si="10"/>
        <v>-6.6445781296814888</v>
      </c>
      <c r="AN25" s="99">
        <f t="shared" si="7"/>
        <v>-1.2972529820562917</v>
      </c>
      <c r="AO25" s="99">
        <f t="shared" si="8"/>
        <v>-7.94183111173776</v>
      </c>
      <c r="AP25" s="109">
        <f t="shared" si="9"/>
        <v>6.644578129681447</v>
      </c>
    </row>
    <row r="26" spans="1:42" ht="15.75" customHeight="1" x14ac:dyDescent="0.25">
      <c r="A26" s="36"/>
      <c r="B26" s="37"/>
      <c r="C26" s="37"/>
      <c r="D26" s="37"/>
      <c r="E26" s="37"/>
      <c r="F26" s="37"/>
      <c r="G26" s="37"/>
      <c r="H26" s="39"/>
      <c r="I26" s="37"/>
      <c r="J26" s="37"/>
      <c r="K26" s="37"/>
      <c r="L26" s="39"/>
      <c r="M26" s="2"/>
      <c r="N26" s="11">
        <f t="shared" si="6"/>
        <v>0</v>
      </c>
      <c r="O26" s="11"/>
      <c r="P26" s="20">
        <f t="shared" si="1"/>
        <v>0</v>
      </c>
      <c r="Q26" s="21">
        <f t="shared" si="2"/>
        <v>0</v>
      </c>
      <c r="R26" s="21">
        <f t="shared" si="3"/>
        <v>0</v>
      </c>
      <c r="S26" s="20">
        <f t="shared" si="4"/>
        <v>0</v>
      </c>
      <c r="T26" s="18">
        <f t="shared" si="0"/>
        <v>0</v>
      </c>
      <c r="U26" s="2"/>
      <c r="V26" s="2"/>
      <c r="W26" s="3"/>
      <c r="X26" s="6">
        <f t="shared" si="5"/>
        <v>0</v>
      </c>
      <c r="Y26" s="2"/>
      <c r="Z26" s="2"/>
      <c r="AA26" s="26">
        <f t="shared" si="11"/>
        <v>-30</v>
      </c>
      <c r="AB26" s="28">
        <f t="shared" si="12"/>
        <v>1.4985185185185186</v>
      </c>
      <c r="AC26" s="29">
        <v>124517.85424651606</v>
      </c>
      <c r="AD26" s="34">
        <f t="shared" si="13"/>
        <v>-9.9668671945222229</v>
      </c>
      <c r="AE26" s="2"/>
      <c r="AF26" s="26">
        <f t="shared" si="14"/>
        <v>-30</v>
      </c>
      <c r="AG26" s="30">
        <f t="shared" si="15"/>
        <v>39284.097454719231</v>
      </c>
      <c r="AH26" s="29">
        <v>119872.67854051078</v>
      </c>
      <c r="AI26" s="34">
        <f t="shared" si="16"/>
        <v>-13.32558007770101</v>
      </c>
      <c r="AK26" s="97">
        <v>-10</v>
      </c>
      <c r="AL26" s="98">
        <f t="shared" si="17"/>
        <v>-4.4418600259003549</v>
      </c>
      <c r="AM26" s="98">
        <f t="shared" si="10"/>
        <v>-3.3222890648407444</v>
      </c>
      <c r="AN26" s="99">
        <f t="shared" si="7"/>
        <v>-0.64862649102817749</v>
      </c>
      <c r="AO26" s="99">
        <f t="shared" si="8"/>
        <v>-3.97091555586888</v>
      </c>
      <c r="AP26" s="109">
        <f t="shared" si="9"/>
        <v>3.3222890648407235</v>
      </c>
    </row>
    <row r="27" spans="1:4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6"/>
      <c r="K27" s="2"/>
      <c r="L27" s="2"/>
      <c r="M27" s="2"/>
      <c r="N27" s="11">
        <f t="shared" si="6"/>
        <v>0</v>
      </c>
      <c r="O27" s="11"/>
      <c r="P27" s="20">
        <f t="shared" si="1"/>
        <v>0</v>
      </c>
      <c r="Q27" s="21">
        <f t="shared" si="2"/>
        <v>0</v>
      </c>
      <c r="R27" s="21">
        <f t="shared" si="3"/>
        <v>0</v>
      </c>
      <c r="S27" s="20">
        <f t="shared" si="4"/>
        <v>0</v>
      </c>
      <c r="T27" s="18">
        <f t="shared" si="0"/>
        <v>0</v>
      </c>
      <c r="U27" s="2"/>
      <c r="V27" s="2"/>
      <c r="W27" s="3"/>
      <c r="X27" s="6">
        <f t="shared" si="5"/>
        <v>0</v>
      </c>
      <c r="Y27" s="2"/>
      <c r="Z27" s="2"/>
      <c r="AA27" s="26">
        <f t="shared" si="11"/>
        <v>-20</v>
      </c>
      <c r="AB27" s="28">
        <f t="shared" si="12"/>
        <v>1.7125925925925927</v>
      </c>
      <c r="AC27" s="29">
        <v>129112.65498986488</v>
      </c>
      <c r="AD27" s="34">
        <f t="shared" si="13"/>
        <v>-6.6445781296814888</v>
      </c>
      <c r="AE27" s="2"/>
      <c r="AF27" s="26">
        <f t="shared" si="14"/>
        <v>-20</v>
      </c>
      <c r="AG27" s="30">
        <f t="shared" si="15"/>
        <v>44896.11137682198</v>
      </c>
      <c r="AH27" s="29">
        <v>126015.87118586137</v>
      </c>
      <c r="AI27" s="34">
        <f t="shared" si="16"/>
        <v>-8.8837200518006778</v>
      </c>
      <c r="AK27" s="97">
        <v>0</v>
      </c>
      <c r="AL27" s="98">
        <f t="shared" si="17"/>
        <v>0</v>
      </c>
      <c r="AM27" s="98">
        <f t="shared" si="10"/>
        <v>0</v>
      </c>
      <c r="AN27" s="99">
        <f t="shared" si="7"/>
        <v>0</v>
      </c>
      <c r="AO27" s="99">
        <f t="shared" si="8"/>
        <v>0</v>
      </c>
      <c r="AP27" s="109">
        <f t="shared" si="9"/>
        <v>0</v>
      </c>
    </row>
    <row r="28" spans="1:42" ht="15.75" customHeight="1" x14ac:dyDescent="0.25">
      <c r="A28" s="1" t="s">
        <v>86</v>
      </c>
      <c r="B28" s="2"/>
      <c r="C28" s="2"/>
      <c r="D28" s="2"/>
      <c r="E28" s="2"/>
      <c r="F28" s="2"/>
      <c r="G28" s="2"/>
      <c r="H28" s="2"/>
      <c r="I28" s="2"/>
      <c r="J28" s="6"/>
      <c r="K28" s="2"/>
      <c r="L28" s="2"/>
      <c r="M28" s="2"/>
      <c r="N28" s="11">
        <f t="shared" si="6"/>
        <v>0</v>
      </c>
      <c r="O28" s="11"/>
      <c r="P28" s="20">
        <f t="shared" si="1"/>
        <v>0</v>
      </c>
      <c r="Q28" s="21">
        <f t="shared" si="2"/>
        <v>0</v>
      </c>
      <c r="R28" s="21">
        <f t="shared" si="3"/>
        <v>0</v>
      </c>
      <c r="S28" s="20">
        <f t="shared" si="4"/>
        <v>0</v>
      </c>
      <c r="T28" s="18">
        <f t="shared" si="0"/>
        <v>0</v>
      </c>
      <c r="U28" s="2"/>
      <c r="V28" s="2"/>
      <c r="W28" s="3"/>
      <c r="X28" s="6">
        <f t="shared" si="5"/>
        <v>0</v>
      </c>
      <c r="Y28" s="2"/>
      <c r="Z28" s="2"/>
      <c r="AA28" s="26">
        <f t="shared" si="11"/>
        <v>-10</v>
      </c>
      <c r="AB28" s="28">
        <f t="shared" si="12"/>
        <v>1.9266666666666667</v>
      </c>
      <c r="AC28" s="29">
        <v>133707.45573321372</v>
      </c>
      <c r="AD28" s="34">
        <f t="shared" si="13"/>
        <v>-3.3222890648407444</v>
      </c>
      <c r="AE28" s="2"/>
      <c r="AF28" s="26">
        <f t="shared" si="14"/>
        <v>-10</v>
      </c>
      <c r="AG28" s="30">
        <f t="shared" si="15"/>
        <v>50508.125298924722</v>
      </c>
      <c r="AH28" s="29">
        <v>132159.06383121194</v>
      </c>
      <c r="AI28" s="34">
        <f t="shared" si="16"/>
        <v>-4.4418600259003549</v>
      </c>
      <c r="AK28" s="97">
        <v>10</v>
      </c>
      <c r="AL28" s="98">
        <f t="shared" si="17"/>
        <v>4.4418600259003549</v>
      </c>
      <c r="AM28" s="98">
        <f t="shared" si="10"/>
        <v>3.3222890648407235</v>
      </c>
      <c r="AN28" s="99">
        <f t="shared" si="7"/>
        <v>0.64862649102813541</v>
      </c>
      <c r="AO28" s="99">
        <f t="shared" si="8"/>
        <v>3.97091555586888</v>
      </c>
      <c r="AP28" s="109">
        <f t="shared" si="9"/>
        <v>-3.3222890648407444</v>
      </c>
    </row>
    <row r="29" spans="1:42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6"/>
      <c r="K29" s="2"/>
      <c r="L29" s="2"/>
      <c r="M29" s="2"/>
      <c r="N29" s="11">
        <f t="shared" si="6"/>
        <v>0</v>
      </c>
      <c r="O29" s="11"/>
      <c r="P29" s="20">
        <f t="shared" si="1"/>
        <v>0</v>
      </c>
      <c r="Q29" s="21">
        <f t="shared" si="2"/>
        <v>0</v>
      </c>
      <c r="R29" s="21">
        <f t="shared" si="3"/>
        <v>0</v>
      </c>
      <c r="S29" s="20">
        <f t="shared" si="4"/>
        <v>0</v>
      </c>
      <c r="T29" s="18">
        <f t="shared" si="0"/>
        <v>0</v>
      </c>
      <c r="U29" s="2"/>
      <c r="V29" s="2"/>
      <c r="W29" s="3"/>
      <c r="X29" s="6">
        <f t="shared" si="5"/>
        <v>0</v>
      </c>
      <c r="Y29" s="2"/>
      <c r="Z29" s="2"/>
      <c r="AA29" s="40">
        <v>0</v>
      </c>
      <c r="AB29" s="41">
        <f t="shared" si="12"/>
        <v>2.1407407407407408</v>
      </c>
      <c r="AC29" s="42">
        <v>138302.25647656256</v>
      </c>
      <c r="AD29" s="43">
        <f t="shared" si="13"/>
        <v>0</v>
      </c>
      <c r="AE29" s="2"/>
      <c r="AF29" s="40">
        <v>0</v>
      </c>
      <c r="AG29" s="44">
        <f t="shared" si="15"/>
        <v>56120.139221027472</v>
      </c>
      <c r="AH29" s="42">
        <v>138302.25647656256</v>
      </c>
      <c r="AI29" s="43">
        <f t="shared" si="16"/>
        <v>0</v>
      </c>
      <c r="AK29" s="97">
        <v>20</v>
      </c>
      <c r="AL29" s="98">
        <f t="shared" si="17"/>
        <v>8.8837200518006672</v>
      </c>
      <c r="AM29" s="98">
        <f t="shared" si="10"/>
        <v>6.644578129681447</v>
      </c>
      <c r="AN29" s="99">
        <f t="shared" si="7"/>
        <v>1.2972529820562708</v>
      </c>
      <c r="AO29" s="99">
        <f t="shared" si="8"/>
        <v>7.9418311117377387</v>
      </c>
      <c r="AP29" s="109">
        <f t="shared" si="9"/>
        <v>-6.6445781296814888</v>
      </c>
    </row>
    <row r="30" spans="1:42" ht="15.75" customHeight="1" x14ac:dyDescent="0.25">
      <c r="A30" s="7" t="s">
        <v>87</v>
      </c>
      <c r="B30" s="8"/>
      <c r="C30" s="8"/>
      <c r="D30" s="8"/>
      <c r="E30" s="10" t="s">
        <v>88</v>
      </c>
      <c r="F30" s="8"/>
      <c r="G30" s="8"/>
      <c r="H30" s="8"/>
      <c r="I30" s="10"/>
      <c r="J30" s="45"/>
      <c r="K30" s="8"/>
      <c r="L30" s="9"/>
      <c r="M30" s="2"/>
      <c r="N30" s="11">
        <f t="shared" si="6"/>
        <v>0</v>
      </c>
      <c r="O30" s="11"/>
      <c r="P30" s="20">
        <f t="shared" si="1"/>
        <v>0</v>
      </c>
      <c r="Q30" s="21">
        <f t="shared" si="2"/>
        <v>0</v>
      </c>
      <c r="R30" s="21">
        <f t="shared" si="3"/>
        <v>0</v>
      </c>
      <c r="S30" s="20">
        <f t="shared" si="4"/>
        <v>0</v>
      </c>
      <c r="T30" s="18">
        <f t="shared" si="0"/>
        <v>0</v>
      </c>
      <c r="U30" s="2"/>
      <c r="V30" s="2"/>
      <c r="W30" s="3"/>
      <c r="X30" s="6">
        <f t="shared" si="5"/>
        <v>0</v>
      </c>
      <c r="Y30" s="2"/>
      <c r="Z30" s="2"/>
      <c r="AA30" s="26">
        <f t="shared" ref="AA30:AA34" si="18">AA29+10</f>
        <v>10</v>
      </c>
      <c r="AB30" s="28">
        <f t="shared" si="12"/>
        <v>2.3548148148148149</v>
      </c>
      <c r="AC30" s="29">
        <v>142897.05721991137</v>
      </c>
      <c r="AD30" s="34">
        <f t="shared" si="13"/>
        <v>3.3222890648407235</v>
      </c>
      <c r="AE30" s="2"/>
      <c r="AF30" s="26">
        <f t="shared" ref="AF30:AF34" si="19">AF29+10</f>
        <v>10</v>
      </c>
      <c r="AG30" s="30">
        <f t="shared" si="15"/>
        <v>61732.153143130221</v>
      </c>
      <c r="AH30" s="29">
        <v>144445.44912191317</v>
      </c>
      <c r="AI30" s="34">
        <f t="shared" si="16"/>
        <v>4.4418600259003549</v>
      </c>
      <c r="AK30" s="97">
        <v>30</v>
      </c>
      <c r="AL30" s="98">
        <f t="shared" si="17"/>
        <v>13.325580077701002</v>
      </c>
      <c r="AM30" s="98">
        <f t="shared" si="10"/>
        <v>9.9668671945221909</v>
      </c>
      <c r="AN30" s="99">
        <f t="shared" si="7"/>
        <v>1.9458794730843849</v>
      </c>
      <c r="AO30" s="99">
        <f t="shared" si="8"/>
        <v>11.912746667606619</v>
      </c>
      <c r="AP30" s="109">
        <f t="shared" si="9"/>
        <v>-9.9668671945222229</v>
      </c>
    </row>
    <row r="31" spans="1:42" ht="15.75" customHeight="1" x14ac:dyDescent="0.25">
      <c r="A31" s="24" t="s">
        <v>151</v>
      </c>
      <c r="B31" s="6">
        <f t="shared" ref="B31:B32" si="20">IF(B11=0,0,-(B11/100)*$B$45)</f>
        <v>0</v>
      </c>
      <c r="C31" s="2" t="s">
        <v>3</v>
      </c>
      <c r="D31" s="2"/>
      <c r="E31" s="16" t="s">
        <v>90</v>
      </c>
      <c r="F31" s="23">
        <f>(J16/100)*B47</f>
        <v>16836.041766308241</v>
      </c>
      <c r="G31" s="2" t="s">
        <v>3</v>
      </c>
      <c r="H31" s="2"/>
      <c r="I31" s="1" t="s">
        <v>166</v>
      </c>
      <c r="J31" s="46">
        <f>SUM(J32:J40)</f>
        <v>4006.2222222222226</v>
      </c>
      <c r="K31" s="1" t="s">
        <v>47</v>
      </c>
      <c r="L31" s="15"/>
      <c r="M31" s="2"/>
      <c r="N31" s="11">
        <f t="shared" si="6"/>
        <v>0</v>
      </c>
      <c r="O31" s="11"/>
      <c r="P31" s="20">
        <f t="shared" si="1"/>
        <v>0</v>
      </c>
      <c r="Q31" s="21">
        <f t="shared" si="2"/>
        <v>0</v>
      </c>
      <c r="R31" s="21">
        <f t="shared" si="3"/>
        <v>0</v>
      </c>
      <c r="S31" s="20">
        <f t="shared" si="4"/>
        <v>0</v>
      </c>
      <c r="T31" s="18">
        <f t="shared" si="0"/>
        <v>0</v>
      </c>
      <c r="U31" s="2"/>
      <c r="V31" s="2"/>
      <c r="W31" s="3"/>
      <c r="X31" s="6">
        <f t="shared" si="5"/>
        <v>0</v>
      </c>
      <c r="Y31" s="2"/>
      <c r="Z31" s="2"/>
      <c r="AA31" s="26">
        <f t="shared" si="18"/>
        <v>20</v>
      </c>
      <c r="AB31" s="28">
        <f t="shared" si="12"/>
        <v>2.568888888888889</v>
      </c>
      <c r="AC31" s="29">
        <v>147491.85796326018</v>
      </c>
      <c r="AD31" s="34">
        <f t="shared" si="13"/>
        <v>6.644578129681447</v>
      </c>
      <c r="AE31" s="2"/>
      <c r="AF31" s="26">
        <f t="shared" si="19"/>
        <v>20</v>
      </c>
      <c r="AG31" s="30">
        <f t="shared" si="15"/>
        <v>67344.167065232963</v>
      </c>
      <c r="AH31" s="29">
        <v>150588.64176726373</v>
      </c>
      <c r="AI31" s="34">
        <f t="shared" si="16"/>
        <v>8.8837200518006672</v>
      </c>
      <c r="AK31" s="97">
        <v>40</v>
      </c>
      <c r="AL31" s="98">
        <f t="shared" si="17"/>
        <v>17.767440103601356</v>
      </c>
      <c r="AM31" s="98">
        <f t="shared" si="10"/>
        <v>13.289156259362978</v>
      </c>
      <c r="AN31" s="99">
        <f t="shared" si="7"/>
        <v>2.5945059641125625</v>
      </c>
      <c r="AO31" s="99">
        <f t="shared" si="8"/>
        <v>15.883662223475497</v>
      </c>
      <c r="AP31" s="109">
        <f t="shared" si="9"/>
        <v>-13.289156259362958</v>
      </c>
    </row>
    <row r="32" spans="1:42" ht="15.75" customHeight="1" x14ac:dyDescent="0.25">
      <c r="A32" s="24" t="s">
        <v>42</v>
      </c>
      <c r="B32" s="6">
        <f t="shared" si="20"/>
        <v>0</v>
      </c>
      <c r="C32" s="2" t="s">
        <v>3</v>
      </c>
      <c r="D32" s="2"/>
      <c r="E32" s="16" t="s">
        <v>92</v>
      </c>
      <c r="F32" s="6">
        <f>B47-F31</f>
        <v>39284.097454719231</v>
      </c>
      <c r="G32" s="2" t="s">
        <v>3</v>
      </c>
      <c r="H32" s="2"/>
      <c r="I32" s="16" t="s">
        <v>125</v>
      </c>
      <c r="J32" s="14">
        <f>F15/$B$8</f>
        <v>5.651851851851851</v>
      </c>
      <c r="K32" s="2" t="s">
        <v>47</v>
      </c>
      <c r="L32" s="15"/>
      <c r="M32" s="2"/>
      <c r="N32" s="11">
        <f t="shared" si="6"/>
        <v>0</v>
      </c>
      <c r="O32" s="11"/>
      <c r="P32" s="20">
        <f t="shared" si="1"/>
        <v>0</v>
      </c>
      <c r="Q32" s="21">
        <f t="shared" si="2"/>
        <v>0</v>
      </c>
      <c r="R32" s="21">
        <f t="shared" si="3"/>
        <v>0</v>
      </c>
      <c r="S32" s="20">
        <f t="shared" si="4"/>
        <v>0</v>
      </c>
      <c r="T32" s="18">
        <f t="shared" si="0"/>
        <v>0</v>
      </c>
      <c r="U32" s="2"/>
      <c r="V32" s="2"/>
      <c r="W32" s="3"/>
      <c r="X32" s="6">
        <f t="shared" si="5"/>
        <v>0</v>
      </c>
      <c r="Y32" s="2"/>
      <c r="Z32" s="2"/>
      <c r="AA32" s="26">
        <f t="shared" si="18"/>
        <v>30</v>
      </c>
      <c r="AB32" s="28">
        <f t="shared" si="12"/>
        <v>2.7829629629629631</v>
      </c>
      <c r="AC32" s="29">
        <v>152086.65870660901</v>
      </c>
      <c r="AD32" s="34">
        <f t="shared" si="13"/>
        <v>9.9668671945221909</v>
      </c>
      <c r="AE32" s="2"/>
      <c r="AF32" s="26">
        <f t="shared" si="19"/>
        <v>30</v>
      </c>
      <c r="AG32" s="30">
        <f t="shared" si="15"/>
        <v>72956.180987335712</v>
      </c>
      <c r="AH32" s="29">
        <v>156731.83441261432</v>
      </c>
      <c r="AI32" s="34">
        <f t="shared" si="16"/>
        <v>13.325580077701002</v>
      </c>
      <c r="AK32" s="97">
        <v>50</v>
      </c>
      <c r="AL32" s="98">
        <f t="shared" si="17"/>
        <v>22.20930012950171</v>
      </c>
      <c r="AM32" s="98">
        <f t="shared" si="10"/>
        <v>16.611445324203679</v>
      </c>
      <c r="AN32" s="99">
        <f t="shared" si="7"/>
        <v>3.2431324551406764</v>
      </c>
      <c r="AO32" s="99">
        <f t="shared" si="8"/>
        <v>19.854577779344378</v>
      </c>
      <c r="AP32" s="109">
        <f t="shared" si="9"/>
        <v>-16.611445324203704</v>
      </c>
    </row>
    <row r="33" spans="1:35" ht="15.75" customHeight="1" x14ac:dyDescent="0.25">
      <c r="A33" s="24" t="s">
        <v>48</v>
      </c>
      <c r="B33" s="6">
        <f>IF(B13=0,0,(B13/100)*($B$44))</f>
        <v>387.89023655913951</v>
      </c>
      <c r="C33" s="2" t="s">
        <v>3</v>
      </c>
      <c r="D33" s="2"/>
      <c r="E33" s="16" t="s">
        <v>93</v>
      </c>
      <c r="F33" s="23">
        <f>F32*(F18/100)*J15</f>
        <v>10803.12680004779</v>
      </c>
      <c r="G33" s="2" t="s">
        <v>3</v>
      </c>
      <c r="H33" s="2"/>
      <c r="I33" s="16" t="s">
        <v>46</v>
      </c>
      <c r="J33" s="49">
        <f>F17*F12/$B$8</f>
        <v>1106.0000000000002</v>
      </c>
      <c r="K33" s="2" t="s">
        <v>47</v>
      </c>
      <c r="L33" s="15"/>
      <c r="M33" s="2"/>
      <c r="N33" s="11">
        <f t="shared" si="6"/>
        <v>0</v>
      </c>
      <c r="O33" s="11"/>
      <c r="P33" s="20">
        <f t="shared" si="1"/>
        <v>0</v>
      </c>
      <c r="Q33" s="21">
        <f t="shared" si="2"/>
        <v>0</v>
      </c>
      <c r="R33" s="21">
        <f t="shared" si="3"/>
        <v>0</v>
      </c>
      <c r="S33" s="20">
        <f t="shared" si="4"/>
        <v>0</v>
      </c>
      <c r="T33" s="18">
        <f t="shared" si="0"/>
        <v>0</v>
      </c>
      <c r="U33" s="2"/>
      <c r="V33" s="2"/>
      <c r="W33" s="3"/>
      <c r="X33" s="6">
        <f t="shared" si="5"/>
        <v>0</v>
      </c>
      <c r="Y33" s="2"/>
      <c r="Z33" s="2"/>
      <c r="AA33" s="26">
        <f t="shared" si="18"/>
        <v>40</v>
      </c>
      <c r="AB33" s="28">
        <f t="shared" si="12"/>
        <v>2.9970370370370372</v>
      </c>
      <c r="AC33" s="29">
        <v>156681.45944995791</v>
      </c>
      <c r="AD33" s="34">
        <f t="shared" si="13"/>
        <v>13.289156259362978</v>
      </c>
      <c r="AE33" s="2"/>
      <c r="AF33" s="26">
        <f t="shared" si="19"/>
        <v>40</v>
      </c>
      <c r="AG33" s="30">
        <f t="shared" si="15"/>
        <v>78568.194909438462</v>
      </c>
      <c r="AH33" s="29">
        <v>162875.02705796494</v>
      </c>
      <c r="AI33" s="34">
        <f t="shared" si="16"/>
        <v>17.767440103601356</v>
      </c>
    </row>
    <row r="34" spans="1:35" ht="15.75" customHeight="1" x14ac:dyDescent="0.25">
      <c r="A34" s="24" t="s">
        <v>165</v>
      </c>
      <c r="B34" s="49">
        <f>B15/$B$8</f>
        <v>259.25925925925924</v>
      </c>
      <c r="C34" s="2" t="s">
        <v>3</v>
      </c>
      <c r="D34" s="2"/>
      <c r="E34" s="2"/>
      <c r="F34" s="33"/>
      <c r="G34" s="2"/>
      <c r="H34" s="2"/>
      <c r="I34" s="16" t="s">
        <v>74</v>
      </c>
      <c r="J34" s="49">
        <f t="shared" ref="J34:J39" si="21">F20/$B$8</f>
        <v>74.074074074074076</v>
      </c>
      <c r="K34" s="2" t="s">
        <v>47</v>
      </c>
      <c r="L34" s="15"/>
      <c r="M34" s="2"/>
      <c r="N34" s="11">
        <f t="shared" si="6"/>
        <v>0</v>
      </c>
      <c r="O34" s="11"/>
      <c r="P34" s="20">
        <f t="shared" si="1"/>
        <v>0</v>
      </c>
      <c r="Q34" s="21">
        <f t="shared" si="2"/>
        <v>0</v>
      </c>
      <c r="R34" s="21">
        <f t="shared" si="3"/>
        <v>0</v>
      </c>
      <c r="S34" s="20">
        <f t="shared" si="4"/>
        <v>0</v>
      </c>
      <c r="T34" s="18">
        <f t="shared" si="0"/>
        <v>0</v>
      </c>
      <c r="U34" s="2"/>
      <c r="V34" s="2"/>
      <c r="W34" s="3"/>
      <c r="X34" s="6">
        <f t="shared" si="5"/>
        <v>0</v>
      </c>
      <c r="Y34" s="2"/>
      <c r="Z34" s="2"/>
      <c r="AA34" s="26">
        <f t="shared" si="18"/>
        <v>50</v>
      </c>
      <c r="AB34" s="28">
        <f t="shared" si="12"/>
        <v>3.2111111111111112</v>
      </c>
      <c r="AC34" s="29">
        <v>161276.26019330669</v>
      </c>
      <c r="AD34" s="34">
        <f t="shared" si="13"/>
        <v>16.611445324203679</v>
      </c>
      <c r="AE34" s="2"/>
      <c r="AF34" s="26">
        <f t="shared" si="19"/>
        <v>50</v>
      </c>
      <c r="AG34" s="30">
        <f t="shared" si="15"/>
        <v>84180.208831541211</v>
      </c>
      <c r="AH34" s="29">
        <v>169018.21970331555</v>
      </c>
      <c r="AI34" s="34">
        <f t="shared" si="16"/>
        <v>22.20930012950171</v>
      </c>
    </row>
    <row r="35" spans="1:35" ht="15.75" customHeight="1" x14ac:dyDescent="0.25">
      <c r="A35" s="24" t="s">
        <v>126</v>
      </c>
      <c r="B35" s="49">
        <f>B16%*B43</f>
        <v>232.25806451612891</v>
      </c>
      <c r="C35" s="2" t="s">
        <v>3</v>
      </c>
      <c r="D35" s="2"/>
      <c r="E35" s="1" t="s">
        <v>97</v>
      </c>
      <c r="F35" s="2"/>
      <c r="G35" s="2"/>
      <c r="H35" s="2"/>
      <c r="I35" s="16" t="s">
        <v>75</v>
      </c>
      <c r="J35" s="49">
        <f t="shared" si="21"/>
        <v>242.2222222222222</v>
      </c>
      <c r="K35" s="2" t="s">
        <v>47</v>
      </c>
      <c r="L35" s="15"/>
      <c r="M35" s="2"/>
      <c r="N35" s="11">
        <f t="shared" si="6"/>
        <v>0</v>
      </c>
      <c r="O35" s="11"/>
      <c r="P35" s="20">
        <f t="shared" si="1"/>
        <v>0</v>
      </c>
      <c r="Q35" s="21">
        <f t="shared" si="2"/>
        <v>0</v>
      </c>
      <c r="R35" s="21">
        <f t="shared" si="3"/>
        <v>0</v>
      </c>
      <c r="S35" s="20">
        <f t="shared" si="4"/>
        <v>0</v>
      </c>
      <c r="T35" s="18">
        <f t="shared" si="0"/>
        <v>0</v>
      </c>
      <c r="U35" s="2"/>
      <c r="V35" s="2"/>
      <c r="W35" s="3"/>
      <c r="X35" s="6">
        <f t="shared" si="5"/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75" customHeight="1" x14ac:dyDescent="0.25">
      <c r="A36" s="24" t="s">
        <v>64</v>
      </c>
      <c r="B36" s="49">
        <f t="shared" ref="B36:B39" si="22">B17/$B$8</f>
        <v>53334.074074074073</v>
      </c>
      <c r="C36" s="2" t="s">
        <v>3</v>
      </c>
      <c r="D36" s="2"/>
      <c r="E36" s="16" t="s">
        <v>157</v>
      </c>
      <c r="F36" s="14">
        <f>F13/$B$8</f>
        <v>2.1407407407407408</v>
      </c>
      <c r="G36" s="2" t="s">
        <v>120</v>
      </c>
      <c r="H36" s="2"/>
      <c r="I36" s="16" t="s">
        <v>161</v>
      </c>
      <c r="J36" s="49">
        <f t="shared" si="21"/>
        <v>50.866666666666667</v>
      </c>
      <c r="K36" s="2" t="s">
        <v>47</v>
      </c>
      <c r="L36" s="15"/>
      <c r="M36" s="2"/>
      <c r="N36" s="11">
        <f t="shared" si="6"/>
        <v>0</v>
      </c>
      <c r="O36" s="11"/>
      <c r="P36" s="20">
        <f t="shared" si="1"/>
        <v>0</v>
      </c>
      <c r="Q36" s="21">
        <f t="shared" si="2"/>
        <v>0</v>
      </c>
      <c r="R36" s="21">
        <f t="shared" si="3"/>
        <v>0</v>
      </c>
      <c r="S36" s="20">
        <f t="shared" si="4"/>
        <v>0</v>
      </c>
      <c r="T36" s="18">
        <f t="shared" si="0"/>
        <v>0</v>
      </c>
      <c r="U36" s="2"/>
      <c r="V36" s="2"/>
      <c r="W36" s="3"/>
      <c r="X36" s="6">
        <f t="shared" si="5"/>
        <v>0</v>
      </c>
      <c r="Y36" s="2"/>
      <c r="Z36" s="2"/>
      <c r="AA36" s="25" t="s">
        <v>46</v>
      </c>
      <c r="AB36" s="26"/>
      <c r="AC36" s="26"/>
      <c r="AD36" s="26"/>
      <c r="AE36" s="2"/>
      <c r="AF36" s="25" t="s">
        <v>98</v>
      </c>
      <c r="AG36" s="26"/>
      <c r="AH36" s="26"/>
      <c r="AI36" s="26"/>
    </row>
    <row r="37" spans="1:35" ht="15.75" customHeight="1" x14ac:dyDescent="0.25">
      <c r="A37" s="24" t="s">
        <v>68</v>
      </c>
      <c r="B37" s="49">
        <f t="shared" si="22"/>
        <v>-3703.7037037037035</v>
      </c>
      <c r="C37" s="2" t="s">
        <v>3</v>
      </c>
      <c r="D37" s="2"/>
      <c r="E37" s="16" t="s">
        <v>158</v>
      </c>
      <c r="F37" s="47">
        <f>F36*J10</f>
        <v>0.1552037037037037</v>
      </c>
      <c r="G37" s="2" t="s">
        <v>4</v>
      </c>
      <c r="H37" s="2"/>
      <c r="I37" s="16" t="s">
        <v>159</v>
      </c>
      <c r="J37" s="49">
        <f t="shared" si="21"/>
        <v>2222.2222222222222</v>
      </c>
      <c r="K37" s="2" t="s">
        <v>47</v>
      </c>
      <c r="L37" s="15"/>
      <c r="M37" s="2"/>
      <c r="N37" s="11">
        <f t="shared" si="6"/>
        <v>0</v>
      </c>
      <c r="O37" s="11"/>
      <c r="P37" s="20">
        <f t="shared" si="1"/>
        <v>0</v>
      </c>
      <c r="Q37" s="21">
        <f t="shared" si="2"/>
        <v>0</v>
      </c>
      <c r="R37" s="21">
        <f t="shared" si="3"/>
        <v>0</v>
      </c>
      <c r="S37" s="20">
        <f t="shared" si="4"/>
        <v>0</v>
      </c>
      <c r="T37" s="18">
        <f t="shared" si="0"/>
        <v>0</v>
      </c>
      <c r="U37" s="2"/>
      <c r="V37" s="2"/>
      <c r="W37" s="3"/>
      <c r="X37" s="6">
        <f t="shared" si="5"/>
        <v>0</v>
      </c>
      <c r="Y37" s="2"/>
      <c r="Z37" s="2"/>
      <c r="AA37" s="26" t="s">
        <v>77</v>
      </c>
      <c r="AB37" s="26" t="s">
        <v>128</v>
      </c>
      <c r="AC37" s="26" t="s">
        <v>22</v>
      </c>
      <c r="AD37" s="26" t="s">
        <v>79</v>
      </c>
      <c r="AE37" s="2"/>
      <c r="AF37" s="26" t="s">
        <v>77</v>
      </c>
      <c r="AG37" s="26" t="s">
        <v>102</v>
      </c>
      <c r="AH37" s="26" t="s">
        <v>22</v>
      </c>
      <c r="AI37" s="26" t="s">
        <v>79</v>
      </c>
    </row>
    <row r="38" spans="1:35" ht="15.75" customHeight="1" x14ac:dyDescent="0.25">
      <c r="A38" s="24" t="s">
        <v>71</v>
      </c>
      <c r="B38" s="49">
        <f t="shared" si="22"/>
        <v>20.99259259259259</v>
      </c>
      <c r="C38" s="2" t="s">
        <v>3</v>
      </c>
      <c r="D38" s="2"/>
      <c r="E38" s="16" t="s">
        <v>129</v>
      </c>
      <c r="F38" s="33">
        <f>F37*F12</f>
        <v>5432.1296296296296</v>
      </c>
      <c r="G38" s="48" t="s">
        <v>47</v>
      </c>
      <c r="H38" s="2"/>
      <c r="I38" s="16" t="s">
        <v>162</v>
      </c>
      <c r="J38" s="49">
        <f t="shared" si="21"/>
        <v>0</v>
      </c>
      <c r="K38" s="2" t="s">
        <v>47</v>
      </c>
      <c r="L38" s="15"/>
      <c r="M38" s="2"/>
      <c r="N38" s="11">
        <f t="shared" si="6"/>
        <v>0</v>
      </c>
      <c r="O38" s="11"/>
      <c r="P38" s="20">
        <f t="shared" si="1"/>
        <v>0</v>
      </c>
      <c r="Q38" s="21">
        <f t="shared" si="2"/>
        <v>0</v>
      </c>
      <c r="R38" s="21">
        <f t="shared" si="3"/>
        <v>0</v>
      </c>
      <c r="S38" s="20">
        <f t="shared" si="4"/>
        <v>0</v>
      </c>
      <c r="T38" s="18">
        <f t="shared" si="0"/>
        <v>0</v>
      </c>
      <c r="U38" s="2"/>
      <c r="V38" s="2"/>
      <c r="W38" s="3"/>
      <c r="X38" s="6">
        <f t="shared" si="5"/>
        <v>0</v>
      </c>
      <c r="Y38" s="2"/>
      <c r="Z38" s="2"/>
      <c r="AA38" s="26" t="s">
        <v>83</v>
      </c>
      <c r="AB38" s="28">
        <v>1106.0000000000002</v>
      </c>
      <c r="AC38" s="29">
        <f>T49</f>
        <v>138302.25647656256</v>
      </c>
      <c r="AD38" s="26"/>
      <c r="AE38" s="2"/>
      <c r="AF38" s="26" t="s">
        <v>83</v>
      </c>
      <c r="AG38" s="30">
        <v>35000</v>
      </c>
      <c r="AH38" s="29">
        <f>T49</f>
        <v>138302.25647656256</v>
      </c>
      <c r="AI38" s="26"/>
    </row>
    <row r="39" spans="1:35" ht="15.75" customHeight="1" x14ac:dyDescent="0.25">
      <c r="A39" s="24" t="s">
        <v>72</v>
      </c>
      <c r="B39" s="49">
        <f t="shared" si="22"/>
        <v>740.74074074074065</v>
      </c>
      <c r="C39" s="2" t="s">
        <v>3</v>
      </c>
      <c r="D39" s="2"/>
      <c r="E39" s="2"/>
      <c r="F39" s="2"/>
      <c r="G39" s="2"/>
      <c r="H39" s="2"/>
      <c r="I39" s="16" t="s">
        <v>164</v>
      </c>
      <c r="J39" s="49">
        <f t="shared" si="21"/>
        <v>53.333333333333329</v>
      </c>
      <c r="K39" s="2" t="s">
        <v>47</v>
      </c>
      <c r="L39" s="15"/>
      <c r="M39" s="2"/>
      <c r="N39" s="11">
        <f t="shared" si="6"/>
        <v>0</v>
      </c>
      <c r="O39" s="11"/>
      <c r="P39" s="20">
        <f t="shared" si="1"/>
        <v>0</v>
      </c>
      <c r="Q39" s="21">
        <f t="shared" si="2"/>
        <v>0</v>
      </c>
      <c r="R39" s="21">
        <f t="shared" si="3"/>
        <v>0</v>
      </c>
      <c r="S39" s="20">
        <f t="shared" si="4"/>
        <v>0</v>
      </c>
      <c r="T39" s="18">
        <f t="shared" si="0"/>
        <v>0</v>
      </c>
      <c r="U39" s="2"/>
      <c r="V39" s="2"/>
      <c r="W39" s="3"/>
      <c r="X39" s="6">
        <f t="shared" si="5"/>
        <v>0</v>
      </c>
      <c r="Y39" s="2"/>
      <c r="Z39" s="2"/>
      <c r="AA39" s="26">
        <f t="shared" ref="AA39:AA43" si="23">AA40-10</f>
        <v>-50</v>
      </c>
      <c r="AB39" s="28">
        <f t="shared" ref="AB39:AB49" si="24">$AB$38*(1+(AA39/100))</f>
        <v>553.00000000000011</v>
      </c>
      <c r="AC39" s="29">
        <f t="dataTable" ref="AC39:AC49" dt2D="0" dtr="0" r1="J33" ca="1"/>
        <v>133816.93111057926</v>
      </c>
      <c r="AD39" s="34">
        <f t="shared" ref="AD39:AD49" si="25">100*((AC39-$AC$44)/$AC$44)</f>
        <v>-3.2431324551406764</v>
      </c>
      <c r="AE39" s="2"/>
      <c r="AF39" s="26">
        <f t="shared" ref="AF39:AF43" si="26">AF40-10</f>
        <v>-50</v>
      </c>
      <c r="AG39" s="30">
        <f t="shared" ref="AG39:AG49" si="27">$AG$38*(1+(AF39/100))</f>
        <v>17500</v>
      </c>
      <c r="AH39" s="29">
        <f t="dataTable" ref="AH39:AH49" dt2D="0" dtr="0" r1="F12" ca="1"/>
        <v>110842.92739383507</v>
      </c>
      <c r="AI39" s="34">
        <f t="shared" ref="AI39:AI49" si="28">100*((AH39-$AH$44)/$AH$44)</f>
        <v>-19.8545777793444</v>
      </c>
    </row>
    <row r="40" spans="1:35" ht="15.75" customHeight="1" x14ac:dyDescent="0.25">
      <c r="A40" s="2"/>
      <c r="B40" s="2"/>
      <c r="C40" s="2"/>
      <c r="D40" s="2"/>
      <c r="E40" s="2"/>
      <c r="F40" s="2"/>
      <c r="G40" s="2"/>
      <c r="H40" s="2"/>
      <c r="I40" s="16" t="s">
        <v>65</v>
      </c>
      <c r="J40" s="14">
        <f>F16/B8</f>
        <v>251.85185185185185</v>
      </c>
      <c r="K40" s="2" t="s">
        <v>47</v>
      </c>
      <c r="L40" s="15"/>
      <c r="M40" s="2"/>
      <c r="N40" s="11">
        <f t="shared" si="6"/>
        <v>0</v>
      </c>
      <c r="O40" s="11"/>
      <c r="P40" s="20">
        <f t="shared" si="1"/>
        <v>0</v>
      </c>
      <c r="Q40" s="21">
        <f t="shared" si="2"/>
        <v>0</v>
      </c>
      <c r="R40" s="21">
        <f t="shared" si="3"/>
        <v>0</v>
      </c>
      <c r="S40" s="20">
        <f t="shared" si="4"/>
        <v>0</v>
      </c>
      <c r="T40" s="18">
        <f t="shared" si="0"/>
        <v>0</v>
      </c>
      <c r="U40" s="2"/>
      <c r="V40" s="2"/>
      <c r="W40" s="3"/>
      <c r="X40" s="6">
        <f t="shared" si="5"/>
        <v>0</v>
      </c>
      <c r="Y40" s="2"/>
      <c r="Z40" s="2"/>
      <c r="AA40" s="26">
        <f t="shared" si="23"/>
        <v>-40</v>
      </c>
      <c r="AB40" s="28">
        <f t="shared" si="24"/>
        <v>663.60000000000014</v>
      </c>
      <c r="AC40" s="29">
        <v>134713.99618377589</v>
      </c>
      <c r="AD40" s="34">
        <f t="shared" si="25"/>
        <v>-2.5945059641125625</v>
      </c>
      <c r="AE40" s="2"/>
      <c r="AF40" s="26">
        <f t="shared" si="26"/>
        <v>-40</v>
      </c>
      <c r="AG40" s="30">
        <f t="shared" si="27"/>
        <v>21000</v>
      </c>
      <c r="AH40" s="29">
        <v>116334.79321038055</v>
      </c>
      <c r="AI40" s="34">
        <f t="shared" si="28"/>
        <v>-15.883662223475531</v>
      </c>
    </row>
    <row r="41" spans="1:35" ht="15.75" customHeight="1" x14ac:dyDescent="0.25">
      <c r="A41" s="2"/>
      <c r="B41" s="2"/>
      <c r="C41" s="2"/>
      <c r="D41" s="2"/>
      <c r="E41" s="16" t="s">
        <v>95</v>
      </c>
      <c r="F41" s="6">
        <f>F12*B5</f>
        <v>350000</v>
      </c>
      <c r="G41" s="2" t="s">
        <v>96</v>
      </c>
      <c r="H41" s="2"/>
      <c r="I41" s="2"/>
      <c r="J41" s="2"/>
      <c r="K41" s="2"/>
      <c r="L41" s="15"/>
      <c r="M41" s="2"/>
      <c r="N41" s="11">
        <f t="shared" si="6"/>
        <v>0</v>
      </c>
      <c r="O41" s="11"/>
      <c r="P41" s="20">
        <f t="shared" si="1"/>
        <v>0</v>
      </c>
      <c r="Q41" s="21">
        <f t="shared" si="2"/>
        <v>0</v>
      </c>
      <c r="R41" s="21">
        <f t="shared" si="3"/>
        <v>0</v>
      </c>
      <c r="S41" s="20">
        <f t="shared" si="4"/>
        <v>0</v>
      </c>
      <c r="T41" s="18">
        <f t="shared" si="0"/>
        <v>0</v>
      </c>
      <c r="U41" s="2"/>
      <c r="V41" s="2"/>
      <c r="W41" s="3"/>
      <c r="X41" s="6">
        <f t="shared" si="5"/>
        <v>0</v>
      </c>
      <c r="Y41" s="2"/>
      <c r="Z41" s="2"/>
      <c r="AA41" s="26">
        <f t="shared" si="23"/>
        <v>-30</v>
      </c>
      <c r="AB41" s="28">
        <f t="shared" si="24"/>
        <v>774.20000000000016</v>
      </c>
      <c r="AC41" s="29">
        <v>135611.06125697255</v>
      </c>
      <c r="AD41" s="34">
        <f t="shared" si="25"/>
        <v>-1.9458794730844271</v>
      </c>
      <c r="AE41" s="2"/>
      <c r="AF41" s="26">
        <f t="shared" si="26"/>
        <v>-30</v>
      </c>
      <c r="AG41" s="30">
        <f t="shared" si="27"/>
        <v>24500</v>
      </c>
      <c r="AH41" s="29">
        <v>121826.65902692605</v>
      </c>
      <c r="AI41" s="34">
        <f t="shared" si="28"/>
        <v>-11.912746667606651</v>
      </c>
    </row>
    <row r="42" spans="1:35" ht="15.75" customHeight="1" x14ac:dyDescent="0.25">
      <c r="A42" s="22" t="s">
        <v>106</v>
      </c>
      <c r="B42" s="3"/>
      <c r="C42" s="1"/>
      <c r="D42" s="2"/>
      <c r="E42" s="16"/>
      <c r="F42" s="14"/>
      <c r="G42" s="2"/>
      <c r="H42" s="2"/>
      <c r="I42" s="2"/>
      <c r="J42" s="2"/>
      <c r="K42" s="2"/>
      <c r="L42" s="15"/>
      <c r="M42" s="2"/>
      <c r="N42" s="11">
        <f t="shared" si="6"/>
        <v>0</v>
      </c>
      <c r="O42" s="11"/>
      <c r="P42" s="20">
        <f t="shared" si="1"/>
        <v>0</v>
      </c>
      <c r="Q42" s="21">
        <f t="shared" si="2"/>
        <v>0</v>
      </c>
      <c r="R42" s="21">
        <f t="shared" si="3"/>
        <v>0</v>
      </c>
      <c r="S42" s="20">
        <f t="shared" si="4"/>
        <v>0</v>
      </c>
      <c r="T42" s="18">
        <f t="shared" si="0"/>
        <v>0</v>
      </c>
      <c r="U42" s="2"/>
      <c r="V42" s="2"/>
      <c r="W42" s="3"/>
      <c r="X42" s="6">
        <f t="shared" si="5"/>
        <v>0</v>
      </c>
      <c r="Y42" s="2"/>
      <c r="Z42" s="2"/>
      <c r="AA42" s="26">
        <f t="shared" si="23"/>
        <v>-20</v>
      </c>
      <c r="AB42" s="28">
        <f t="shared" si="24"/>
        <v>884.80000000000018</v>
      </c>
      <c r="AC42" s="29">
        <v>136508.12633016921</v>
      </c>
      <c r="AD42" s="34">
        <f t="shared" si="25"/>
        <v>-1.2972529820562917</v>
      </c>
      <c r="AE42" s="2"/>
      <c r="AF42" s="26">
        <f t="shared" si="26"/>
        <v>-20</v>
      </c>
      <c r="AG42" s="30">
        <f t="shared" si="27"/>
        <v>28000</v>
      </c>
      <c r="AH42" s="29">
        <v>127318.52484347156</v>
      </c>
      <c r="AI42" s="34">
        <f t="shared" si="28"/>
        <v>-7.94183111173776</v>
      </c>
    </row>
    <row r="43" spans="1:35" ht="15.75" customHeight="1" x14ac:dyDescent="0.25">
      <c r="A43" s="16" t="s">
        <v>183</v>
      </c>
      <c r="B43" s="6">
        <f>J8/B8</f>
        <v>4645.1612903225778</v>
      </c>
      <c r="C43" s="2" t="s">
        <v>3</v>
      </c>
      <c r="D43" s="2"/>
      <c r="E43" s="2"/>
      <c r="F43" s="2"/>
      <c r="G43" s="2"/>
      <c r="H43" s="2"/>
      <c r="I43" s="16"/>
      <c r="J43" s="49"/>
      <c r="K43" s="2"/>
      <c r="L43" s="15"/>
      <c r="M43" s="2"/>
      <c r="N43" s="11">
        <f t="shared" si="6"/>
        <v>0</v>
      </c>
      <c r="O43" s="11"/>
      <c r="P43" s="20">
        <f t="shared" si="1"/>
        <v>0</v>
      </c>
      <c r="Q43" s="21">
        <f t="shared" si="2"/>
        <v>0</v>
      </c>
      <c r="R43" s="21">
        <f t="shared" si="3"/>
        <v>0</v>
      </c>
      <c r="S43" s="20">
        <f t="shared" si="4"/>
        <v>0</v>
      </c>
      <c r="T43" s="18">
        <f t="shared" si="0"/>
        <v>0</v>
      </c>
      <c r="U43" s="2"/>
      <c r="V43" s="2"/>
      <c r="W43" s="3"/>
      <c r="X43" s="6">
        <f t="shared" si="5"/>
        <v>0</v>
      </c>
      <c r="Y43" s="2"/>
      <c r="Z43" s="2"/>
      <c r="AA43" s="26">
        <f t="shared" si="23"/>
        <v>-10</v>
      </c>
      <c r="AB43" s="28">
        <f t="shared" si="24"/>
        <v>995.4000000000002</v>
      </c>
      <c r="AC43" s="29">
        <v>137405.19140336584</v>
      </c>
      <c r="AD43" s="34">
        <f t="shared" si="25"/>
        <v>-0.64862649102817749</v>
      </c>
      <c r="AE43" s="2"/>
      <c r="AF43" s="26">
        <f t="shared" si="26"/>
        <v>-10</v>
      </c>
      <c r="AG43" s="30">
        <f t="shared" si="27"/>
        <v>31500</v>
      </c>
      <c r="AH43" s="29">
        <v>132810.39066001706</v>
      </c>
      <c r="AI43" s="34">
        <f t="shared" si="28"/>
        <v>-3.97091555586888</v>
      </c>
    </row>
    <row r="44" spans="1:35" ht="15.75" customHeight="1" x14ac:dyDescent="0.25">
      <c r="A44" s="2" t="s">
        <v>160</v>
      </c>
      <c r="B44" s="23">
        <f>(B14/B8)+B43</f>
        <v>4848.627956989244</v>
      </c>
      <c r="C44" s="2" t="s">
        <v>3</v>
      </c>
      <c r="D44" s="2"/>
      <c r="E44" s="2"/>
      <c r="F44" s="2"/>
      <c r="G44" s="2"/>
      <c r="H44" s="2"/>
      <c r="I44" s="2"/>
      <c r="J44" s="2"/>
      <c r="K44" s="2"/>
      <c r="L44" s="15"/>
      <c r="M44" s="2"/>
      <c r="N44" s="11">
        <f t="shared" si="6"/>
        <v>0</v>
      </c>
      <c r="O44" s="11"/>
      <c r="P44" s="20">
        <f t="shared" si="1"/>
        <v>0</v>
      </c>
      <c r="Q44" s="21">
        <f t="shared" si="2"/>
        <v>0</v>
      </c>
      <c r="R44" s="21">
        <f t="shared" si="3"/>
        <v>0</v>
      </c>
      <c r="S44" s="20">
        <f t="shared" si="4"/>
        <v>0</v>
      </c>
      <c r="T44" s="18">
        <f t="shared" si="0"/>
        <v>0</v>
      </c>
      <c r="U44" s="2"/>
      <c r="V44" s="2"/>
      <c r="W44" s="3"/>
      <c r="X44" s="6">
        <f t="shared" si="5"/>
        <v>0</v>
      </c>
      <c r="Y44" s="2"/>
      <c r="Z44" s="2"/>
      <c r="AA44" s="40">
        <v>0</v>
      </c>
      <c r="AB44" s="41">
        <f t="shared" si="24"/>
        <v>1106.0000000000002</v>
      </c>
      <c r="AC44" s="42">
        <v>138302.25647656256</v>
      </c>
      <c r="AD44" s="43">
        <f t="shared" si="25"/>
        <v>0</v>
      </c>
      <c r="AE44" s="2"/>
      <c r="AF44" s="40">
        <v>0</v>
      </c>
      <c r="AG44" s="44">
        <f t="shared" si="27"/>
        <v>35000</v>
      </c>
      <c r="AH44" s="42">
        <v>138302.25647656256</v>
      </c>
      <c r="AI44" s="43">
        <f t="shared" si="28"/>
        <v>0</v>
      </c>
    </row>
    <row r="45" spans="1:35" ht="15.75" customHeight="1" x14ac:dyDescent="0.25">
      <c r="A45" s="24" t="s">
        <v>130</v>
      </c>
      <c r="B45" s="6">
        <f>SUM(B33:B39)+B44</f>
        <v>56120.139221027472</v>
      </c>
      <c r="C45" s="2" t="s">
        <v>3</v>
      </c>
      <c r="D45" s="2"/>
      <c r="E45" s="2"/>
      <c r="F45" s="2"/>
      <c r="G45" s="2"/>
      <c r="H45" s="2"/>
      <c r="I45" s="2"/>
      <c r="J45" s="2"/>
      <c r="K45" s="2"/>
      <c r="L45" s="15"/>
      <c r="M45" s="2"/>
      <c r="N45" s="11">
        <f t="shared" si="6"/>
        <v>0</v>
      </c>
      <c r="O45" s="11"/>
      <c r="P45" s="20">
        <f t="shared" si="1"/>
        <v>0</v>
      </c>
      <c r="Q45" s="21">
        <f t="shared" si="2"/>
        <v>0</v>
      </c>
      <c r="R45" s="21">
        <f t="shared" si="3"/>
        <v>0</v>
      </c>
      <c r="S45" s="20">
        <f t="shared" si="4"/>
        <v>0</v>
      </c>
      <c r="T45" s="18">
        <f t="shared" si="0"/>
        <v>0</v>
      </c>
      <c r="U45" s="2"/>
      <c r="V45" s="2"/>
      <c r="W45" s="3"/>
      <c r="X45" s="6">
        <f t="shared" si="5"/>
        <v>0</v>
      </c>
      <c r="Y45" s="2"/>
      <c r="Z45" s="2"/>
      <c r="AA45" s="26">
        <f t="shared" ref="AA45:AA49" si="29">AA44+10</f>
        <v>10</v>
      </c>
      <c r="AB45" s="28">
        <f t="shared" si="24"/>
        <v>1216.6000000000004</v>
      </c>
      <c r="AC45" s="29">
        <v>139199.32154975922</v>
      </c>
      <c r="AD45" s="34">
        <f t="shared" si="25"/>
        <v>0.64862649102813541</v>
      </c>
      <c r="AE45" s="2"/>
      <c r="AF45" s="26">
        <f t="shared" ref="AF45:AF49" si="30">AF44+10</f>
        <v>10</v>
      </c>
      <c r="AG45" s="30">
        <f t="shared" si="27"/>
        <v>38500</v>
      </c>
      <c r="AH45" s="29">
        <v>143794.12229310806</v>
      </c>
      <c r="AI45" s="34">
        <f t="shared" si="28"/>
        <v>3.97091555586888</v>
      </c>
    </row>
    <row r="46" spans="1:35" ht="15.75" customHeight="1" x14ac:dyDescent="0.25">
      <c r="A46" s="24" t="s">
        <v>152</v>
      </c>
      <c r="B46" s="6">
        <f>SUM(B31:B32)</f>
        <v>0</v>
      </c>
      <c r="C46" s="2" t="s">
        <v>3</v>
      </c>
      <c r="D46" s="2"/>
      <c r="E46" s="2"/>
      <c r="F46" s="2"/>
      <c r="G46" s="2"/>
      <c r="H46" s="2"/>
      <c r="I46" s="2"/>
      <c r="J46" s="2"/>
      <c r="K46" s="2"/>
      <c r="L46" s="15"/>
      <c r="M46" s="2"/>
      <c r="N46" s="11">
        <f t="shared" si="6"/>
        <v>0</v>
      </c>
      <c r="O46" s="11"/>
      <c r="P46" s="20">
        <f t="shared" si="1"/>
        <v>0</v>
      </c>
      <c r="Q46" s="21">
        <f t="shared" si="2"/>
        <v>0</v>
      </c>
      <c r="R46" s="21">
        <f t="shared" si="3"/>
        <v>0</v>
      </c>
      <c r="S46" s="20">
        <f t="shared" si="4"/>
        <v>0</v>
      </c>
      <c r="T46" s="18">
        <f t="shared" si="0"/>
        <v>0</v>
      </c>
      <c r="U46" s="2"/>
      <c r="V46" s="2"/>
      <c r="W46" s="3"/>
      <c r="X46" s="6">
        <f t="shared" si="5"/>
        <v>0</v>
      </c>
      <c r="Y46" s="2"/>
      <c r="Z46" s="2"/>
      <c r="AA46" s="26">
        <f t="shared" si="29"/>
        <v>20</v>
      </c>
      <c r="AB46" s="28">
        <f t="shared" si="24"/>
        <v>1327.2000000000003</v>
      </c>
      <c r="AC46" s="29">
        <v>140096.38662295588</v>
      </c>
      <c r="AD46" s="34">
        <f t="shared" si="25"/>
        <v>1.2972529820562708</v>
      </c>
      <c r="AE46" s="2"/>
      <c r="AF46" s="26">
        <f t="shared" si="30"/>
        <v>20</v>
      </c>
      <c r="AG46" s="30">
        <f t="shared" si="27"/>
        <v>42000</v>
      </c>
      <c r="AH46" s="29">
        <v>149285.98810965352</v>
      </c>
      <c r="AI46" s="34">
        <f t="shared" si="28"/>
        <v>7.9418311117377387</v>
      </c>
    </row>
    <row r="47" spans="1:35" ht="15.75" customHeight="1" x14ac:dyDescent="0.25">
      <c r="A47" s="24" t="s">
        <v>150</v>
      </c>
      <c r="B47" s="6">
        <f>SUM(B45:B46)</f>
        <v>56120.139221027472</v>
      </c>
      <c r="C47" s="2" t="s">
        <v>3</v>
      </c>
      <c r="D47" s="2"/>
      <c r="E47" s="2"/>
      <c r="F47" s="2"/>
      <c r="G47" s="2"/>
      <c r="H47" s="2"/>
      <c r="I47" s="2"/>
      <c r="J47" s="2"/>
      <c r="K47" s="2"/>
      <c r="L47" s="15"/>
      <c r="M47" s="2"/>
      <c r="N47" s="11">
        <f t="shared" si="6"/>
        <v>0</v>
      </c>
      <c r="O47" s="11"/>
      <c r="P47" s="20">
        <f t="shared" si="1"/>
        <v>0</v>
      </c>
      <c r="Q47" s="21">
        <f t="shared" si="2"/>
        <v>0</v>
      </c>
      <c r="R47" s="21">
        <f t="shared" si="3"/>
        <v>0</v>
      </c>
      <c r="S47" s="20">
        <f t="shared" si="4"/>
        <v>0</v>
      </c>
      <c r="T47" s="18">
        <f t="shared" si="0"/>
        <v>0</v>
      </c>
      <c r="U47" s="2"/>
      <c r="V47" s="2"/>
      <c r="W47" s="3"/>
      <c r="X47" s="6">
        <f t="shared" si="5"/>
        <v>0</v>
      </c>
      <c r="Y47" s="2"/>
      <c r="Z47" s="2"/>
      <c r="AA47" s="26">
        <f t="shared" si="29"/>
        <v>30</v>
      </c>
      <c r="AB47" s="28">
        <f t="shared" si="24"/>
        <v>1437.8000000000004</v>
      </c>
      <c r="AC47" s="29">
        <v>140993.45169615251</v>
      </c>
      <c r="AD47" s="34">
        <f t="shared" si="25"/>
        <v>1.9458794730843849</v>
      </c>
      <c r="AE47" s="2"/>
      <c r="AF47" s="26">
        <f t="shared" si="30"/>
        <v>30</v>
      </c>
      <c r="AG47" s="30">
        <f t="shared" si="27"/>
        <v>45500</v>
      </c>
      <c r="AH47" s="29">
        <v>154777.85392619902</v>
      </c>
      <c r="AI47" s="34">
        <f t="shared" si="28"/>
        <v>11.912746667606619</v>
      </c>
    </row>
    <row r="48" spans="1:3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5"/>
      <c r="M48" s="2"/>
      <c r="N48" s="11">
        <f t="shared" si="6"/>
        <v>0</v>
      </c>
      <c r="O48" s="11"/>
      <c r="P48" s="20">
        <f t="shared" si="1"/>
        <v>0</v>
      </c>
      <c r="Q48" s="21">
        <f t="shared" si="2"/>
        <v>0</v>
      </c>
      <c r="R48" s="21">
        <f t="shared" si="3"/>
        <v>0</v>
      </c>
      <c r="S48" s="20">
        <f t="shared" si="4"/>
        <v>0</v>
      </c>
      <c r="T48" s="18">
        <f t="shared" si="0"/>
        <v>0</v>
      </c>
      <c r="U48" s="2"/>
      <c r="V48" s="2"/>
      <c r="W48" s="3"/>
      <c r="X48" s="6">
        <f t="shared" si="5"/>
        <v>0</v>
      </c>
      <c r="Y48" s="2"/>
      <c r="Z48" s="2"/>
      <c r="AA48" s="26">
        <f t="shared" si="29"/>
        <v>40</v>
      </c>
      <c r="AB48" s="28">
        <f t="shared" si="24"/>
        <v>1548.4000000000003</v>
      </c>
      <c r="AC48" s="29">
        <v>141890.51676934923</v>
      </c>
      <c r="AD48" s="34">
        <f t="shared" si="25"/>
        <v>2.5945059641125625</v>
      </c>
      <c r="AE48" s="2"/>
      <c r="AF48" s="26">
        <f t="shared" si="30"/>
        <v>40</v>
      </c>
      <c r="AG48" s="30">
        <f t="shared" si="27"/>
        <v>49000</v>
      </c>
      <c r="AH48" s="29">
        <v>160269.71974274452</v>
      </c>
      <c r="AI48" s="34">
        <f t="shared" si="28"/>
        <v>15.883662223475497</v>
      </c>
    </row>
    <row r="49" spans="1:35" ht="15.75" customHeight="1" x14ac:dyDescent="0.25">
      <c r="A49" s="13"/>
      <c r="B49" s="5"/>
      <c r="C49" s="2"/>
      <c r="D49" s="2"/>
      <c r="E49" s="2"/>
      <c r="F49" s="2"/>
      <c r="G49" s="2"/>
      <c r="H49" s="2"/>
      <c r="I49" s="2"/>
      <c r="J49" s="2"/>
      <c r="K49" s="2"/>
      <c r="L49" s="15"/>
      <c r="M49" s="2"/>
      <c r="N49" s="12" t="s">
        <v>110</v>
      </c>
      <c r="O49" s="18">
        <f t="shared" ref="O49:T49" si="31">SUM(O8:O48)</f>
        <v>16836.041766308241</v>
      </c>
      <c r="P49" s="18">
        <f t="shared" si="31"/>
        <v>44595.884687197657</v>
      </c>
      <c r="Q49" s="18">
        <f t="shared" si="31"/>
        <v>45948.007433488288</v>
      </c>
      <c r="R49" s="18">
        <f t="shared" si="31"/>
        <v>32494.050913380539</v>
      </c>
      <c r="S49" s="18">
        <f t="shared" si="31"/>
        <v>-1571.728323812182</v>
      </c>
      <c r="T49" s="18">
        <f t="shared" si="31"/>
        <v>138302.25647656256</v>
      </c>
      <c r="U49" s="2"/>
      <c r="V49" s="2"/>
      <c r="W49" s="3"/>
      <c r="X49" s="3"/>
      <c r="Y49" s="2"/>
      <c r="Z49" s="2"/>
      <c r="AA49" s="26">
        <f t="shared" si="29"/>
        <v>50</v>
      </c>
      <c r="AB49" s="28">
        <f t="shared" si="24"/>
        <v>1659.0000000000005</v>
      </c>
      <c r="AC49" s="29">
        <v>142787.58184254586</v>
      </c>
      <c r="AD49" s="34">
        <f t="shared" si="25"/>
        <v>3.2431324551406764</v>
      </c>
      <c r="AE49" s="2"/>
      <c r="AF49" s="26">
        <f t="shared" si="30"/>
        <v>50</v>
      </c>
      <c r="AG49" s="30">
        <f t="shared" si="27"/>
        <v>52500</v>
      </c>
      <c r="AH49" s="29">
        <v>165761.58555929002</v>
      </c>
      <c r="AI49" s="34">
        <f t="shared" si="28"/>
        <v>19.854577779344378</v>
      </c>
    </row>
    <row r="50" spans="1:35" ht="15.75" customHeight="1" x14ac:dyDescent="0.25">
      <c r="A50" s="2"/>
      <c r="B50" s="33"/>
      <c r="C50" s="2"/>
      <c r="D50" s="2"/>
      <c r="E50" s="2"/>
      <c r="F50" s="2"/>
      <c r="G50" s="2"/>
      <c r="H50" s="2"/>
      <c r="I50" s="2"/>
      <c r="J50" s="2"/>
      <c r="K50" s="2"/>
      <c r="L50" s="1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3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77" t="s">
        <v>178</v>
      </c>
      <c r="AB51" s="78"/>
      <c r="AC51" s="78"/>
      <c r="AD51" s="78"/>
      <c r="AE51" s="2"/>
      <c r="AF51" s="2"/>
      <c r="AG51" s="2"/>
      <c r="AH51" s="2"/>
      <c r="AI51" s="2"/>
    </row>
    <row r="52" spans="1:35" ht="15.75" customHeight="1" x14ac:dyDescent="0.25">
      <c r="A52" s="13"/>
      <c r="B52" s="2"/>
      <c r="C52" s="2"/>
      <c r="D52" s="2"/>
      <c r="E52" s="2"/>
      <c r="F52" s="2"/>
      <c r="G52" s="2"/>
      <c r="H52" s="2"/>
      <c r="I52" s="2"/>
      <c r="J52" s="2"/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78" t="s">
        <v>77</v>
      </c>
      <c r="AB52" s="78" t="s">
        <v>178</v>
      </c>
      <c r="AC52" s="78" t="s">
        <v>22</v>
      </c>
      <c r="AD52" s="78" t="s">
        <v>79</v>
      </c>
      <c r="AE52" s="2"/>
      <c r="AF52" s="2"/>
      <c r="AG52" s="2"/>
      <c r="AH52" s="2"/>
      <c r="AI52" s="2"/>
    </row>
    <row r="53" spans="1:35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9"/>
      <c r="M53" s="2"/>
      <c r="N53" s="2"/>
      <c r="O53" s="1"/>
      <c r="P53" s="1"/>
      <c r="Q53" s="2"/>
      <c r="R53" s="2"/>
      <c r="S53" s="2"/>
      <c r="T53" s="2"/>
      <c r="U53" s="2"/>
      <c r="V53" s="2"/>
      <c r="W53" s="2"/>
      <c r="X53" s="2"/>
      <c r="Y53" s="33"/>
      <c r="Z53" s="2"/>
      <c r="AA53" s="78" t="s">
        <v>83</v>
      </c>
      <c r="AB53" s="100">
        <v>7.2499999999999995E-2</v>
      </c>
      <c r="AC53" s="80">
        <f>T49</f>
        <v>138302.25647656256</v>
      </c>
      <c r="AD53" s="78"/>
      <c r="AE53" s="2"/>
      <c r="AF53" s="2"/>
      <c r="AG53" s="2"/>
      <c r="AH53" s="2"/>
      <c r="AI53" s="2"/>
    </row>
    <row r="54" spans="1:3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50"/>
      <c r="O54" s="51" t="s">
        <v>112</v>
      </c>
      <c r="P54" s="52" t="str">
        <f>B1</f>
        <v>Singapore</v>
      </c>
      <c r="Q54" s="50"/>
      <c r="R54" s="50"/>
      <c r="S54" s="50"/>
      <c r="T54" s="50"/>
      <c r="U54" s="50"/>
      <c r="V54" s="2"/>
      <c r="W54" s="2"/>
      <c r="X54" s="2"/>
      <c r="Y54" s="33"/>
      <c r="Z54" s="2"/>
      <c r="AA54" s="78">
        <f t="shared" ref="AA54:AA58" si="32">AA55-10</f>
        <v>-50</v>
      </c>
      <c r="AB54" s="100">
        <f>$AB$53*(1+(-AA54/100))</f>
        <v>0.10874999999999999</v>
      </c>
      <c r="AC54" s="80">
        <f t="dataTable" ref="AC54:AC64" dt2D="0" dtr="0" r1="J10"/>
        <v>161276.26019330669</v>
      </c>
      <c r="AD54" s="101">
        <f t="shared" ref="AD54:AD64" si="33">100*((AC54-$AC$59)/$AC$59)</f>
        <v>16.611445324203679</v>
      </c>
      <c r="AE54" s="2"/>
      <c r="AF54" s="2"/>
      <c r="AG54" s="2"/>
      <c r="AH54" s="2"/>
      <c r="AI54" s="2"/>
    </row>
    <row r="55" spans="1:3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113</v>
      </c>
      <c r="P55" s="23">
        <f>SUM(O49:P49)</f>
        <v>61431.926453505897</v>
      </c>
      <c r="Q55" s="2" t="s">
        <v>3</v>
      </c>
      <c r="R55" s="47">
        <f t="shared" ref="R55:R58" si="34">P55/$F$41</f>
        <v>0.17551978986715971</v>
      </c>
      <c r="S55" s="2" t="s">
        <v>4</v>
      </c>
      <c r="T55" s="2"/>
      <c r="U55" s="2"/>
      <c r="V55" s="2"/>
      <c r="W55" s="2"/>
      <c r="X55" s="2"/>
      <c r="Y55" s="33"/>
      <c r="Z55" s="2"/>
      <c r="AA55" s="78">
        <f t="shared" si="32"/>
        <v>-40</v>
      </c>
      <c r="AB55" s="100">
        <f t="shared" ref="AB55:AB64" si="35">$AB$53*(1+(-AA55/100))</f>
        <v>0.10149999999999999</v>
      </c>
      <c r="AC55" s="80">
        <v>156681.45944995791</v>
      </c>
      <c r="AD55" s="101">
        <f t="shared" si="33"/>
        <v>13.289156259362978</v>
      </c>
      <c r="AE55" s="2"/>
      <c r="AF55" s="2"/>
      <c r="AG55" s="2"/>
      <c r="AH55" s="2"/>
      <c r="AI55" s="2"/>
    </row>
    <row r="56" spans="1:3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97</v>
      </c>
      <c r="P56" s="23">
        <f>SUM(Q49)</f>
        <v>45948.007433488288</v>
      </c>
      <c r="Q56" s="2" t="s">
        <v>3</v>
      </c>
      <c r="R56" s="47">
        <f t="shared" si="34"/>
        <v>0.13128002123853796</v>
      </c>
      <c r="S56" s="2" t="s">
        <v>4</v>
      </c>
      <c r="T56" s="2"/>
      <c r="U56" s="2"/>
      <c r="V56" s="2"/>
      <c r="W56" s="2"/>
      <c r="X56" s="2"/>
      <c r="Y56" s="33"/>
      <c r="Z56" s="2"/>
      <c r="AA56" s="78">
        <f t="shared" si="32"/>
        <v>-30</v>
      </c>
      <c r="AB56" s="100">
        <f t="shared" si="35"/>
        <v>9.425E-2</v>
      </c>
      <c r="AC56" s="80">
        <v>152086.65870660901</v>
      </c>
      <c r="AD56" s="101">
        <f t="shared" si="33"/>
        <v>9.9668671945221909</v>
      </c>
      <c r="AE56" s="2"/>
      <c r="AF56" s="2"/>
      <c r="AG56" s="2"/>
      <c r="AH56" s="2"/>
      <c r="AI56" s="2"/>
    </row>
    <row r="57" spans="1:3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114</v>
      </c>
      <c r="P57" s="23">
        <f>SUM(R49)</f>
        <v>32494.050913380539</v>
      </c>
      <c r="Q57" s="2" t="s">
        <v>3</v>
      </c>
      <c r="R57" s="47">
        <f t="shared" si="34"/>
        <v>9.2840145466801541E-2</v>
      </c>
      <c r="S57" s="2" t="s">
        <v>4</v>
      </c>
      <c r="T57" s="2"/>
      <c r="U57" s="2"/>
      <c r="V57" s="2"/>
      <c r="W57" s="2"/>
      <c r="X57" s="2"/>
      <c r="Y57" s="33"/>
      <c r="Z57" s="2"/>
      <c r="AA57" s="78">
        <f t="shared" si="32"/>
        <v>-20</v>
      </c>
      <c r="AB57" s="100">
        <f t="shared" si="35"/>
        <v>8.6999999999999994E-2</v>
      </c>
      <c r="AC57" s="80">
        <v>147491.85796326018</v>
      </c>
      <c r="AD57" s="101">
        <f t="shared" si="33"/>
        <v>6.644578129681447</v>
      </c>
      <c r="AE57" s="2"/>
      <c r="AF57" s="2"/>
      <c r="AG57" s="2"/>
      <c r="AH57" s="2"/>
      <c r="AI57" s="2"/>
    </row>
    <row r="58" spans="1:3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116</v>
      </c>
      <c r="P58" s="23">
        <f>S49</f>
        <v>-1571.728323812182</v>
      </c>
      <c r="Q58" s="2" t="s">
        <v>3</v>
      </c>
      <c r="R58" s="47">
        <f t="shared" si="34"/>
        <v>-4.4906523537490911E-3</v>
      </c>
      <c r="S58" s="2" t="s">
        <v>4</v>
      </c>
      <c r="T58" s="2"/>
      <c r="U58" s="2"/>
      <c r="V58" s="2"/>
      <c r="W58" s="2"/>
      <c r="X58" s="2"/>
      <c r="Y58" s="33"/>
      <c r="Z58" s="2"/>
      <c r="AA58" s="78">
        <f t="shared" si="32"/>
        <v>-10</v>
      </c>
      <c r="AB58" s="100">
        <f t="shared" si="35"/>
        <v>7.9750000000000001E-2</v>
      </c>
      <c r="AC58" s="80">
        <v>142897.05721991137</v>
      </c>
      <c r="AD58" s="101">
        <f t="shared" si="33"/>
        <v>3.3222890648407235</v>
      </c>
      <c r="AE58" s="2"/>
      <c r="AF58" s="2"/>
      <c r="AG58" s="2"/>
      <c r="AH58" s="2"/>
      <c r="AI58" s="2"/>
    </row>
    <row r="59" spans="1:3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3"/>
      <c r="Z59" s="2"/>
      <c r="AA59" s="81">
        <v>0</v>
      </c>
      <c r="AB59" s="102">
        <f t="shared" si="35"/>
        <v>7.2499999999999995E-2</v>
      </c>
      <c r="AC59" s="103">
        <v>138302.25647656256</v>
      </c>
      <c r="AD59" s="104">
        <f t="shared" si="33"/>
        <v>0</v>
      </c>
      <c r="AE59" s="2"/>
      <c r="AF59" s="2"/>
      <c r="AG59" s="2"/>
      <c r="AH59" s="2"/>
      <c r="AI59" s="2"/>
    </row>
    <row r="60" spans="1:3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 t="s">
        <v>2</v>
      </c>
      <c r="P60" s="3">
        <f>SUM(P55:P58)</f>
        <v>138302.25647656253</v>
      </c>
      <c r="Q60" s="1" t="s">
        <v>3</v>
      </c>
      <c r="R60" s="55">
        <f>SUM(R55:R58)</f>
        <v>0.39514930421875011</v>
      </c>
      <c r="S60" s="1" t="s">
        <v>4</v>
      </c>
      <c r="T60" s="1"/>
      <c r="U60" s="2"/>
      <c r="V60" s="2"/>
      <c r="W60" s="2"/>
      <c r="X60" s="2"/>
      <c r="Y60" s="33"/>
      <c r="Z60" s="2"/>
      <c r="AA60" s="78">
        <f t="shared" ref="AA60:AA64" si="36">AA59+10</f>
        <v>10</v>
      </c>
      <c r="AB60" s="100">
        <f t="shared" si="35"/>
        <v>6.5250000000000002E-2</v>
      </c>
      <c r="AC60" s="80">
        <v>133707.45573321372</v>
      </c>
      <c r="AD60" s="101">
        <f t="shared" si="33"/>
        <v>-3.3222890648407444</v>
      </c>
      <c r="AE60" s="2"/>
      <c r="AF60" s="2"/>
      <c r="AG60" s="2"/>
      <c r="AH60" s="2"/>
      <c r="AI60" s="2"/>
    </row>
    <row r="61" spans="1:3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3"/>
      <c r="Z61" s="2"/>
      <c r="AA61" s="78">
        <f t="shared" si="36"/>
        <v>20</v>
      </c>
      <c r="AB61" s="100">
        <f t="shared" si="35"/>
        <v>5.7999999999999996E-2</v>
      </c>
      <c r="AC61" s="80">
        <v>129112.65498986488</v>
      </c>
      <c r="AD61" s="101">
        <f t="shared" si="33"/>
        <v>-6.6445781296814888</v>
      </c>
      <c r="AE61" s="2"/>
      <c r="AF61" s="2"/>
      <c r="AG61" s="2"/>
      <c r="AH61" s="2"/>
      <c r="AI61" s="2"/>
    </row>
    <row r="62" spans="1:3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3"/>
      <c r="Z62" s="2"/>
      <c r="AA62" s="78">
        <f t="shared" si="36"/>
        <v>30</v>
      </c>
      <c r="AB62" s="100">
        <f t="shared" si="35"/>
        <v>5.0749999999999997E-2</v>
      </c>
      <c r="AC62" s="80">
        <v>124517.85424651606</v>
      </c>
      <c r="AD62" s="101">
        <f t="shared" si="33"/>
        <v>-9.9668671945222229</v>
      </c>
      <c r="AE62" s="2"/>
      <c r="AF62" s="2"/>
      <c r="AG62" s="2"/>
      <c r="AH62" s="2"/>
      <c r="AI62" s="2"/>
    </row>
    <row r="63" spans="1:3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3"/>
      <c r="Z63" s="2"/>
      <c r="AA63" s="78">
        <f t="shared" si="36"/>
        <v>40</v>
      </c>
      <c r="AB63" s="100">
        <f t="shared" si="35"/>
        <v>4.3499999999999997E-2</v>
      </c>
      <c r="AC63" s="80">
        <v>119923.05350316723</v>
      </c>
      <c r="AD63" s="101">
        <f t="shared" si="33"/>
        <v>-13.289156259362958</v>
      </c>
      <c r="AE63" s="2"/>
      <c r="AF63" s="2"/>
      <c r="AG63" s="2"/>
      <c r="AH63" s="2"/>
      <c r="AI63" s="2"/>
    </row>
    <row r="64" spans="1:3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3"/>
      <c r="Z64" s="2"/>
      <c r="AA64" s="78">
        <f t="shared" si="36"/>
        <v>50</v>
      </c>
      <c r="AB64" s="100">
        <f t="shared" si="35"/>
        <v>3.6249999999999998E-2</v>
      </c>
      <c r="AC64" s="80">
        <v>115328.2527598184</v>
      </c>
      <c r="AD64" s="101">
        <f t="shared" si="33"/>
        <v>-16.611445324203704</v>
      </c>
      <c r="AE64" s="2"/>
      <c r="AF64" s="2"/>
      <c r="AG64" s="2"/>
      <c r="AH64" s="2"/>
      <c r="AI64" s="2"/>
    </row>
    <row r="65" spans="1:3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3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3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3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:3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:3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:3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:3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:3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:3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:3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:3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:3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:3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:3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:3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:3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:3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:3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:3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:3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:3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:3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:3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:3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:3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:3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:3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:3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:3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:3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:3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:3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:3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:3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:3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:3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:3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:3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:3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:3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:3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:3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:3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:3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:3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:3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:3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:3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:3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:3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:3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:3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:3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:3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:3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:3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:3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:3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:3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:3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:3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:3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:3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:3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:3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:3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:3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:3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:3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:3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:3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:3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:3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:3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:3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:3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:3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:3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:3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:3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:3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:3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:3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:3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:3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:3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:3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:3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:3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:3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:3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:3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:3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:3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:3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3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3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3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3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3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:3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:3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:3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:3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:3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:3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:3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:3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3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:3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:3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:3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:3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:3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:3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:3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:3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3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:3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:3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:3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3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:3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:3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:3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:3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:3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:3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:3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3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:3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:3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:3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3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3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:3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:3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3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3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:3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3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3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3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3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:3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:3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:3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3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3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:3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:3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3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:3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:3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:3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:3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:3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:3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:3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:3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:3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:3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:3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:3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:3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:3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:3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:3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:3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:3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:3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:3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:3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:3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:3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:3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:3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:3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:3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:3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:3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:3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:3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:3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:3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:3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:3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:3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:3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:3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:3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:3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:3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:3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:3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:3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:3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:3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:3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:3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:3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:3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:3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:3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:3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:3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:3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:3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:3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:3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:3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:3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:3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:3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:3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:3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:3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:3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:3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:3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:3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:3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:3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:3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:3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:3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:3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:3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:3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:3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:3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:3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:3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:3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:3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:3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:3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:3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:3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:3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:3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:3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:3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:3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:3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:3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:3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:3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:3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:3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:3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:3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:3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:3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:3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:3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:3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:3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:3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:3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:3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:3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:3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:3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:3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:3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:3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:3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:3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:3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:3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:3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:3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:3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:3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:3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:3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:3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:3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:3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:3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:3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:3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:3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:3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:3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:3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:3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:3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:3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:3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:3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:3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:3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:3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:3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:3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:3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:3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:3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:3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:3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:3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:3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:3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:3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:3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:3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:3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:3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:3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:3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:3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:3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:3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:3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:3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:3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:3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:3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:3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:3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:3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:3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:3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:3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:3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:3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:3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:3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:3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:3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:3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:3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:3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:3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:3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:3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:3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:3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:3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:3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:3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:3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:3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:3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:3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:3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:3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:3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:3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:3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:3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:3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:3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:3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:3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:3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:3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:3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:3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:3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:3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:3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:3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:3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:3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:3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:3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:3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:3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:3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:3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:3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:3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:3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:3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:3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:3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:3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:3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:3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:3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:3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:3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:3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:3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:3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:3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:3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:3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:3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:3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:3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:3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:3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:3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:3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:3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:3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:3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:3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:3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:3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:3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:3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:3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:3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:3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:3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:3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:3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:3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:3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:3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:3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:3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:3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:3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:3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:3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:3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:3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:3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:3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:3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:3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:3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:3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:3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:3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:3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:3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:3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:3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:3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:3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:3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:3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:3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:3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:3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:3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:3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:3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:3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:3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:3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:3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:3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:3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:3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:3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:3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:3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:3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:3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:3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:3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:3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:3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:3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:3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:3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:3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:3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:3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:3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:3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:3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:3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:3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:3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:3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:3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:3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:3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:3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:3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:3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:3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:3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:3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:3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:3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:3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:3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:3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:3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:3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:3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:3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:3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C60-406B-4DAA-B691-6D33704A2E92}">
  <dimension ref="A2:U45"/>
  <sheetViews>
    <sheetView tabSelected="1" topLeftCell="N1" zoomScale="120" zoomScaleNormal="70" workbookViewId="0">
      <selection activeCell="AA10" sqref="AA10"/>
    </sheetView>
  </sheetViews>
  <sheetFormatPr defaultRowHeight="15" x14ac:dyDescent="0.25"/>
  <cols>
    <col min="1" max="1" width="22" style="85" customWidth="1"/>
    <col min="2" max="2" width="21.7109375" style="85" customWidth="1"/>
    <col min="3" max="8" width="19.140625" style="86" customWidth="1"/>
    <col min="9" max="9" width="10.140625" style="85" customWidth="1"/>
    <col min="10" max="14" width="9.140625" style="85"/>
    <col min="15" max="15" width="21.140625" style="85" customWidth="1"/>
    <col min="16" max="20" width="18.42578125" style="85" customWidth="1"/>
    <col min="21" max="16384" width="9.140625" style="85"/>
  </cols>
  <sheetData>
    <row r="2" spans="1:21" ht="18.75" x14ac:dyDescent="0.3">
      <c r="A2" s="84" t="s">
        <v>176</v>
      </c>
      <c r="B2" s="85" t="s">
        <v>167</v>
      </c>
      <c r="O2" s="87" t="s">
        <v>168</v>
      </c>
    </row>
    <row r="3" spans="1:21" x14ac:dyDescent="0.25">
      <c r="B3" s="111" t="s">
        <v>180</v>
      </c>
      <c r="C3" s="112" t="s">
        <v>179</v>
      </c>
      <c r="D3" s="112"/>
      <c r="E3" s="112"/>
      <c r="F3" s="112"/>
      <c r="G3" s="112"/>
      <c r="H3" s="89"/>
      <c r="O3" s="111" t="s">
        <v>180</v>
      </c>
      <c r="P3" s="113" t="s">
        <v>179</v>
      </c>
      <c r="Q3" s="113"/>
      <c r="R3" s="113"/>
      <c r="S3" s="113"/>
      <c r="T3" s="90"/>
      <c r="U3" s="91"/>
    </row>
    <row r="4" spans="1:21" x14ac:dyDescent="0.25">
      <c r="B4" s="111"/>
      <c r="C4" s="90" t="s">
        <v>170</v>
      </c>
      <c r="D4" s="90" t="s">
        <v>171</v>
      </c>
      <c r="E4" s="90" t="s">
        <v>32</v>
      </c>
      <c r="F4" s="90" t="s">
        <v>172</v>
      </c>
      <c r="G4" s="90" t="s">
        <v>173</v>
      </c>
      <c r="H4" s="90" t="str">
        <f>'E-Bus SG'!AQ21</f>
        <v>Energy Efficiency</v>
      </c>
      <c r="O4" s="111"/>
      <c r="P4" s="88" t="s">
        <v>170</v>
      </c>
      <c r="Q4" s="88" t="s">
        <v>119</v>
      </c>
      <c r="R4" s="88" t="s">
        <v>173</v>
      </c>
      <c r="S4" s="88" t="s">
        <v>172</v>
      </c>
      <c r="T4" s="88" t="str">
        <f>'ICE-Bus SG'!AP21</f>
        <v>Energy Efficiency</v>
      </c>
    </row>
    <row r="5" spans="1:21" x14ac:dyDescent="0.25">
      <c r="B5" s="92">
        <f>'E-Bus SG'!AK22</f>
        <v>-50</v>
      </c>
      <c r="C5" s="93">
        <f>'E-Bus SG'!AL22</f>
        <v>-21.979973896607881</v>
      </c>
      <c r="D5" s="93">
        <f>'E-Bus SG'!AM22</f>
        <v>-16.171093025219836</v>
      </c>
      <c r="E5" s="93">
        <f>'E-Bus SG'!AN22</f>
        <v>-2.0271101967389393</v>
      </c>
      <c r="F5" s="93">
        <f>'E-Bus SG'!AO22</f>
        <v>-30.989595124043539</v>
      </c>
      <c r="G5" s="93">
        <f>'E-Bus SG'!AP22</f>
        <v>-14.818502098823627</v>
      </c>
      <c r="H5" s="93">
        <f>'E-Bus SG'!AQ22</f>
        <v>16.17109302521985</v>
      </c>
      <c r="O5" s="92">
        <f>'ICE-Bus SG'!AK22</f>
        <v>-50</v>
      </c>
      <c r="P5" s="94">
        <f>'ICE-Bus SG'!AL22</f>
        <v>-9.6969281557452263</v>
      </c>
      <c r="Q5" s="94">
        <f>'ICE-Bus SG'!AM22</f>
        <v>-32.714787541381916</v>
      </c>
      <c r="R5" s="94">
        <f>'ICE-Bus SG'!AN22</f>
        <v>-7.6497902767017258</v>
      </c>
      <c r="S5" s="94">
        <f>'ICE-Bus SG'!AO22</f>
        <v>-40.364577818083632</v>
      </c>
      <c r="T5" s="94">
        <f>'ICE-Bus SG'!AP22</f>
        <v>32.714787541381909</v>
      </c>
    </row>
    <row r="6" spans="1:21" x14ac:dyDescent="0.25">
      <c r="B6" s="92">
        <f>'E-Bus SG'!AK23</f>
        <v>-40</v>
      </c>
      <c r="C6" s="93">
        <f>'E-Bus SG'!AL23</f>
        <v>-17.583979117286308</v>
      </c>
      <c r="D6" s="93">
        <f>'E-Bus SG'!AM23</f>
        <v>-12.936874420175851</v>
      </c>
      <c r="E6" s="93">
        <f>'E-Bus SG'!AN23</f>
        <v>-1.6216881573911202</v>
      </c>
      <c r="F6" s="93">
        <f>'E-Bus SG'!AO23</f>
        <v>-24.79167609923481</v>
      </c>
      <c r="G6" s="93">
        <f>'E-Bus SG'!AP23</f>
        <v>-11.854801679058914</v>
      </c>
      <c r="H6" s="93">
        <f>'E-Bus SG'!AQ23</f>
        <v>12.936874420175922</v>
      </c>
      <c r="O6" s="92">
        <f>'ICE-Bus SG'!AK23</f>
        <v>-40</v>
      </c>
      <c r="P6" s="94">
        <f>'ICE-Bus SG'!AL23</f>
        <v>-7.7575425245961904</v>
      </c>
      <c r="Q6" s="94">
        <f>'ICE-Bus SG'!AM23</f>
        <v>-26.171830033105525</v>
      </c>
      <c r="R6" s="94">
        <f>'ICE-Bus SG'!AN23</f>
        <v>-6.1198322213613832</v>
      </c>
      <c r="S6" s="94">
        <f>'ICE-Bus SG'!AO23</f>
        <v>-32.291662254466907</v>
      </c>
      <c r="T6" s="94">
        <f>'ICE-Bus SG'!AP23</f>
        <v>26.171830033105486</v>
      </c>
    </row>
    <row r="7" spans="1:21" x14ac:dyDescent="0.25">
      <c r="B7" s="92">
        <f>'E-Bus SG'!AK24</f>
        <v>-30</v>
      </c>
      <c r="C7" s="93">
        <f>'E-Bus SG'!AL24</f>
        <v>-13.187984337964725</v>
      </c>
      <c r="D7" s="93">
        <f>'E-Bus SG'!AM24</f>
        <v>-9.7026558151319051</v>
      </c>
      <c r="E7" s="93">
        <f>'E-Bus SG'!AN24</f>
        <v>-1.2162661180433723</v>
      </c>
      <c r="F7" s="93">
        <f>'E-Bus SG'!AO24</f>
        <v>-18.59375707442609</v>
      </c>
      <c r="G7" s="93">
        <f>'E-Bus SG'!AP24</f>
        <v>-8.8911012592941994</v>
      </c>
      <c r="H7" s="93">
        <f>'E-Bus SG'!AQ24</f>
        <v>9.7026558151319211</v>
      </c>
      <c r="O7" s="92">
        <f>'ICE-Bus SG'!AK24</f>
        <v>-30</v>
      </c>
      <c r="P7" s="94">
        <f>'ICE-Bus SG'!AL24</f>
        <v>-5.8181568934471306</v>
      </c>
      <c r="Q7" s="94">
        <f>'ICE-Bus SG'!AM24</f>
        <v>-19.628872524829145</v>
      </c>
      <c r="R7" s="94">
        <f>'ICE-Bus SG'!AN24</f>
        <v>-4.589874166021028</v>
      </c>
      <c r="S7" s="94">
        <f>'ICE-Bus SG'!AO24</f>
        <v>-24.218746690850196</v>
      </c>
      <c r="T7" s="94">
        <f>'ICE-Bus SG'!AP24</f>
        <v>19.62887252482912</v>
      </c>
    </row>
    <row r="8" spans="1:21" x14ac:dyDescent="0.25">
      <c r="B8" s="92">
        <f>'E-Bus SG'!AK25</f>
        <v>-20</v>
      </c>
      <c r="C8" s="93">
        <f>'E-Bus SG'!AL25</f>
        <v>-8.7919895586431398</v>
      </c>
      <c r="D8" s="93">
        <f>'E-Bus SG'!AM25</f>
        <v>-6.4684372100879326</v>
      </c>
      <c r="E8" s="93">
        <f>'E-Bus SG'!AN25</f>
        <v>-0.81084407869553865</v>
      </c>
      <c r="F8" s="93">
        <f>'E-Bus SG'!AO25</f>
        <v>-12.395838049617405</v>
      </c>
      <c r="G8" s="93">
        <f>'E-Bus SG'!AP25</f>
        <v>-5.9274008395294713</v>
      </c>
      <c r="H8" s="93">
        <f>'E-Bus SG'!AQ25</f>
        <v>6.468437210087961</v>
      </c>
      <c r="O8" s="92">
        <f>'ICE-Bus SG'!AK25</f>
        <v>-20</v>
      </c>
      <c r="P8" s="94">
        <f>'ICE-Bus SG'!AL25</f>
        <v>-3.8787712622980952</v>
      </c>
      <c r="Q8" s="94">
        <f>'ICE-Bus SG'!AM25</f>
        <v>-13.085915016552763</v>
      </c>
      <c r="R8" s="94">
        <f>'ICE-Bus SG'!AN25</f>
        <v>-3.0599161106806978</v>
      </c>
      <c r="S8" s="94">
        <f>'ICE-Bus SG'!AO25</f>
        <v>-16.14583112723345</v>
      </c>
      <c r="T8" s="94">
        <f>'ICE-Bus SG'!AP25</f>
        <v>13.085915016552748</v>
      </c>
    </row>
    <row r="9" spans="1:21" x14ac:dyDescent="0.25">
      <c r="B9" s="92">
        <f>'E-Bus SG'!AK26</f>
        <v>-10</v>
      </c>
      <c r="C9" s="93">
        <f>'E-Bus SG'!AL26</f>
        <v>-4.3959947793215566</v>
      </c>
      <c r="D9" s="93">
        <f>'E-Bus SG'!AM26</f>
        <v>-3.2342186050439592</v>
      </c>
      <c r="E9" s="93">
        <f>'E-Bus SG'!AN26</f>
        <v>-0.40542203934777649</v>
      </c>
      <c r="F9" s="93">
        <f>'E-Bus SG'!AO26</f>
        <v>-6.1979190248087024</v>
      </c>
      <c r="G9" s="93">
        <f>'E-Bus SG'!AP26</f>
        <v>-2.9637004197646997</v>
      </c>
      <c r="H9" s="93">
        <f>'E-Bus SG'!AQ26</f>
        <v>3.2342186050440023</v>
      </c>
      <c r="O9" s="92">
        <f>'ICE-Bus SG'!AK26</f>
        <v>-10</v>
      </c>
      <c r="P9" s="94">
        <f>'ICE-Bus SG'!AL26</f>
        <v>-1.9393856311490603</v>
      </c>
      <c r="Q9" s="94">
        <f>'ICE-Bus SG'!AM26</f>
        <v>-6.5429575082763813</v>
      </c>
      <c r="R9" s="94">
        <f>'ICE-Bus SG'!AN26</f>
        <v>-1.5299580553403427</v>
      </c>
      <c r="S9" s="94">
        <f>'ICE-Bus SG'!AO26</f>
        <v>-8.0729155636167249</v>
      </c>
      <c r="T9" s="94">
        <f>'ICE-Bus SG'!AP26</f>
        <v>6.5429575082763938</v>
      </c>
    </row>
    <row r="10" spans="1:21" x14ac:dyDescent="0.25">
      <c r="B10" s="92">
        <f>'E-Bus SG'!AK27</f>
        <v>0</v>
      </c>
      <c r="C10" s="93">
        <f>'E-Bus SG'!AL27</f>
        <v>0</v>
      </c>
      <c r="D10" s="93">
        <f>'E-Bus SG'!AM27</f>
        <v>0</v>
      </c>
      <c r="E10" s="93">
        <f>'E-Bus SG'!AN27</f>
        <v>0</v>
      </c>
      <c r="F10" s="93">
        <f>'E-Bus SG'!AO27</f>
        <v>0</v>
      </c>
      <c r="G10" s="93">
        <f>'E-Bus SG'!AP27</f>
        <v>0</v>
      </c>
      <c r="H10" s="93">
        <f>'E-Bus SG'!AQ27</f>
        <v>0</v>
      </c>
      <c r="O10" s="92">
        <f>'ICE-Bus SG'!AK27</f>
        <v>0</v>
      </c>
      <c r="P10" s="94">
        <f>'ICE-Bus SG'!AL27</f>
        <v>0</v>
      </c>
      <c r="Q10" s="94">
        <f>'ICE-Bus SG'!AM27</f>
        <v>0</v>
      </c>
      <c r="R10" s="94">
        <f>'ICE-Bus SG'!AN27</f>
        <v>0</v>
      </c>
      <c r="S10" s="94">
        <f>'ICE-Bus SG'!AO27</f>
        <v>0</v>
      </c>
      <c r="T10" s="94">
        <f>'ICE-Bus SG'!AP27</f>
        <v>0</v>
      </c>
    </row>
    <row r="11" spans="1:21" x14ac:dyDescent="0.25">
      <c r="B11" s="92">
        <f>'E-Bus SG'!AK28</f>
        <v>10</v>
      </c>
      <c r="C11" s="93">
        <f>'E-Bus SG'!AL28</f>
        <v>4.395994779321585</v>
      </c>
      <c r="D11" s="93">
        <f>'E-Bus SG'!AM28</f>
        <v>3.2342186050440023</v>
      </c>
      <c r="E11" s="93">
        <f>'E-Bus SG'!AN28</f>
        <v>0.40542203934781934</v>
      </c>
      <c r="F11" s="93">
        <f>'E-Bus SG'!AO28</f>
        <v>9.000087450689092</v>
      </c>
      <c r="G11" s="93">
        <f>'E-Bus SG'!AP28</f>
        <v>2.963700419764757</v>
      </c>
      <c r="H11" s="93">
        <f>'E-Bus SG'!AQ28</f>
        <v>-3.2342186050439592</v>
      </c>
      <c r="O11" s="92">
        <f>'ICE-Bus SG'!AK28</f>
        <v>10</v>
      </c>
      <c r="P11" s="94">
        <f>'ICE-Bus SG'!AL28</f>
        <v>1.9393856311490352</v>
      </c>
      <c r="Q11" s="94">
        <f>'ICE-Bus SG'!AM28</f>
        <v>6.5429575082763938</v>
      </c>
      <c r="R11" s="94">
        <f>'ICE-Bus SG'!AN28</f>
        <v>1.5299580553403427</v>
      </c>
      <c r="S11" s="94">
        <f>'ICE-Bus SG'!AO28</f>
        <v>8.0729155636167373</v>
      </c>
      <c r="T11" s="94">
        <f>'ICE-Bus SG'!AP28</f>
        <v>-6.5429575082763813</v>
      </c>
    </row>
    <row r="12" spans="1:21" x14ac:dyDescent="0.25">
      <c r="B12" s="92">
        <f>'E-Bus SG'!AK29</f>
        <v>20</v>
      </c>
      <c r="C12" s="93">
        <f>'E-Bus SG'!AL29</f>
        <v>8.7919895586431966</v>
      </c>
      <c r="D12" s="93">
        <f>'E-Bus SG'!AM29</f>
        <v>6.468437210087961</v>
      </c>
      <c r="E12" s="93">
        <f>'E-Bus SG'!AN29</f>
        <v>0.81084407869556718</v>
      </c>
      <c r="F12" s="93">
        <f>'E-Bus SG'!AO29</f>
        <v>15.310093212532999</v>
      </c>
      <c r="G12" s="93">
        <f>'E-Bus SG'!AP29</f>
        <v>5.9274008395294713</v>
      </c>
      <c r="H12" s="93">
        <f>'E-Bus SG'!AQ29</f>
        <v>-6.4684372100879326</v>
      </c>
      <c r="O12" s="92">
        <f>'ICE-Bus SG'!AK29</f>
        <v>20</v>
      </c>
      <c r="P12" s="94">
        <f>'ICE-Bus SG'!AL29</f>
        <v>3.8787712622980703</v>
      </c>
      <c r="Q12" s="94">
        <f>'ICE-Bus SG'!AM29</f>
        <v>13.085915016552748</v>
      </c>
      <c r="R12" s="94">
        <f>'ICE-Bus SG'!AN29</f>
        <v>3.0599161106806854</v>
      </c>
      <c r="S12" s="94">
        <f>'ICE-Bus SG'!AO29</f>
        <v>16.145831127233436</v>
      </c>
      <c r="T12" s="94">
        <f>'ICE-Bus SG'!AP29</f>
        <v>-13.085915016552763</v>
      </c>
    </row>
    <row r="13" spans="1:21" x14ac:dyDescent="0.25">
      <c r="B13" s="92">
        <f>'E-Bus SG'!AK30</f>
        <v>30</v>
      </c>
      <c r="C13" s="93">
        <f>'E-Bus SG'!AL30</f>
        <v>13.187984337964725</v>
      </c>
      <c r="D13" s="93">
        <f>'E-Bus SG'!AM30</f>
        <v>9.7026558151319211</v>
      </c>
      <c r="E13" s="93">
        <f>'E-Bus SG'!AN30</f>
        <v>1.2162661180433723</v>
      </c>
      <c r="F13" s="93">
        <f>'E-Bus SG'!AO30</f>
        <v>21.624582443858348</v>
      </c>
      <c r="G13" s="93">
        <f>'E-Bus SG'!AP30</f>
        <v>8.8911012592942278</v>
      </c>
      <c r="H13" s="93">
        <f>'E-Bus SG'!AQ30</f>
        <v>-9.7026558151319051</v>
      </c>
      <c r="O13" s="92">
        <f>'ICE-Bus SG'!AK30</f>
        <v>30</v>
      </c>
      <c r="P13" s="94">
        <f>'ICE-Bus SG'!AL30</f>
        <v>5.8181568934471306</v>
      </c>
      <c r="Q13" s="94">
        <f>'ICE-Bus SG'!AM30</f>
        <v>19.62887252482912</v>
      </c>
      <c r="R13" s="94">
        <f>'ICE-Bus SG'!AN30</f>
        <v>4.5898741660210405</v>
      </c>
      <c r="S13" s="94">
        <f>'ICE-Bus SG'!AO30</f>
        <v>24.218746690850182</v>
      </c>
      <c r="T13" s="94">
        <f>'ICE-Bus SG'!AP30</f>
        <v>-19.628872524829145</v>
      </c>
    </row>
    <row r="14" spans="1:21" x14ac:dyDescent="0.25">
      <c r="B14" s="92">
        <f>'E-Bus SG'!AK31</f>
        <v>40</v>
      </c>
      <c r="C14" s="93">
        <f>'E-Bus SG'!AL31</f>
        <v>17.58397911728634</v>
      </c>
      <c r="D14" s="93">
        <f>'E-Bus SG'!AM31</f>
        <v>12.936874420175922</v>
      </c>
      <c r="E14" s="93">
        <f>'E-Bus SG'!AN31</f>
        <v>1.621688157391163</v>
      </c>
      <c r="F14" s="93">
        <f>'E-Bus SG'!AO31</f>
        <v>27.943734483444338</v>
      </c>
      <c r="G14" s="93">
        <f>'E-Bus SG'!AP31</f>
        <v>11.854801679058943</v>
      </c>
      <c r="H14" s="93">
        <f>'E-Bus SG'!AQ31</f>
        <v>-12.936874420175851</v>
      </c>
      <c r="O14" s="92">
        <f>'ICE-Bus SG'!AK31</f>
        <v>40</v>
      </c>
      <c r="P14" s="94">
        <f>'ICE-Bus SG'!AL31</f>
        <v>7.7575425245961656</v>
      </c>
      <c r="Q14" s="94">
        <f>'ICE-Bus SG'!AM31</f>
        <v>26.171830033105486</v>
      </c>
      <c r="R14" s="94">
        <f>'ICE-Bus SG'!AN31</f>
        <v>6.1198322213613956</v>
      </c>
      <c r="S14" s="94">
        <f>'ICE-Bus SG'!AO31</f>
        <v>32.291662254466878</v>
      </c>
      <c r="T14" s="94">
        <f>'ICE-Bus SG'!AP31</f>
        <v>-26.171830033105525</v>
      </c>
    </row>
    <row r="15" spans="1:21" x14ac:dyDescent="0.25">
      <c r="B15" s="92">
        <f>'E-Bus SG'!AK32</f>
        <v>50</v>
      </c>
      <c r="C15" s="93">
        <f>'E-Bus SG'!AL32</f>
        <v>21.97997389660792</v>
      </c>
      <c r="D15" s="93">
        <f>'E-Bus SG'!AM32</f>
        <v>16.171093025219896</v>
      </c>
      <c r="E15" s="93">
        <f>'E-Bus SG'!AN32</f>
        <v>2.0271101967389393</v>
      </c>
      <c r="F15" s="93">
        <f>'E-Bus SG'!AO32</f>
        <v>34.141653508253057</v>
      </c>
      <c r="G15" s="93">
        <f>'E-Bus SG'!AP32</f>
        <v>14.818502098823672</v>
      </c>
      <c r="H15" s="93">
        <f>'E-Bus SG'!AQ32</f>
        <v>-16.171093025219836</v>
      </c>
      <c r="O15" s="92">
        <f>'ICE-Bus SG'!AK32</f>
        <v>50</v>
      </c>
      <c r="P15" s="94">
        <f>'ICE-Bus SG'!AL32</f>
        <v>18.767793017671337</v>
      </c>
      <c r="Q15" s="94">
        <f>'ICE-Bus SG'!AM32</f>
        <v>32.714787541381909</v>
      </c>
      <c r="R15" s="94">
        <f>'ICE-Bus SG'!AN32</f>
        <v>7.6497902767017258</v>
      </c>
      <c r="S15" s="94">
        <f>'ICE-Bus SG'!AO32</f>
        <v>40.364577818083632</v>
      </c>
      <c r="T15" s="94">
        <f>'ICE-Bus SG'!AP32</f>
        <v>-32.714787541381916</v>
      </c>
    </row>
    <row r="17" spans="2:20" x14ac:dyDescent="0.25">
      <c r="B17" s="87" t="s">
        <v>174</v>
      </c>
      <c r="O17" s="87" t="s">
        <v>175</v>
      </c>
    </row>
    <row r="18" spans="2:20" x14ac:dyDescent="0.25">
      <c r="B18" s="111" t="s">
        <v>180</v>
      </c>
      <c r="C18" s="112" t="s">
        <v>179</v>
      </c>
      <c r="D18" s="112"/>
      <c r="E18" s="112"/>
      <c r="F18" s="112"/>
      <c r="G18" s="112"/>
      <c r="H18" s="89"/>
      <c r="O18" s="111" t="s">
        <v>180</v>
      </c>
      <c r="P18" s="113" t="s">
        <v>179</v>
      </c>
      <c r="Q18" s="113"/>
      <c r="R18" s="113"/>
      <c r="S18" s="113"/>
      <c r="T18" s="90"/>
    </row>
    <row r="19" spans="2:20" x14ac:dyDescent="0.25">
      <c r="B19" s="111"/>
      <c r="C19" s="90" t="s">
        <v>170</v>
      </c>
      <c r="D19" s="90" t="s">
        <v>171</v>
      </c>
      <c r="E19" s="90" t="s">
        <v>32</v>
      </c>
      <c r="F19" s="90" t="s">
        <v>172</v>
      </c>
      <c r="G19" s="90" t="s">
        <v>173</v>
      </c>
      <c r="H19" s="90" t="str">
        <f>'E-Truck SG'!AQ21</f>
        <v>Energy Efficiency</v>
      </c>
      <c r="O19" s="111"/>
      <c r="P19" s="88" t="s">
        <v>170</v>
      </c>
      <c r="Q19" s="88" t="s">
        <v>119</v>
      </c>
      <c r="R19" s="88" t="s">
        <v>173</v>
      </c>
      <c r="S19" s="88" t="s">
        <v>172</v>
      </c>
      <c r="T19" s="88" t="str">
        <f>'ICE-Truck SG'!AP21</f>
        <v>Energy Efficiency</v>
      </c>
    </row>
    <row r="20" spans="2:20" x14ac:dyDescent="0.25">
      <c r="B20" s="92">
        <f>'E-Truck SG'!AK22</f>
        <v>-50</v>
      </c>
      <c r="C20" s="93">
        <f>'E-Truck SG'!AL22</f>
        <v>-33.602551516606212</v>
      </c>
      <c r="D20" s="93">
        <f>'E-Truck SG'!AM22</f>
        <v>-5.7050684486465242</v>
      </c>
      <c r="E20" s="93">
        <f>'E-Truck SG'!AN22</f>
        <v>-2.3169790843337736</v>
      </c>
      <c r="F20" s="93">
        <f>'E-Truck SG'!AO22</f>
        <v>-14.198090662440544</v>
      </c>
      <c r="G20" s="93">
        <f>'E-Truck SG'!AP22</f>
        <v>-4.6643865728310265</v>
      </c>
      <c r="H20" s="93">
        <f>'E-Truck SG'!AQ22</f>
        <v>5.7050684486465402</v>
      </c>
      <c r="O20" s="92">
        <f>'ICE-Truck SG'!AK22</f>
        <v>-50</v>
      </c>
      <c r="P20" s="94">
        <f>'ICE-Truck SG'!AL22</f>
        <v>-17.490800290767698</v>
      </c>
      <c r="Q20" s="94">
        <f>'ICE-Truck SG'!AM22</f>
        <v>-20.111451332542334</v>
      </c>
      <c r="R20" s="94">
        <f>'ICE-Truck SG'!AN22</f>
        <v>-6.924072385924962</v>
      </c>
      <c r="S20" s="94">
        <f>'ICE-Truck SG'!AO22</f>
        <v>-27.035523718467307</v>
      </c>
      <c r="T20" s="94">
        <f>'ICE-Truck SG'!AP22</f>
        <v>20.111451332542362</v>
      </c>
    </row>
    <row r="21" spans="2:20" x14ac:dyDescent="0.25">
      <c r="B21" s="92">
        <f>'E-Truck SG'!AK23</f>
        <v>-40</v>
      </c>
      <c r="C21" s="93">
        <f>'E-Truck SG'!AL23</f>
        <v>-26.882041213284968</v>
      </c>
      <c r="D21" s="93">
        <f>'E-Truck SG'!AM23</f>
        <v>-4.5640547589172158</v>
      </c>
      <c r="E21" s="93">
        <f>'E-Truck SG'!AN23</f>
        <v>-1.8535832674670156</v>
      </c>
      <c r="F21" s="93">
        <f>'E-Truck SG'!AO23</f>
        <v>-11.867415929863693</v>
      </c>
      <c r="G21" s="93">
        <f>'E-Truck SG'!AP23</f>
        <v>-3.7315092582648242</v>
      </c>
      <c r="H21" s="93">
        <f>'E-Truck SG'!AQ23</f>
        <v>4.5640547589172318</v>
      </c>
      <c r="O21" s="92">
        <f>'ICE-Truck SG'!AK23</f>
        <v>-40</v>
      </c>
      <c r="P21" s="94">
        <f>'ICE-Truck SG'!AL23</f>
        <v>-13.992640232614177</v>
      </c>
      <c r="Q21" s="94">
        <f>'ICE-Truck SG'!AM23</f>
        <v>-16.089161066033856</v>
      </c>
      <c r="R21" s="94">
        <f>'ICE-Truck SG'!AN23</f>
        <v>-5.5392579087399776</v>
      </c>
      <c r="S21" s="94">
        <f>'ICE-Truck SG'!AO23</f>
        <v>-21.628418974773847</v>
      </c>
      <c r="T21" s="94">
        <f>'ICE-Truck SG'!AP23</f>
        <v>16.089161066033871</v>
      </c>
    </row>
    <row r="22" spans="2:20" x14ac:dyDescent="0.25">
      <c r="B22" s="92">
        <f>'E-Truck SG'!AK24</f>
        <v>-30</v>
      </c>
      <c r="C22" s="93">
        <f>'E-Truck SG'!AL24</f>
        <v>-20.161530909963744</v>
      </c>
      <c r="D22" s="93">
        <f>'E-Truck SG'!AM24</f>
        <v>-3.4230410691879238</v>
      </c>
      <c r="E22" s="93">
        <f>'E-Truck SG'!AN24</f>
        <v>-1.3901874506002576</v>
      </c>
      <c r="F22" s="93">
        <f>'E-Truck SG'!AO24</f>
        <v>-9.6573791998284477</v>
      </c>
      <c r="G22" s="93">
        <f>'E-Truck SG'!AP24</f>
        <v>-2.7986319436985907</v>
      </c>
      <c r="H22" s="93">
        <f>'E-Truck SG'!AQ24</f>
        <v>3.4230410691879558</v>
      </c>
      <c r="O22" s="92">
        <f>'ICE-Truck SG'!AK24</f>
        <v>-30</v>
      </c>
      <c r="P22" s="94">
        <f>'ICE-Truck SG'!AL24</f>
        <v>-10.494480174460639</v>
      </c>
      <c r="Q22" s="94">
        <f>'ICE-Truck SG'!AM24</f>
        <v>-12.066870799525379</v>
      </c>
      <c r="R22" s="94">
        <f>'ICE-Truck SG'!AN24</f>
        <v>-4.1544434315549941</v>
      </c>
      <c r="S22" s="94">
        <f>'ICE-Truck SG'!AO24</f>
        <v>-16.221314231080385</v>
      </c>
      <c r="T22" s="94">
        <f>'ICE-Truck SG'!AP24</f>
        <v>12.066870799525406</v>
      </c>
    </row>
    <row r="23" spans="2:20" x14ac:dyDescent="0.25">
      <c r="B23" s="92">
        <f>'E-Truck SG'!AK25</f>
        <v>-20</v>
      </c>
      <c r="C23" s="93">
        <f>'E-Truck SG'!AL25</f>
        <v>-13.441020606642484</v>
      </c>
      <c r="D23" s="93">
        <f>'E-Truck SG'!AM25</f>
        <v>-2.2820273794585999</v>
      </c>
      <c r="E23" s="93">
        <f>'E-Truck SG'!AN25</f>
        <v>-0.92679163373354767</v>
      </c>
      <c r="F23" s="93">
        <f>'E-Truck SG'!AO25</f>
        <v>-7.4418966407635887</v>
      </c>
      <c r="G23" s="93">
        <f>'E-Truck SG'!AP25</f>
        <v>-1.8657546291324201</v>
      </c>
      <c r="H23" s="93">
        <f>'E-Truck SG'!AQ25</f>
        <v>2.2820273794586319</v>
      </c>
      <c r="O23" s="92">
        <f>'ICE-Truck SG'!AK25</f>
        <v>-20</v>
      </c>
      <c r="P23" s="94">
        <f>'ICE-Truck SG'!AL25</f>
        <v>-6.9963201163070883</v>
      </c>
      <c r="Q23" s="94">
        <f>'ICE-Truck SG'!AM25</f>
        <v>-8.0445805330169424</v>
      </c>
      <c r="R23" s="94">
        <f>'ICE-Truck SG'!AN25</f>
        <v>-2.7696289543699675</v>
      </c>
      <c r="S23" s="94">
        <f>'ICE-Truck SG'!AO25</f>
        <v>-10.814209487386909</v>
      </c>
      <c r="T23" s="94">
        <f>'ICE-Truck SG'!AP25</f>
        <v>8.0445805330169708</v>
      </c>
    </row>
    <row r="24" spans="2:20" x14ac:dyDescent="0.25">
      <c r="B24" s="92">
        <f>'E-Truck SG'!AK26</f>
        <v>-10</v>
      </c>
      <c r="C24" s="93">
        <f>'E-Truck SG'!AL26</f>
        <v>-6.720510303321257</v>
      </c>
      <c r="D24" s="93">
        <f>'E-Truck SG'!AM26</f>
        <v>-1.141013689729292</v>
      </c>
      <c r="E24" s="93">
        <f>'E-Truck SG'!AN26</f>
        <v>-0.46339581686675785</v>
      </c>
      <c r="F24" s="93">
        <f>'E-Truck SG'!AO26</f>
        <v>-2.0738910042955259</v>
      </c>
      <c r="G24" s="93">
        <f>'E-Truck SG'!AP26</f>
        <v>-0.93287731456620204</v>
      </c>
      <c r="H24" s="93">
        <f>'E-Truck SG'!AQ26</f>
        <v>1.141013689729292</v>
      </c>
      <c r="O24" s="92">
        <f>'ICE-Truck SG'!AK26</f>
        <v>-10</v>
      </c>
      <c r="P24" s="94">
        <f>'ICE-Truck SG'!AL26</f>
        <v>-3.498160058153537</v>
      </c>
      <c r="Q24" s="94">
        <f>'ICE-Truck SG'!AM26</f>
        <v>-4.0222902665084783</v>
      </c>
      <c r="R24" s="94">
        <f>'ICE-Truck SG'!AN26</f>
        <v>-1.3848144771849979</v>
      </c>
      <c r="S24" s="94">
        <f>'ICE-Truck SG'!AO26</f>
        <v>-5.4071047436934476</v>
      </c>
      <c r="T24" s="94">
        <f>'ICE-Truck SG'!AP26</f>
        <v>4.0222902665084641</v>
      </c>
    </row>
    <row r="25" spans="2:20" x14ac:dyDescent="0.25">
      <c r="B25" s="92">
        <f>'E-Truck SG'!AK27</f>
        <v>0</v>
      </c>
      <c r="C25" s="93">
        <f>'E-Truck SG'!AL27</f>
        <v>0</v>
      </c>
      <c r="D25" s="93">
        <f>'E-Truck SG'!AM27</f>
        <v>0</v>
      </c>
      <c r="E25" s="93">
        <f>'E-Truck SG'!AN27</f>
        <v>0</v>
      </c>
      <c r="F25" s="93">
        <f>'E-Truck SG'!AO27</f>
        <v>0</v>
      </c>
      <c r="G25" s="93">
        <f>'E-Truck SG'!AP27</f>
        <v>0</v>
      </c>
      <c r="H25" s="93">
        <f>'E-Truck SG'!AQ27</f>
        <v>0</v>
      </c>
      <c r="O25" s="92">
        <f>'ICE-Truck SG'!AK27</f>
        <v>0</v>
      </c>
      <c r="P25" s="94">
        <f>'ICE-Truck SG'!AL27</f>
        <v>0</v>
      </c>
      <c r="Q25" s="94">
        <f>'ICE-Truck SG'!AM27</f>
        <v>0</v>
      </c>
      <c r="R25" s="94">
        <f>'ICE-Truck SG'!AN27</f>
        <v>0</v>
      </c>
      <c r="S25" s="94">
        <f>'ICE-Truck SG'!AO27</f>
        <v>0</v>
      </c>
      <c r="T25" s="94">
        <f>'ICE-Truck SG'!AP27</f>
        <v>0</v>
      </c>
    </row>
    <row r="26" spans="2:20" x14ac:dyDescent="0.25">
      <c r="B26" s="92">
        <f>'E-Truck SG'!AK28</f>
        <v>10</v>
      </c>
      <c r="C26" s="93">
        <f>'E-Truck SG'!AL28</f>
        <v>6.720510303321257</v>
      </c>
      <c r="D26" s="93">
        <f>'E-Truck SG'!AM28</f>
        <v>1.141013689729292</v>
      </c>
      <c r="E26" s="93">
        <f>'E-Truck SG'!AN28</f>
        <v>0.46339581686675785</v>
      </c>
      <c r="F26" s="93">
        <f>'E-Truck SG'!AO28</f>
        <v>2.4838201582153623</v>
      </c>
      <c r="G26" s="93">
        <f>'E-Truck SG'!AP28</f>
        <v>0.93287731456621803</v>
      </c>
      <c r="H26" s="93">
        <f>'E-Truck SG'!AQ28</f>
        <v>-1.141013689729292</v>
      </c>
      <c r="O26" s="92">
        <f>'ICE-Truck SG'!AK28</f>
        <v>10</v>
      </c>
      <c r="P26" s="94">
        <f>'ICE-Truck SG'!AL28</f>
        <v>3.4981600581535508</v>
      </c>
      <c r="Q26" s="94">
        <f>'ICE-Truck SG'!AM28</f>
        <v>4.0222902665084641</v>
      </c>
      <c r="R26" s="94">
        <f>'ICE-Truck SG'!AN28</f>
        <v>1.3848144771849979</v>
      </c>
      <c r="S26" s="94">
        <f>'ICE-Truck SG'!AO28</f>
        <v>5.4071047436935045</v>
      </c>
      <c r="T26" s="94">
        <f>'ICE-Truck SG'!AP28</f>
        <v>-4.0222902665084641</v>
      </c>
    </row>
    <row r="27" spans="2:20" x14ac:dyDescent="0.25">
      <c r="B27" s="92">
        <f>'E-Truck SG'!AK29</f>
        <v>20</v>
      </c>
      <c r="C27" s="93">
        <f>'E-Truck SG'!AL29</f>
        <v>13.441020606642484</v>
      </c>
      <c r="D27" s="93">
        <f>'E-Truck SG'!AM29</f>
        <v>2.2820273794586319</v>
      </c>
      <c r="E27" s="93">
        <f>'E-Truck SG'!AN29</f>
        <v>0.9267916337335157</v>
      </c>
      <c r="F27" s="93">
        <f>'E-Truck SG'!AO29</f>
        <v>4.5577111625108566</v>
      </c>
      <c r="G27" s="93">
        <f>'E-Truck SG'!AP29</f>
        <v>1.8657546291324041</v>
      </c>
      <c r="H27" s="93">
        <f>'E-Truck SG'!AQ29</f>
        <v>-2.2820273794585999</v>
      </c>
      <c r="O27" s="92">
        <f>'ICE-Truck SG'!AK29</f>
        <v>20</v>
      </c>
      <c r="P27" s="94">
        <f>'ICE-Truck SG'!AL29</f>
        <v>6.9963201163070883</v>
      </c>
      <c r="Q27" s="94">
        <f>'ICE-Truck SG'!AM29</f>
        <v>8.0445805330169708</v>
      </c>
      <c r="R27" s="94">
        <f>'ICE-Truck SG'!AN29</f>
        <v>2.7696289543700101</v>
      </c>
      <c r="S27" s="94">
        <f>'ICE-Truck SG'!AO29</f>
        <v>10.81420948738694</v>
      </c>
      <c r="T27" s="94">
        <f>'ICE-Truck SG'!AP29</f>
        <v>-8.0445805330169424</v>
      </c>
    </row>
    <row r="28" spans="2:20" x14ac:dyDescent="0.25">
      <c r="B28" s="92">
        <f>'E-Truck SG'!AK30</f>
        <v>30</v>
      </c>
      <c r="C28" s="93">
        <f>'E-Truck SG'!AL30</f>
        <v>20.161530909963709</v>
      </c>
      <c r="D28" s="93">
        <f>'E-Truck SG'!AM30</f>
        <v>3.4230410691879558</v>
      </c>
      <c r="E28" s="93">
        <f>'E-Truck SG'!AN30</f>
        <v>1.3901874506002736</v>
      </c>
      <c r="F28" s="93">
        <f>'E-Truck SG'!AO30</f>
        <v>10.341344481800508</v>
      </c>
      <c r="G28" s="93">
        <f>'E-Truck SG'!AP30</f>
        <v>2.7986319436986062</v>
      </c>
      <c r="H28" s="93">
        <f>'E-Truck SG'!AQ30</f>
        <v>-3.4230410691879238</v>
      </c>
      <c r="O28" s="92">
        <f>'ICE-Truck SG'!AK30</f>
        <v>30</v>
      </c>
      <c r="P28" s="94">
        <f>'ICE-Truck SG'!AL30</f>
        <v>10.494480174460653</v>
      </c>
      <c r="Q28" s="94">
        <f>'ICE-Truck SG'!AM30</f>
        <v>12.066870799525406</v>
      </c>
      <c r="R28" s="94">
        <f>'ICE-Truck SG'!AN30</f>
        <v>4.1544434315549941</v>
      </c>
      <c r="S28" s="94">
        <f>'ICE-Truck SG'!AO30</f>
        <v>16.221314231080399</v>
      </c>
      <c r="T28" s="94">
        <f>'ICE-Truck SG'!AP30</f>
        <v>-12.066870799525379</v>
      </c>
    </row>
    <row r="29" spans="2:20" x14ac:dyDescent="0.25">
      <c r="B29" s="92">
        <f>'E-Truck SG'!AK31</f>
        <v>40</v>
      </c>
      <c r="C29" s="93">
        <f>'E-Truck SG'!AL31</f>
        <v>26.882041213284968</v>
      </c>
      <c r="D29" s="93">
        <f>'E-Truck SG'!AM31</f>
        <v>4.5640547589172318</v>
      </c>
      <c r="E29" s="93">
        <f>'E-Truck SG'!AN31</f>
        <v>1.8535832674669996</v>
      </c>
      <c r="F29" s="93">
        <f>'E-Truck SG'!AO31</f>
        <v>12.415235486096002</v>
      </c>
      <c r="G29" s="93">
        <f>'E-Truck SG'!AP31</f>
        <v>3.7315092582648401</v>
      </c>
      <c r="H29" s="93">
        <f>'E-Truck SG'!AQ31</f>
        <v>-4.5640547589172158</v>
      </c>
      <c r="O29" s="92">
        <f>'ICE-Truck SG'!AK31</f>
        <v>40</v>
      </c>
      <c r="P29" s="94">
        <f>'ICE-Truck SG'!AL31</f>
        <v>13.992640232614189</v>
      </c>
      <c r="Q29" s="94">
        <f>'ICE-Truck SG'!AM31</f>
        <v>16.089161066033871</v>
      </c>
      <c r="R29" s="94">
        <f>'ICE-Truck SG'!AN31</f>
        <v>5.539257908740006</v>
      </c>
      <c r="S29" s="94">
        <f>'ICE-Truck SG'!AO31</f>
        <v>21.62841897477389</v>
      </c>
      <c r="T29" s="94">
        <f>'ICE-Truck SG'!AP31</f>
        <v>-16.089161066033856</v>
      </c>
    </row>
    <row r="30" spans="2:20" x14ac:dyDescent="0.25">
      <c r="B30" s="92">
        <f>'E-Truck SG'!AK32</f>
        <v>50</v>
      </c>
      <c r="C30" s="93">
        <f>'E-Truck SG'!AL32</f>
        <v>33.602551516606191</v>
      </c>
      <c r="D30" s="93">
        <f>'E-Truck SG'!AM32</f>
        <v>5.7050684486465402</v>
      </c>
      <c r="E30" s="93">
        <f>'E-Truck SG'!AN32</f>
        <v>2.3169790843337896</v>
      </c>
      <c r="F30" s="93">
        <f>'E-Truck SG'!AO32</f>
        <v>14.489126490391513</v>
      </c>
      <c r="G30" s="93">
        <f>'E-Truck SG'!AP32</f>
        <v>4.6643865728310265</v>
      </c>
      <c r="H30" s="93">
        <f>'E-Truck SG'!AQ32</f>
        <v>-5.7050684486465242</v>
      </c>
      <c r="O30" s="92">
        <f>'ICE-Truck SG'!AK32</f>
        <v>50</v>
      </c>
      <c r="P30" s="94">
        <f>'ICE-Truck SG'!AL32</f>
        <v>17.490800290767741</v>
      </c>
      <c r="Q30" s="94">
        <f>'ICE-Truck SG'!AM32</f>
        <v>20.111451332542362</v>
      </c>
      <c r="R30" s="94">
        <f>'ICE-Truck SG'!AN32</f>
        <v>6.9240723859249895</v>
      </c>
      <c r="S30" s="94">
        <f>'ICE-Truck SG'!AO32</f>
        <v>27.035523718467324</v>
      </c>
      <c r="T30" s="94">
        <f>'ICE-Truck SG'!AP32</f>
        <v>-20.111451332542334</v>
      </c>
    </row>
    <row r="32" spans="2:20" x14ac:dyDescent="0.25">
      <c r="B32" s="110" t="s">
        <v>182</v>
      </c>
      <c r="O32" s="110" t="s">
        <v>181</v>
      </c>
    </row>
    <row r="33" spans="2:20" x14ac:dyDescent="0.25">
      <c r="B33" s="111" t="s">
        <v>180</v>
      </c>
      <c r="C33" s="112" t="s">
        <v>179</v>
      </c>
      <c r="D33" s="112"/>
      <c r="E33" s="112"/>
      <c r="F33" s="112"/>
      <c r="G33" s="112"/>
      <c r="H33" s="89"/>
      <c r="O33" s="111" t="s">
        <v>180</v>
      </c>
      <c r="P33" s="113" t="s">
        <v>179</v>
      </c>
      <c r="Q33" s="113"/>
      <c r="R33" s="113"/>
      <c r="S33" s="113"/>
      <c r="T33" s="90"/>
    </row>
    <row r="34" spans="2:20" x14ac:dyDescent="0.25">
      <c r="B34" s="111"/>
      <c r="C34" s="90" t="s">
        <v>170</v>
      </c>
      <c r="D34" s="90" t="s">
        <v>171</v>
      </c>
      <c r="E34" s="90" t="s">
        <v>32</v>
      </c>
      <c r="F34" s="90" t="s">
        <v>172</v>
      </c>
      <c r="G34" s="90" t="s">
        <v>173</v>
      </c>
      <c r="H34" s="90" t="str">
        <f>'E-Cargo SG'!AQ21</f>
        <v>Energy Efficiency</v>
      </c>
      <c r="O34" s="111"/>
      <c r="P34" s="88" t="s">
        <v>170</v>
      </c>
      <c r="Q34" s="88" t="s">
        <v>119</v>
      </c>
      <c r="R34" s="88" t="s">
        <v>173</v>
      </c>
      <c r="S34" s="88" t="s">
        <v>172</v>
      </c>
      <c r="T34" s="88" t="str">
        <f>'ICE-Cargo SG'!AP21</f>
        <v>Energy Efficiency</v>
      </c>
    </row>
    <row r="35" spans="2:20" x14ac:dyDescent="0.25">
      <c r="B35" s="95">
        <f>'E-Cargo SG'!AK22</f>
        <v>-50</v>
      </c>
      <c r="C35" s="93">
        <f>'E-Cargo SG'!AL22</f>
        <v>-28.879519216141848</v>
      </c>
      <c r="D35" s="93">
        <f>'E-Cargo SG'!AM22</f>
        <v>-6.6560352274971022</v>
      </c>
      <c r="E35" s="93">
        <f>'E-Cargo SG'!AN22</f>
        <v>-1.916142552930034</v>
      </c>
      <c r="F35" s="93">
        <f>'E-Cargo SG'!AO22</f>
        <v>-13.006787041771013</v>
      </c>
      <c r="G35" s="93">
        <f>'E-Cargo SG'!AP22</f>
        <v>-3.0217786067622328</v>
      </c>
      <c r="H35" s="93">
        <f>'E-Cargo SG'!AQ22</f>
        <v>6.6560352274971271</v>
      </c>
      <c r="O35" s="92">
        <f>'ICE-Cargo SG'!AK22</f>
        <v>-50</v>
      </c>
      <c r="P35" s="94">
        <f>'ICE-Cargo SG'!AL22</f>
        <v>-22.209300129501681</v>
      </c>
      <c r="Q35" s="94">
        <f>'ICE-Cargo SG'!AM22</f>
        <v>-16.611445324203704</v>
      </c>
      <c r="R35" s="94">
        <f>'ICE-Cargo SG'!AN22</f>
        <v>-3.2431324551406764</v>
      </c>
      <c r="S35" s="94">
        <f>'ICE-Cargo SG'!AO22</f>
        <v>-19.8545777793444</v>
      </c>
      <c r="T35" s="94">
        <f>'ICE-Cargo SG'!AP22</f>
        <v>16.611445324203679</v>
      </c>
    </row>
    <row r="36" spans="2:20" x14ac:dyDescent="0.25">
      <c r="B36" s="95">
        <f>'E-Cargo SG'!AK23</f>
        <v>-40</v>
      </c>
      <c r="C36" s="93">
        <f>'E-Cargo SG'!AL23</f>
        <v>-23.103615372913463</v>
      </c>
      <c r="D36" s="93">
        <f>'E-Cargo SG'!AM23</f>
        <v>-5.3248281819976695</v>
      </c>
      <c r="E36" s="93">
        <f>'E-Cargo SG'!AN23</f>
        <v>-1.5329140423440371</v>
      </c>
      <c r="F36" s="93">
        <f>'E-Cargo SG'!AO23</f>
        <v>-10.85505940296909</v>
      </c>
      <c r="G36" s="93">
        <f>'E-Cargo SG'!AP23</f>
        <v>-2.4174228854097914</v>
      </c>
      <c r="H36" s="93">
        <f>'E-Cargo SG'!AQ23</f>
        <v>5.3248281819977068</v>
      </c>
      <c r="O36" s="92">
        <f>'ICE-Cargo SG'!AK23</f>
        <v>-40</v>
      </c>
      <c r="P36" s="94">
        <f>'ICE-Cargo SG'!AL23</f>
        <v>-17.767440103601345</v>
      </c>
      <c r="Q36" s="94">
        <f>'ICE-Cargo SG'!AM23</f>
        <v>-13.289156259362958</v>
      </c>
      <c r="R36" s="94">
        <f>'ICE-Cargo SG'!AN23</f>
        <v>-2.5945059641125625</v>
      </c>
      <c r="S36" s="94">
        <f>'ICE-Cargo SG'!AO23</f>
        <v>-15.883662223475531</v>
      </c>
      <c r="T36" s="94">
        <f>'ICE-Cargo SG'!AP23</f>
        <v>13.289156259362978</v>
      </c>
    </row>
    <row r="37" spans="2:20" x14ac:dyDescent="0.25">
      <c r="B37" s="95">
        <f>'E-Cargo SG'!AK24</f>
        <v>-30</v>
      </c>
      <c r="C37" s="93">
        <f>'E-Cargo SG'!AL24</f>
        <v>-17.327711529685104</v>
      </c>
      <c r="D37" s="93">
        <f>'E-Cargo SG'!AM24</f>
        <v>-3.9936211364982612</v>
      </c>
      <c r="E37" s="93">
        <f>'E-Cargo SG'!AN24</f>
        <v>-1.1496855317580279</v>
      </c>
      <c r="F37" s="93">
        <f>'E-Cargo SG'!AO24</f>
        <v>-8.8048868687146911</v>
      </c>
      <c r="G37" s="93">
        <f>'E-Cargo SG'!AP24</f>
        <v>-1.8130671640573373</v>
      </c>
      <c r="H37" s="93">
        <f>'E-Cargo SG'!AQ24</f>
        <v>3.9936211364982861</v>
      </c>
      <c r="O37" s="92">
        <f>'ICE-Cargo SG'!AK24</f>
        <v>-30</v>
      </c>
      <c r="P37" s="94">
        <f>'ICE-Cargo SG'!AL24</f>
        <v>-13.32558007770101</v>
      </c>
      <c r="Q37" s="94">
        <f>'ICE-Cargo SG'!AM24</f>
        <v>-9.9668671945222229</v>
      </c>
      <c r="R37" s="94">
        <f>'ICE-Cargo SG'!AN24</f>
        <v>-1.9458794730844271</v>
      </c>
      <c r="S37" s="94">
        <f>'ICE-Cargo SG'!AO24</f>
        <v>-11.912746667606651</v>
      </c>
      <c r="T37" s="94">
        <f>'ICE-Cargo SG'!AP24</f>
        <v>9.9668671945221909</v>
      </c>
    </row>
    <row r="38" spans="2:20" x14ac:dyDescent="0.25">
      <c r="B38" s="95">
        <f>'E-Cargo SG'!AK25</f>
        <v>-20</v>
      </c>
      <c r="C38" s="93">
        <f>'E-Cargo SG'!AL25</f>
        <v>-11.551807686456725</v>
      </c>
      <c r="D38" s="93">
        <f>'E-Cargo SG'!AM25</f>
        <v>-2.662414090998841</v>
      </c>
      <c r="E38" s="93">
        <f>'E-Cargo SG'!AN25</f>
        <v>-0.76645702117201853</v>
      </c>
      <c r="F38" s="93">
        <f>'E-Cargo SG'!AO25</f>
        <v>-4.2029382965398199</v>
      </c>
      <c r="G38" s="93">
        <f>'E-Cargo SG'!AP25</f>
        <v>-1.2087114427048957</v>
      </c>
      <c r="H38" s="93">
        <f>'E-Cargo SG'!AQ25</f>
        <v>2.6624140909988658</v>
      </c>
      <c r="O38" s="92">
        <f>'ICE-Cargo SG'!AK25</f>
        <v>-20</v>
      </c>
      <c r="P38" s="94">
        <f>'ICE-Cargo SG'!AL25</f>
        <v>-8.8837200518006778</v>
      </c>
      <c r="Q38" s="94">
        <f>'ICE-Cargo SG'!AM25</f>
        <v>-6.6445781296814888</v>
      </c>
      <c r="R38" s="94">
        <f>'ICE-Cargo SG'!AN25</f>
        <v>-1.2972529820562917</v>
      </c>
      <c r="S38" s="94">
        <f>'ICE-Cargo SG'!AO25</f>
        <v>-7.94183111173776</v>
      </c>
      <c r="T38" s="94">
        <f>'ICE-Cargo SG'!AP25</f>
        <v>6.644578129681447</v>
      </c>
    </row>
    <row r="39" spans="2:20" x14ac:dyDescent="0.25">
      <c r="B39" s="95">
        <f>'E-Cargo SG'!AK26</f>
        <v>-10</v>
      </c>
      <c r="C39" s="93">
        <f>'E-Cargo SG'!AL26</f>
        <v>-5.775903843228356</v>
      </c>
      <c r="D39" s="93">
        <f>'E-Cargo SG'!AM26</f>
        <v>-1.3312070454994329</v>
      </c>
      <c r="E39" s="93">
        <f>'E-Cargo SG'!AN26</f>
        <v>-0.38322851058600926</v>
      </c>
      <c r="F39" s="93">
        <f>'E-Cargo SG'!AO26</f>
        <v>-2.267375529687945</v>
      </c>
      <c r="G39" s="93">
        <f>'E-Cargo SG'!AP26</f>
        <v>-0.60435572135244153</v>
      </c>
      <c r="H39" s="93">
        <f>'E-Cargo SG'!AQ26</f>
        <v>1.3312070454994205</v>
      </c>
      <c r="O39" s="92">
        <f>'ICE-Cargo SG'!AK26</f>
        <v>-10</v>
      </c>
      <c r="P39" s="94">
        <f>'ICE-Cargo SG'!AL26</f>
        <v>-4.4418600259003549</v>
      </c>
      <c r="Q39" s="94">
        <f>'ICE-Cargo SG'!AM26</f>
        <v>-3.3222890648407444</v>
      </c>
      <c r="R39" s="94">
        <f>'ICE-Cargo SG'!AN26</f>
        <v>-0.64862649102817749</v>
      </c>
      <c r="S39" s="94">
        <f>'ICE-Cargo SG'!AO26</f>
        <v>-3.97091555586888</v>
      </c>
      <c r="T39" s="94">
        <f>'ICE-Cargo SG'!AP26</f>
        <v>3.3222890648407235</v>
      </c>
    </row>
    <row r="40" spans="2:20" x14ac:dyDescent="0.25">
      <c r="B40" s="95">
        <f>'E-Cargo SG'!AK27</f>
        <v>0</v>
      </c>
      <c r="C40" s="93">
        <f>'E-Cargo SG'!AL27</f>
        <v>0</v>
      </c>
      <c r="D40" s="93">
        <f>'E-Cargo SG'!AM27</f>
        <v>0</v>
      </c>
      <c r="E40" s="93">
        <f>'E-Cargo SG'!AN27</f>
        <v>0</v>
      </c>
      <c r="F40" s="93">
        <f>'E-Cargo SG'!AO27</f>
        <v>0</v>
      </c>
      <c r="G40" s="93">
        <f>'E-Cargo SG'!AP27</f>
        <v>0</v>
      </c>
      <c r="H40" s="93">
        <f>'E-Cargo SG'!AQ27</f>
        <v>0</v>
      </c>
      <c r="O40" s="92">
        <f>'ICE-Cargo SG'!AK27</f>
        <v>0</v>
      </c>
      <c r="P40" s="94">
        <f>'ICE-Cargo SG'!AL27</f>
        <v>0</v>
      </c>
      <c r="Q40" s="94">
        <f>'ICE-Cargo SG'!AM27</f>
        <v>0</v>
      </c>
      <c r="R40" s="94">
        <f>'ICE-Cargo SG'!AN27</f>
        <v>0</v>
      </c>
      <c r="S40" s="94">
        <f>'ICE-Cargo SG'!AO27</f>
        <v>0</v>
      </c>
      <c r="T40" s="94">
        <f>'ICE-Cargo SG'!AP27</f>
        <v>0</v>
      </c>
    </row>
    <row r="41" spans="2:20" x14ac:dyDescent="0.25">
      <c r="B41" s="95">
        <f>'E-Cargo SG'!AK28</f>
        <v>10</v>
      </c>
      <c r="C41" s="93">
        <f>'E-Cargo SG'!AL28</f>
        <v>5.7759038432283933</v>
      </c>
      <c r="D41" s="93">
        <f>'E-Cargo SG'!AM28</f>
        <v>1.3312070454994205</v>
      </c>
      <c r="E41" s="93">
        <f>'E-Cargo SG'!AN28</f>
        <v>0.3832285105860217</v>
      </c>
      <c r="F41" s="93">
        <f>'E-Cargo SG'!AO28</f>
        <v>1.9355627668518744</v>
      </c>
      <c r="G41" s="93">
        <f>'E-Cargo SG'!AP28</f>
        <v>0.60435572135246651</v>
      </c>
      <c r="H41" s="93">
        <f>'E-Cargo SG'!AQ28</f>
        <v>-1.3312070454994329</v>
      </c>
      <c r="O41" s="92">
        <f>'ICE-Cargo SG'!AK28</f>
        <v>10</v>
      </c>
      <c r="P41" s="94">
        <f>'ICE-Cargo SG'!AL28</f>
        <v>4.4418600259003549</v>
      </c>
      <c r="Q41" s="94">
        <f>'ICE-Cargo SG'!AM28</f>
        <v>3.3222890648407235</v>
      </c>
      <c r="R41" s="94">
        <f>'ICE-Cargo SG'!AN28</f>
        <v>0.64862649102813541</v>
      </c>
      <c r="S41" s="94">
        <f>'ICE-Cargo SG'!AO28</f>
        <v>3.97091555586888</v>
      </c>
      <c r="T41" s="94">
        <f>'ICE-Cargo SG'!AP28</f>
        <v>-3.3222890648407444</v>
      </c>
    </row>
    <row r="42" spans="2:20" x14ac:dyDescent="0.25">
      <c r="B42" s="95">
        <f>'E-Cargo SG'!AK29</f>
        <v>20</v>
      </c>
      <c r="C42" s="93">
        <f>'E-Cargo SG'!AL29</f>
        <v>11.551807686456774</v>
      </c>
      <c r="D42" s="93">
        <f>'E-Cargo SG'!AM29</f>
        <v>2.6624140909988658</v>
      </c>
      <c r="E42" s="93">
        <f>'E-Cargo SG'!AN29</f>
        <v>0.7664570211720434</v>
      </c>
      <c r="F42" s="93">
        <f>'E-Cargo SG'!AO29</f>
        <v>6.8739367150446036</v>
      </c>
      <c r="G42" s="93">
        <f>'E-Cargo SG'!AP29</f>
        <v>1.2087114427049082</v>
      </c>
      <c r="H42" s="93">
        <f>'E-Cargo SG'!AQ29</f>
        <v>-2.662414090998841</v>
      </c>
      <c r="O42" s="92">
        <f>'ICE-Cargo SG'!AK29</f>
        <v>20</v>
      </c>
      <c r="P42" s="94">
        <f>'ICE-Cargo SG'!AL29</f>
        <v>8.8837200518006672</v>
      </c>
      <c r="Q42" s="94">
        <f>'ICE-Cargo SG'!AM29</f>
        <v>6.644578129681447</v>
      </c>
      <c r="R42" s="94">
        <f>'ICE-Cargo SG'!AN29</f>
        <v>1.2972529820562708</v>
      </c>
      <c r="S42" s="94">
        <f>'ICE-Cargo SG'!AO29</f>
        <v>7.9418311117377387</v>
      </c>
      <c r="T42" s="94">
        <f>'ICE-Cargo SG'!AP29</f>
        <v>-6.6445781296814888</v>
      </c>
    </row>
    <row r="43" spans="2:20" x14ac:dyDescent="0.25">
      <c r="B43" s="95">
        <f>'E-Cargo SG'!AK30</f>
        <v>30</v>
      </c>
      <c r="C43" s="93">
        <f>'E-Cargo SG'!AL30</f>
        <v>17.327711529685143</v>
      </c>
      <c r="D43" s="93">
        <f>'E-Cargo SG'!AM30</f>
        <v>3.9936211364982861</v>
      </c>
      <c r="E43" s="93">
        <f>'E-Cargo SG'!AN30</f>
        <v>1.1496855317580528</v>
      </c>
      <c r="F43" s="93">
        <f>'E-Cargo SG'!AO30</f>
        <v>8.8094994818964913</v>
      </c>
      <c r="G43" s="93">
        <f>'E-Cargo SG'!AP30</f>
        <v>1.813067164057387</v>
      </c>
      <c r="H43" s="93">
        <f>'E-Cargo SG'!AQ30</f>
        <v>-3.9936211364982612</v>
      </c>
      <c r="O43" s="92">
        <f>'ICE-Cargo SG'!AK30</f>
        <v>30</v>
      </c>
      <c r="P43" s="94">
        <f>'ICE-Cargo SG'!AL30</f>
        <v>13.325580077701002</v>
      </c>
      <c r="Q43" s="94">
        <f>'ICE-Cargo SG'!AM30</f>
        <v>9.9668671945221909</v>
      </c>
      <c r="R43" s="94">
        <f>'ICE-Cargo SG'!AN30</f>
        <v>1.9458794730843849</v>
      </c>
      <c r="S43" s="94">
        <f>'ICE-Cargo SG'!AO30</f>
        <v>11.912746667606619</v>
      </c>
      <c r="T43" s="94">
        <f>'ICE-Cargo SG'!AP30</f>
        <v>-9.9668671945222229</v>
      </c>
    </row>
    <row r="44" spans="2:20" x14ac:dyDescent="0.25">
      <c r="B44" s="95">
        <f>'E-Cargo SG'!AK31</f>
        <v>40</v>
      </c>
      <c r="C44" s="93">
        <f>'E-Cargo SG'!AL31</f>
        <v>23.103615372913499</v>
      </c>
      <c r="D44" s="93">
        <f>'E-Cargo SG'!AM31</f>
        <v>5.3248281819977068</v>
      </c>
      <c r="E44" s="93">
        <f>'E-Cargo SG'!AN31</f>
        <v>1.5329140423440746</v>
      </c>
      <c r="F44" s="93">
        <f>'E-Cargo SG'!AO31</f>
        <v>10.745062248748367</v>
      </c>
      <c r="G44" s="93">
        <f>'E-Cargo SG'!AP31</f>
        <v>2.4174228854098287</v>
      </c>
      <c r="H44" s="93">
        <f>'E-Cargo SG'!AQ31</f>
        <v>-5.3248281819976695</v>
      </c>
      <c r="O44" s="92">
        <f>'ICE-Cargo SG'!AK31</f>
        <v>40</v>
      </c>
      <c r="P44" s="94">
        <f>'ICE-Cargo SG'!AL31</f>
        <v>17.767440103601356</v>
      </c>
      <c r="Q44" s="94">
        <f>'ICE-Cargo SG'!AM31</f>
        <v>13.289156259362978</v>
      </c>
      <c r="R44" s="94">
        <f>'ICE-Cargo SG'!AN31</f>
        <v>2.5945059641125625</v>
      </c>
      <c r="S44" s="94">
        <f>'ICE-Cargo SG'!AO31</f>
        <v>15.883662223475497</v>
      </c>
      <c r="T44" s="94">
        <f>'ICE-Cargo SG'!AP31</f>
        <v>-13.289156259362958</v>
      </c>
    </row>
    <row r="45" spans="2:20" x14ac:dyDescent="0.25">
      <c r="B45" s="95">
        <f>'E-Cargo SG'!AK32</f>
        <v>50</v>
      </c>
      <c r="C45" s="93">
        <f>'E-Cargo SG'!AL32</f>
        <v>28.879519216141858</v>
      </c>
      <c r="D45" s="93">
        <f>'E-Cargo SG'!AM32</f>
        <v>6.6560352274971271</v>
      </c>
      <c r="E45" s="93">
        <f>'E-Cargo SG'!AN32</f>
        <v>1.916142552930084</v>
      </c>
      <c r="F45" s="93">
        <f>'E-Cargo SG'!AO32</f>
        <v>12.680625015600253</v>
      </c>
      <c r="G45" s="93">
        <f>'E-Cargo SG'!AP32</f>
        <v>3.0217786067622576</v>
      </c>
      <c r="H45" s="93">
        <f>'E-Cargo SG'!AQ32</f>
        <v>-6.6560352274971022</v>
      </c>
      <c r="O45" s="92">
        <f>'ICE-Cargo SG'!AK32</f>
        <v>50</v>
      </c>
      <c r="P45" s="94">
        <f>'ICE-Cargo SG'!AL32</f>
        <v>22.20930012950171</v>
      </c>
      <c r="Q45" s="94">
        <f>'ICE-Cargo SG'!AM32</f>
        <v>16.611445324203679</v>
      </c>
      <c r="R45" s="94">
        <f>'ICE-Cargo SG'!AN32</f>
        <v>3.2431324551406764</v>
      </c>
      <c r="S45" s="94">
        <f>'ICE-Cargo SG'!AO32</f>
        <v>19.854577779344378</v>
      </c>
      <c r="T45" s="94">
        <f>'ICE-Cargo SG'!AP32</f>
        <v>-16.611445324203704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E-Bus SG</vt:lpstr>
      <vt:lpstr>ICE-Bus SG</vt:lpstr>
      <vt:lpstr>E-Truck SG</vt:lpstr>
      <vt:lpstr>ICE-Truck SG</vt:lpstr>
      <vt:lpstr>E-Cargo SG</vt:lpstr>
      <vt:lpstr>ICE-Cargo SG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Valentinus Tri Frebrina Harisetyawan</cp:lastModifiedBy>
  <dcterms:created xsi:type="dcterms:W3CDTF">2015-06-05T18:17:20Z</dcterms:created>
  <dcterms:modified xsi:type="dcterms:W3CDTF">2024-09-30T04:18:50Z</dcterms:modified>
</cp:coreProperties>
</file>