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908e728f1b34df/Paper ERIA/Xls baru 29092024/"/>
    </mc:Choice>
  </mc:AlternateContent>
  <xr:revisionPtr revIDLastSave="113" documentId="13_ncr:1_{1BCE7987-99FF-4331-97ED-14AA667C1CE2}" xr6:coauthVersionLast="47" xr6:coauthVersionMax="47" xr10:uidLastSave="{A1E8F9AC-09F6-41BF-93ED-C6185270BDC4}"/>
  <bookViews>
    <workbookView xWindow="-105" yWindow="0" windowWidth="14610" windowHeight="16305" firstSheet="4" activeTab="6" xr2:uid="{00000000-000D-0000-FFFF-FFFF00000000}"/>
  </bookViews>
  <sheets>
    <sheet name="E-Bus TH" sheetId="1" r:id="rId1"/>
    <sheet name="ICE-Bus TH" sheetId="2" r:id="rId2"/>
    <sheet name="E-Truck TH" sheetId="3" r:id="rId3"/>
    <sheet name="ICE-Truck TH" sheetId="4" r:id="rId4"/>
    <sheet name="E-Cargo TH" sheetId="5" r:id="rId5"/>
    <sheet name="ICE-Cargo TH" sheetId="6" r:id="rId6"/>
    <sheet name="Sensitivity" sheetId="8" r:id="rId7"/>
  </sheets>
  <externalReferences>
    <externalReference r:id="rId8"/>
    <externalReference r:id="rId9"/>
  </externalReferenc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cmZvPGoaphRJc7wtmZWIRXomKTNeU9MOnUh0PzPJQ5k="/>
    </ext>
  </extLst>
</workbook>
</file>

<file path=xl/calcChain.xml><?xml version="1.0" encoding="utf-8"?>
<calcChain xmlns="http://schemas.openxmlformats.org/spreadsheetml/2006/main">
  <c r="AB55" i="6" l="1"/>
  <c r="AB56" i="6"/>
  <c r="AB57" i="6"/>
  <c r="AB58" i="6"/>
  <c r="AB59" i="6"/>
  <c r="AB60" i="6"/>
  <c r="AB61" i="6"/>
  <c r="AB62" i="6"/>
  <c r="AB63" i="6"/>
  <c r="AB64" i="6"/>
  <c r="AB54" i="6"/>
  <c r="AD70" i="5"/>
  <c r="AD71" i="5"/>
  <c r="AD72" i="5"/>
  <c r="AD73" i="5"/>
  <c r="AD74" i="5"/>
  <c r="AD75" i="5"/>
  <c r="AD76" i="5"/>
  <c r="AD77" i="5"/>
  <c r="AD78" i="5"/>
  <c r="AD79" i="5"/>
  <c r="AD69" i="5"/>
  <c r="AB55" i="4"/>
  <c r="AB56" i="4"/>
  <c r="AB57" i="4"/>
  <c r="AB58" i="4"/>
  <c r="AB59" i="4"/>
  <c r="AB60" i="4"/>
  <c r="AB61" i="4"/>
  <c r="AB62" i="4"/>
  <c r="AB63" i="4"/>
  <c r="AB64" i="4"/>
  <c r="AB54" i="4"/>
  <c r="AD70" i="3"/>
  <c r="AD71" i="3"/>
  <c r="AD72" i="3"/>
  <c r="AD73" i="3"/>
  <c r="AD74" i="3"/>
  <c r="AD75" i="3"/>
  <c r="AD76" i="3"/>
  <c r="AD77" i="3"/>
  <c r="AD78" i="3"/>
  <c r="AD79" i="3"/>
  <c r="AD69" i="3"/>
  <c r="AB55" i="2"/>
  <c r="AB56" i="2"/>
  <c r="AB57" i="2"/>
  <c r="AB58" i="2"/>
  <c r="AB59" i="2"/>
  <c r="AB60" i="2"/>
  <c r="AB61" i="2"/>
  <c r="AB62" i="2"/>
  <c r="AB63" i="2"/>
  <c r="AB64" i="2"/>
  <c r="AB54" i="2"/>
  <c r="AD70" i="1"/>
  <c r="AD71" i="1"/>
  <c r="AD72" i="1"/>
  <c r="AD73" i="1"/>
  <c r="AD74" i="1"/>
  <c r="AD75" i="1"/>
  <c r="AD76" i="1"/>
  <c r="AD77" i="1"/>
  <c r="AD78" i="1"/>
  <c r="AD79" i="1"/>
  <c r="AD69" i="1"/>
  <c r="T34" i="8" l="1"/>
  <c r="T19" i="8"/>
  <c r="T4" i="8"/>
  <c r="H34" i="8"/>
  <c r="H19" i="8"/>
  <c r="H4" i="8"/>
  <c r="AS21" i="5"/>
  <c r="AS21" i="1"/>
  <c r="AS21" i="3"/>
  <c r="AA24" i="6"/>
  <c r="AC39" i="5"/>
  <c r="AA24" i="4"/>
  <c r="AC24" i="3"/>
  <c r="AA24" i="2"/>
  <c r="AC24" i="1"/>
  <c r="AP21" i="6"/>
  <c r="AP21" i="4"/>
  <c r="AB12" i="6"/>
  <c r="AB12" i="4"/>
  <c r="AD64" i="6"/>
  <c r="AP32" i="6" s="1"/>
  <c r="T45" i="8" s="1"/>
  <c r="AD63" i="6"/>
  <c r="AP31" i="6" s="1"/>
  <c r="T44" i="8" s="1"/>
  <c r="AD62" i="6"/>
  <c r="AP30" i="6" s="1"/>
  <c r="T43" i="8" s="1"/>
  <c r="AD61" i="6"/>
  <c r="AP29" i="6" s="1"/>
  <c r="T42" i="8" s="1"/>
  <c r="AD60" i="6"/>
  <c r="AP28" i="6" s="1"/>
  <c r="T41" i="8" s="1"/>
  <c r="AA60" i="6"/>
  <c r="AA61" i="6" s="1"/>
  <c r="AD59" i="6"/>
  <c r="AP27" i="6" s="1"/>
  <c r="T40" i="8" s="1"/>
  <c r="AD58" i="6"/>
  <c r="AP26" i="6" s="1"/>
  <c r="T39" i="8" s="1"/>
  <c r="AA58" i="6"/>
  <c r="AD57" i="6"/>
  <c r="AP25" i="6" s="1"/>
  <c r="T38" i="8" s="1"/>
  <c r="AA57" i="6"/>
  <c r="AA56" i="6" s="1"/>
  <c r="AD56" i="6"/>
  <c r="AP24" i="6" s="1"/>
  <c r="T37" i="8" s="1"/>
  <c r="AD55" i="6"/>
  <c r="AP23" i="6" s="1"/>
  <c r="T36" i="8" s="1"/>
  <c r="AD54" i="6"/>
  <c r="AP22" i="6" s="1"/>
  <c r="T35" i="8" s="1"/>
  <c r="AD64" i="4"/>
  <c r="AP32" i="4" s="1"/>
  <c r="T30" i="8" s="1"/>
  <c r="AD63" i="4"/>
  <c r="AP31" i="4" s="1"/>
  <c r="T29" i="8" s="1"/>
  <c r="AD62" i="4"/>
  <c r="AP30" i="4" s="1"/>
  <c r="T28" i="8" s="1"/>
  <c r="AD61" i="4"/>
  <c r="AP29" i="4" s="1"/>
  <c r="T27" i="8" s="1"/>
  <c r="AD60" i="4"/>
  <c r="AP28" i="4" s="1"/>
  <c r="T26" i="8" s="1"/>
  <c r="AA60" i="4"/>
  <c r="AA61" i="4" s="1"/>
  <c r="AD59" i="4"/>
  <c r="AP27" i="4" s="1"/>
  <c r="T25" i="8" s="1"/>
  <c r="AD58" i="4"/>
  <c r="AP26" i="4" s="1"/>
  <c r="T24" i="8" s="1"/>
  <c r="AA58" i="4"/>
  <c r="AD57" i="4"/>
  <c r="AP25" i="4" s="1"/>
  <c r="T23" i="8" s="1"/>
  <c r="AA57" i="4"/>
  <c r="AA56" i="4" s="1"/>
  <c r="AD56" i="4"/>
  <c r="AP24" i="4" s="1"/>
  <c r="T22" i="8" s="1"/>
  <c r="AD55" i="4"/>
  <c r="AP23" i="4" s="1"/>
  <c r="T21" i="8" s="1"/>
  <c r="AD54" i="4"/>
  <c r="AP22" i="4" s="1"/>
  <c r="T20" i="8" s="1"/>
  <c r="AP21" i="2"/>
  <c r="AB12" i="2"/>
  <c r="AD55" i="2"/>
  <c r="AP23" i="2" s="1"/>
  <c r="T6" i="8" s="1"/>
  <c r="AD56" i="2"/>
  <c r="AP24" i="2" s="1"/>
  <c r="T7" i="8" s="1"/>
  <c r="AD57" i="2"/>
  <c r="AP25" i="2" s="1"/>
  <c r="T8" i="8" s="1"/>
  <c r="AD58" i="2"/>
  <c r="AP26" i="2" s="1"/>
  <c r="T9" i="8" s="1"/>
  <c r="AD59" i="2"/>
  <c r="AP27" i="2" s="1"/>
  <c r="T10" i="8" s="1"/>
  <c r="AD60" i="2"/>
  <c r="AP28" i="2" s="1"/>
  <c r="T11" i="8" s="1"/>
  <c r="AD61" i="2"/>
  <c r="AP29" i="2" s="1"/>
  <c r="T12" i="8" s="1"/>
  <c r="AD62" i="2"/>
  <c r="AP30" i="2" s="1"/>
  <c r="T13" i="8" s="1"/>
  <c r="AD63" i="2"/>
  <c r="AP31" i="2" s="1"/>
  <c r="T14" i="8" s="1"/>
  <c r="AD64" i="2"/>
  <c r="AP32" i="2" s="1"/>
  <c r="T15" i="8" s="1"/>
  <c r="AD54" i="2"/>
  <c r="AP22" i="2" s="1"/>
  <c r="T5" i="8" s="1"/>
  <c r="AA60" i="2"/>
  <c r="AA61" i="2" s="1"/>
  <c r="AA58" i="2"/>
  <c r="AA57" i="2"/>
  <c r="AA56" i="2" s="1"/>
  <c r="AD14" i="5"/>
  <c r="AD14" i="3"/>
  <c r="AF79" i="5"/>
  <c r="AS32" i="5" s="1"/>
  <c r="H45" i="8" s="1"/>
  <c r="AF78" i="5"/>
  <c r="AS31" i="5" s="1"/>
  <c r="H44" i="8" s="1"/>
  <c r="AF77" i="5"/>
  <c r="AS30" i="5" s="1"/>
  <c r="H43" i="8" s="1"/>
  <c r="AF76" i="5"/>
  <c r="AS29" i="5" s="1"/>
  <c r="H42" i="8" s="1"/>
  <c r="AF75" i="5"/>
  <c r="AS28" i="5" s="1"/>
  <c r="H41" i="8" s="1"/>
  <c r="AC75" i="5"/>
  <c r="AC76" i="5" s="1"/>
  <c r="AF74" i="5"/>
  <c r="AS27" i="5" s="1"/>
  <c r="H40" i="8" s="1"/>
  <c r="AF73" i="5"/>
  <c r="AS26" i="5" s="1"/>
  <c r="H39" i="8" s="1"/>
  <c r="AC73" i="5"/>
  <c r="AC72" i="5" s="1"/>
  <c r="AF72" i="5"/>
  <c r="AS25" i="5" s="1"/>
  <c r="H38" i="8" s="1"/>
  <c r="AF71" i="5"/>
  <c r="AS24" i="5" s="1"/>
  <c r="H37" i="8" s="1"/>
  <c r="AF70" i="5"/>
  <c r="AS23" i="5" s="1"/>
  <c r="H36" i="8" s="1"/>
  <c r="AF69" i="5"/>
  <c r="AS22" i="5" s="1"/>
  <c r="H35" i="8" s="1"/>
  <c r="AF79" i="3"/>
  <c r="AS32" i="3" s="1"/>
  <c r="H30" i="8" s="1"/>
  <c r="AF78" i="3"/>
  <c r="AS31" i="3" s="1"/>
  <c r="H29" i="8" s="1"/>
  <c r="AF77" i="3"/>
  <c r="AS30" i="3" s="1"/>
  <c r="H28" i="8" s="1"/>
  <c r="AF76" i="3"/>
  <c r="AS29" i="3" s="1"/>
  <c r="H27" i="8" s="1"/>
  <c r="AC76" i="3"/>
  <c r="AC77" i="3" s="1"/>
  <c r="AF75" i="3"/>
  <c r="AS28" i="3" s="1"/>
  <c r="H26" i="8" s="1"/>
  <c r="AC75" i="3"/>
  <c r="AF74" i="3"/>
  <c r="AS27" i="3" s="1"/>
  <c r="H25" i="8" s="1"/>
  <c r="AF73" i="3"/>
  <c r="AS26" i="3" s="1"/>
  <c r="H24" i="8" s="1"/>
  <c r="AC73" i="3"/>
  <c r="AF72" i="3"/>
  <c r="AS25" i="3" s="1"/>
  <c r="H23" i="8" s="1"/>
  <c r="AF71" i="3"/>
  <c r="AS24" i="3" s="1"/>
  <c r="H22" i="8" s="1"/>
  <c r="AF70" i="3"/>
  <c r="AS23" i="3" s="1"/>
  <c r="H21" i="8" s="1"/>
  <c r="AF69" i="3"/>
  <c r="AS22" i="3" s="1"/>
  <c r="H20" i="8" s="1"/>
  <c r="AF24" i="1"/>
  <c r="AO22" i="1" s="1"/>
  <c r="D5" i="8" s="1"/>
  <c r="AF25" i="1"/>
  <c r="AO23" i="1" s="1"/>
  <c r="D6" i="8" s="1"/>
  <c r="AF26" i="1"/>
  <c r="AO24" i="1" s="1"/>
  <c r="D7" i="8" s="1"/>
  <c r="AD14" i="1"/>
  <c r="AF70" i="1"/>
  <c r="AS23" i="1" s="1"/>
  <c r="H6" i="8" s="1"/>
  <c r="AF71" i="1"/>
  <c r="AS24" i="1" s="1"/>
  <c r="H7" i="8" s="1"/>
  <c r="AF72" i="1"/>
  <c r="AS25" i="1" s="1"/>
  <c r="H8" i="8" s="1"/>
  <c r="AF73" i="1"/>
  <c r="AS26" i="1" s="1"/>
  <c r="H9" i="8" s="1"/>
  <c r="AF74" i="1"/>
  <c r="AS27" i="1" s="1"/>
  <c r="H10" i="8" s="1"/>
  <c r="AF75" i="1"/>
  <c r="AS28" i="1" s="1"/>
  <c r="H11" i="8" s="1"/>
  <c r="AF76" i="1"/>
  <c r="AS29" i="1" s="1"/>
  <c r="H12" i="8" s="1"/>
  <c r="AF77" i="1"/>
  <c r="AS30" i="1" s="1"/>
  <c r="H13" i="8" s="1"/>
  <c r="AF78" i="1"/>
  <c r="AS31" i="1" s="1"/>
  <c r="H14" i="8" s="1"/>
  <c r="AF79" i="1"/>
  <c r="AS32" i="1" s="1"/>
  <c r="H15" i="8" s="1"/>
  <c r="AF69" i="1"/>
  <c r="AS22" i="1" s="1"/>
  <c r="H5" i="8" s="1"/>
  <c r="AC77" i="1"/>
  <c r="AC78" i="1" s="1"/>
  <c r="AC76" i="1"/>
  <c r="AC75" i="1"/>
  <c r="AC73" i="1"/>
  <c r="AC72" i="1" s="1"/>
  <c r="O35" i="8"/>
  <c r="O36" i="8"/>
  <c r="O37" i="8"/>
  <c r="O38" i="8"/>
  <c r="O39" i="8"/>
  <c r="O40" i="8"/>
  <c r="O41" i="8"/>
  <c r="O42" i="8"/>
  <c r="O43" i="8"/>
  <c r="O44" i="8"/>
  <c r="O45" i="8"/>
  <c r="O20" i="8"/>
  <c r="O21" i="8"/>
  <c r="O22" i="8"/>
  <c r="O23" i="8"/>
  <c r="O24" i="8"/>
  <c r="O25" i="8"/>
  <c r="O26" i="8"/>
  <c r="O27" i="8"/>
  <c r="O28" i="8"/>
  <c r="O29" i="8"/>
  <c r="O30" i="8"/>
  <c r="O5" i="8"/>
  <c r="O6" i="8"/>
  <c r="O7" i="8"/>
  <c r="O8" i="8"/>
  <c r="O9" i="8"/>
  <c r="O10" i="8"/>
  <c r="O11" i="8"/>
  <c r="O12" i="8"/>
  <c r="O13" i="8"/>
  <c r="O14" i="8"/>
  <c r="O15" i="8"/>
  <c r="B35" i="8"/>
  <c r="B36" i="8"/>
  <c r="B37" i="8"/>
  <c r="B38" i="8"/>
  <c r="B39" i="8"/>
  <c r="B40" i="8"/>
  <c r="B41" i="8"/>
  <c r="B42" i="8"/>
  <c r="B43" i="8"/>
  <c r="B44" i="8"/>
  <c r="B45" i="8"/>
  <c r="B20" i="8"/>
  <c r="B21" i="8"/>
  <c r="B22" i="8"/>
  <c r="B23" i="8"/>
  <c r="B24" i="8"/>
  <c r="B25" i="8"/>
  <c r="B26" i="8"/>
  <c r="B27" i="8"/>
  <c r="B28" i="8"/>
  <c r="B29" i="8"/>
  <c r="B30" i="8"/>
  <c r="B5" i="8"/>
  <c r="B6" i="8"/>
  <c r="B7" i="8"/>
  <c r="B8" i="8"/>
  <c r="B9" i="8"/>
  <c r="B10" i="8"/>
  <c r="B11" i="8"/>
  <c r="B12" i="8"/>
  <c r="B13" i="8"/>
  <c r="B14" i="8"/>
  <c r="B15" i="8"/>
  <c r="AD13" i="5"/>
  <c r="AD13" i="3"/>
  <c r="AK64" i="5"/>
  <c r="AK63" i="5"/>
  <c r="AK62" i="5"/>
  <c r="AK61" i="5"/>
  <c r="AK60" i="5"/>
  <c r="AH60" i="5"/>
  <c r="AH61" i="5" s="1"/>
  <c r="AK59" i="5"/>
  <c r="AI59" i="5"/>
  <c r="AK58" i="5"/>
  <c r="AI58" i="5"/>
  <c r="AH58" i="5"/>
  <c r="AK57" i="5"/>
  <c r="AH57" i="5"/>
  <c r="AH56" i="5" s="1"/>
  <c r="AK56" i="5"/>
  <c r="AK55" i="5"/>
  <c r="AK54" i="5"/>
  <c r="AK64" i="3"/>
  <c r="AK63" i="3"/>
  <c r="AK62" i="3"/>
  <c r="AK61" i="3"/>
  <c r="AK60" i="3"/>
  <c r="AH60" i="3"/>
  <c r="AH61" i="3" s="1"/>
  <c r="AK59" i="3"/>
  <c r="AI59" i="3"/>
  <c r="AK58" i="3"/>
  <c r="AH58" i="3"/>
  <c r="AI58" i="3" s="1"/>
  <c r="AK57" i="3"/>
  <c r="AH57" i="3"/>
  <c r="AH56" i="3" s="1"/>
  <c r="AK56" i="3"/>
  <c r="AK55" i="3"/>
  <c r="AK54" i="3"/>
  <c r="AK55" i="1"/>
  <c r="AK56" i="1"/>
  <c r="AK57" i="1"/>
  <c r="AK58" i="1"/>
  <c r="AK59" i="1"/>
  <c r="AK60" i="1"/>
  <c r="AK61" i="1"/>
  <c r="AK62" i="1"/>
  <c r="AK63" i="1"/>
  <c r="AK64" i="1"/>
  <c r="AK54" i="1"/>
  <c r="AD13" i="1"/>
  <c r="AI55" i="1"/>
  <c r="AI56" i="1"/>
  <c r="AI57" i="1"/>
  <c r="AI58" i="1"/>
  <c r="AI59" i="1"/>
  <c r="AI60" i="1"/>
  <c r="AI61" i="1"/>
  <c r="AI62" i="1"/>
  <c r="AI63" i="1"/>
  <c r="AI64" i="1"/>
  <c r="AI54" i="1"/>
  <c r="AH60" i="1"/>
  <c r="AH61" i="1" s="1"/>
  <c r="AH58" i="1"/>
  <c r="AH57" i="1"/>
  <c r="AH56" i="1" s="1"/>
  <c r="F47" i="5"/>
  <c r="F45" i="5"/>
  <c r="F46" i="5" s="1"/>
  <c r="F48" i="5" s="1"/>
  <c r="B46" i="5"/>
  <c r="J26" i="5"/>
  <c r="F49" i="5" s="1"/>
  <c r="F51" i="5" s="1"/>
  <c r="F45" i="3"/>
  <c r="F46" i="3" s="1"/>
  <c r="F48" i="3" s="1"/>
  <c r="F45" i="1"/>
  <c r="F46" i="1" s="1"/>
  <c r="F48" i="1" s="1"/>
  <c r="F47" i="3"/>
  <c r="B46" i="3"/>
  <c r="J26" i="3"/>
  <c r="F49" i="3" s="1"/>
  <c r="F47" i="1"/>
  <c r="B46" i="1"/>
  <c r="B48" i="1" s="1"/>
  <c r="AD9" i="1" s="1"/>
  <c r="J26" i="1"/>
  <c r="F49" i="1" s="1"/>
  <c r="J34" i="6"/>
  <c r="J40" i="5"/>
  <c r="AD12" i="5" s="1"/>
  <c r="J34" i="4"/>
  <c r="J40" i="3"/>
  <c r="AD12" i="3" s="1"/>
  <c r="J34" i="2"/>
  <c r="AB11" i="2" s="1"/>
  <c r="J40" i="1"/>
  <c r="AD12" i="1" s="1"/>
  <c r="P54" i="6"/>
  <c r="AI49" i="6"/>
  <c r="AO32" i="6" s="1"/>
  <c r="S45" i="8" s="1"/>
  <c r="AD49" i="6"/>
  <c r="AN32" i="6" s="1"/>
  <c r="R45" i="8" s="1"/>
  <c r="AI48" i="6"/>
  <c r="AO31" i="6" s="1"/>
  <c r="S44" i="8" s="1"/>
  <c r="AD48" i="6"/>
  <c r="AN31" i="6" s="1"/>
  <c r="R44" i="8" s="1"/>
  <c r="AI47" i="6"/>
  <c r="AO30" i="6" s="1"/>
  <c r="S43" i="8" s="1"/>
  <c r="AD47" i="6"/>
  <c r="AN30" i="6" s="1"/>
  <c r="R43" i="8" s="1"/>
  <c r="AI46" i="6"/>
  <c r="AO29" i="6" s="1"/>
  <c r="S42" i="8" s="1"/>
  <c r="AD46" i="6"/>
  <c r="AN29" i="6" s="1"/>
  <c r="R42" i="8" s="1"/>
  <c r="AI45" i="6"/>
  <c r="AO28" i="6" s="1"/>
  <c r="S41" i="8" s="1"/>
  <c r="AF45" i="6"/>
  <c r="AG45" i="6" s="1"/>
  <c r="AD45" i="6"/>
  <c r="AN28" i="6" s="1"/>
  <c r="R41" i="8" s="1"/>
  <c r="AA45" i="6"/>
  <c r="AI44" i="6"/>
  <c r="AO27" i="6" s="1"/>
  <c r="S40" i="8" s="1"/>
  <c r="AG44" i="6"/>
  <c r="AD44" i="6"/>
  <c r="AN27" i="6" s="1"/>
  <c r="R40" i="8" s="1"/>
  <c r="AB44" i="6"/>
  <c r="AI43" i="6"/>
  <c r="AO26" i="6" s="1"/>
  <c r="S39" i="8" s="1"/>
  <c r="AF43" i="6"/>
  <c r="AD43" i="6"/>
  <c r="AN26" i="6" s="1"/>
  <c r="R39" i="8" s="1"/>
  <c r="AA43" i="6"/>
  <c r="AA42" i="6" s="1"/>
  <c r="B43" i="6"/>
  <c r="B44" i="6" s="1"/>
  <c r="X9" i="6" s="1"/>
  <c r="AI42" i="6"/>
  <c r="AO25" i="6" s="1"/>
  <c r="S38" i="8" s="1"/>
  <c r="AD42" i="6"/>
  <c r="AN25" i="6" s="1"/>
  <c r="R38" i="8" s="1"/>
  <c r="AI41" i="6"/>
  <c r="AO24" i="6" s="1"/>
  <c r="S37" i="8" s="1"/>
  <c r="AD41" i="6"/>
  <c r="AN24" i="6" s="1"/>
  <c r="R37" i="8" s="1"/>
  <c r="J41" i="6"/>
  <c r="T9" i="6" s="1"/>
  <c r="F41" i="6"/>
  <c r="AI40" i="6"/>
  <c r="AO23" i="6" s="1"/>
  <c r="S36" i="8" s="1"/>
  <c r="AD40" i="6"/>
  <c r="AN23" i="6" s="1"/>
  <c r="R36" i="8" s="1"/>
  <c r="J40" i="6"/>
  <c r="AI39" i="6"/>
  <c r="AO22" i="6" s="1"/>
  <c r="S35" i="8" s="1"/>
  <c r="AD39" i="6"/>
  <c r="AN22" i="6" s="1"/>
  <c r="R35" i="8" s="1"/>
  <c r="B38" i="6"/>
  <c r="B37" i="6"/>
  <c r="F36" i="6"/>
  <c r="F37" i="6" s="1"/>
  <c r="F38" i="6" s="1"/>
  <c r="Q9" i="6" s="1"/>
  <c r="AI34" i="6"/>
  <c r="AL32" i="6" s="1"/>
  <c r="P45" i="8" s="1"/>
  <c r="AD34" i="6"/>
  <c r="AM32" i="6" s="1"/>
  <c r="Q45" i="8" s="1"/>
  <c r="AI33" i="6"/>
  <c r="AL31" i="6" s="1"/>
  <c r="P44" i="8" s="1"/>
  <c r="AD33" i="6"/>
  <c r="AM31" i="6" s="1"/>
  <c r="Q44" i="8" s="1"/>
  <c r="J33" i="6"/>
  <c r="AI32" i="6"/>
  <c r="AL30" i="6" s="1"/>
  <c r="P43" i="8" s="1"/>
  <c r="AD32" i="6"/>
  <c r="AM30" i="6" s="1"/>
  <c r="Q43" i="8" s="1"/>
  <c r="J32" i="6"/>
  <c r="B32" i="6"/>
  <c r="AI31" i="6"/>
  <c r="AL29" i="6" s="1"/>
  <c r="P42" i="8" s="1"/>
  <c r="AD31" i="6"/>
  <c r="AM29" i="6" s="1"/>
  <c r="Q42" i="8" s="1"/>
  <c r="B31" i="6"/>
  <c r="AI30" i="6"/>
  <c r="AL28" i="6" s="1"/>
  <c r="P41" i="8" s="1"/>
  <c r="AG30" i="6"/>
  <c r="AF30" i="6"/>
  <c r="AF31" i="6" s="1"/>
  <c r="AD30" i="6"/>
  <c r="AM28" i="6" s="1"/>
  <c r="Q41" i="8" s="1"/>
  <c r="AA30" i="6"/>
  <c r="AB30" i="6" s="1"/>
  <c r="AI29" i="6"/>
  <c r="AL27" i="6" s="1"/>
  <c r="P40" i="8" s="1"/>
  <c r="AG29" i="6"/>
  <c r="AD29" i="6"/>
  <c r="AM27" i="6" s="1"/>
  <c r="Q40" i="8" s="1"/>
  <c r="AB29" i="6"/>
  <c r="AI28" i="6"/>
  <c r="AL26" i="6" s="1"/>
  <c r="P39" i="8" s="1"/>
  <c r="AG28" i="6"/>
  <c r="AF28" i="6"/>
  <c r="AD28" i="6"/>
  <c r="AM26" i="6" s="1"/>
  <c r="Q39" i="8" s="1"/>
  <c r="AA28" i="6"/>
  <c r="AB28" i="6" s="1"/>
  <c r="AI27" i="6"/>
  <c r="AL25" i="6" s="1"/>
  <c r="P38" i="8" s="1"/>
  <c r="AG27" i="6"/>
  <c r="AF27" i="6"/>
  <c r="AF26" i="6" s="1"/>
  <c r="AD27" i="6"/>
  <c r="AM25" i="6" s="1"/>
  <c r="Q38" i="8" s="1"/>
  <c r="AA27" i="6"/>
  <c r="AA26" i="6" s="1"/>
  <c r="AI26" i="6"/>
  <c r="AL24" i="6" s="1"/>
  <c r="P37" i="8" s="1"/>
  <c r="AD26" i="6"/>
  <c r="AM24" i="6" s="1"/>
  <c r="Q37" i="8" s="1"/>
  <c r="AI25" i="6"/>
  <c r="AL23" i="6" s="1"/>
  <c r="P36" i="8" s="1"/>
  <c r="AD25" i="6"/>
  <c r="AM23" i="6" s="1"/>
  <c r="Q36" i="8" s="1"/>
  <c r="AI24" i="6"/>
  <c r="AL22" i="6" s="1"/>
  <c r="P35" i="8" s="1"/>
  <c r="AD24" i="6"/>
  <c r="AM22" i="6" s="1"/>
  <c r="Q35" i="8" s="1"/>
  <c r="AB10" i="6"/>
  <c r="N10" i="6"/>
  <c r="U9" i="6"/>
  <c r="S9" i="6"/>
  <c r="AB8" i="6"/>
  <c r="AF64" i="5"/>
  <c r="AR32" i="5" s="1"/>
  <c r="G45" i="8" s="1"/>
  <c r="AF63" i="5"/>
  <c r="AR31" i="5" s="1"/>
  <c r="G44" i="8" s="1"/>
  <c r="AF62" i="5"/>
  <c r="AR30" i="5" s="1"/>
  <c r="G43" i="8" s="1"/>
  <c r="AF61" i="5"/>
  <c r="AR29" i="5" s="1"/>
  <c r="G42" i="8" s="1"/>
  <c r="AF60" i="5"/>
  <c r="AR28" i="5" s="1"/>
  <c r="G41" i="8" s="1"/>
  <c r="AC60" i="5"/>
  <c r="AC61" i="5" s="1"/>
  <c r="AF59" i="5"/>
  <c r="AR27" i="5" s="1"/>
  <c r="G40" i="8" s="1"/>
  <c r="AD59" i="5"/>
  <c r="AF58" i="5"/>
  <c r="AR26" i="5" s="1"/>
  <c r="G39" i="8" s="1"/>
  <c r="AD58" i="5"/>
  <c r="AC58" i="5"/>
  <c r="AC57" i="5" s="1"/>
  <c r="AF57" i="5"/>
  <c r="AR25" i="5" s="1"/>
  <c r="G38" i="8" s="1"/>
  <c r="AF56" i="5"/>
  <c r="AR24" i="5" s="1"/>
  <c r="G37" i="8" s="1"/>
  <c r="AF55" i="5"/>
  <c r="AR23" i="5" s="1"/>
  <c r="G36" i="8" s="1"/>
  <c r="AF54" i="5"/>
  <c r="AR22" i="5" s="1"/>
  <c r="G35" i="8" s="1"/>
  <c r="P54" i="5"/>
  <c r="AK49" i="5"/>
  <c r="AQ32" i="5" s="1"/>
  <c r="F45" i="8" s="1"/>
  <c r="AF49" i="5"/>
  <c r="AP32" i="5" s="1"/>
  <c r="E45" i="8" s="1"/>
  <c r="AK48" i="5"/>
  <c r="AQ31" i="5" s="1"/>
  <c r="F44" i="8" s="1"/>
  <c r="AF48" i="5"/>
  <c r="AP31" i="5" s="1"/>
  <c r="E44" i="8" s="1"/>
  <c r="AK47" i="5"/>
  <c r="AQ30" i="5" s="1"/>
  <c r="F43" i="8" s="1"/>
  <c r="AF47" i="5"/>
  <c r="AP30" i="5" s="1"/>
  <c r="E43" i="8" s="1"/>
  <c r="AK46" i="5"/>
  <c r="AQ29" i="5" s="1"/>
  <c r="F42" i="8" s="1"/>
  <c r="AF46" i="5"/>
  <c r="AP29" i="5" s="1"/>
  <c r="E42" i="8" s="1"/>
  <c r="J46" i="5"/>
  <c r="B48" i="5"/>
  <c r="AD9" i="5" s="1"/>
  <c r="AK45" i="5"/>
  <c r="AQ28" i="5" s="1"/>
  <c r="F41" i="8" s="1"/>
  <c r="AH45" i="5"/>
  <c r="AI45" i="5" s="1"/>
  <c r="AF45" i="5"/>
  <c r="AP28" i="5" s="1"/>
  <c r="E41" i="8" s="1"/>
  <c r="AC45" i="5"/>
  <c r="AC46" i="5" s="1"/>
  <c r="J45" i="5"/>
  <c r="B45" i="5"/>
  <c r="B47" i="5" s="1"/>
  <c r="AK44" i="5"/>
  <c r="AQ27" i="5" s="1"/>
  <c r="F40" i="8" s="1"/>
  <c r="AI44" i="5"/>
  <c r="AF44" i="5"/>
  <c r="AP27" i="5" s="1"/>
  <c r="E40" i="8" s="1"/>
  <c r="AD44" i="5"/>
  <c r="AK43" i="5"/>
  <c r="AQ26" i="5" s="1"/>
  <c r="F39" i="8" s="1"/>
  <c r="AH43" i="5"/>
  <c r="AI43" i="5" s="1"/>
  <c r="AF43" i="5"/>
  <c r="AP26" i="5" s="1"/>
  <c r="E39" i="8" s="1"/>
  <c r="AC43" i="5"/>
  <c r="AC42" i="5" s="1"/>
  <c r="AK42" i="5"/>
  <c r="AQ25" i="5" s="1"/>
  <c r="F38" i="8" s="1"/>
  <c r="AF42" i="5"/>
  <c r="AP25" i="5" s="1"/>
  <c r="E38" i="8" s="1"/>
  <c r="AK41" i="5"/>
  <c r="AQ24" i="5" s="1"/>
  <c r="F37" i="8" s="1"/>
  <c r="AF41" i="5"/>
  <c r="AP24" i="5" s="1"/>
  <c r="E37" i="8" s="1"/>
  <c r="AK40" i="5"/>
  <c r="AQ23" i="5" s="1"/>
  <c r="F36" i="8" s="1"/>
  <c r="AF40" i="5"/>
  <c r="AP23" i="5" s="1"/>
  <c r="E36" i="8" s="1"/>
  <c r="AK39" i="5"/>
  <c r="AQ22" i="5" s="1"/>
  <c r="F35" i="8" s="1"/>
  <c r="AF39" i="5"/>
  <c r="AP22" i="5" s="1"/>
  <c r="E35" i="8" s="1"/>
  <c r="J39" i="5"/>
  <c r="J38" i="5"/>
  <c r="B38" i="5"/>
  <c r="F37" i="5"/>
  <c r="F40" i="5" s="1"/>
  <c r="R9" i="5" s="1"/>
  <c r="B37" i="5"/>
  <c r="F36" i="5"/>
  <c r="F38" i="5" s="1"/>
  <c r="F41" i="5" s="1"/>
  <c r="Q9" i="5" s="1"/>
  <c r="B35" i="5"/>
  <c r="AK34" i="5"/>
  <c r="AN32" i="5" s="1"/>
  <c r="C45" i="8" s="1"/>
  <c r="AF34" i="5"/>
  <c r="AO32" i="5" s="1"/>
  <c r="D45" i="8" s="1"/>
  <c r="J34" i="5"/>
  <c r="AK33" i="5"/>
  <c r="AN31" i="5" s="1"/>
  <c r="C44" i="8" s="1"/>
  <c r="AF33" i="5"/>
  <c r="AO31" i="5" s="1"/>
  <c r="D44" i="8" s="1"/>
  <c r="AK32" i="5"/>
  <c r="AN30" i="5" s="1"/>
  <c r="C43" i="8" s="1"/>
  <c r="AF32" i="5"/>
  <c r="AO30" i="5" s="1"/>
  <c r="D43" i="8" s="1"/>
  <c r="B32" i="5"/>
  <c r="AK31" i="5"/>
  <c r="AN29" i="5" s="1"/>
  <c r="C42" i="8" s="1"/>
  <c r="AF31" i="5"/>
  <c r="AO29" i="5" s="1"/>
  <c r="D42" i="8" s="1"/>
  <c r="J31" i="5"/>
  <c r="V9" i="5" s="1"/>
  <c r="B31" i="5"/>
  <c r="AK30" i="5"/>
  <c r="AN28" i="5" s="1"/>
  <c r="C41" i="8" s="1"/>
  <c r="AH30" i="5"/>
  <c r="AH31" i="5" s="1"/>
  <c r="AF30" i="5"/>
  <c r="AO28" i="5" s="1"/>
  <c r="D41" i="8" s="1"/>
  <c r="AC30" i="5"/>
  <c r="AD30" i="5" s="1"/>
  <c r="AK29" i="5"/>
  <c r="AN27" i="5" s="1"/>
  <c r="C40" i="8" s="1"/>
  <c r="AI29" i="5"/>
  <c r="AF29" i="5"/>
  <c r="AO27" i="5" s="1"/>
  <c r="D40" i="8" s="1"/>
  <c r="AD29" i="5"/>
  <c r="AK28" i="5"/>
  <c r="AN26" i="5" s="1"/>
  <c r="C39" i="8" s="1"/>
  <c r="AH28" i="5"/>
  <c r="AH27" i="5" s="1"/>
  <c r="AI27" i="5" s="1"/>
  <c r="AF28" i="5"/>
  <c r="AO26" i="5" s="1"/>
  <c r="D39" i="8" s="1"/>
  <c r="AC28" i="5"/>
  <c r="AK27" i="5"/>
  <c r="AN25" i="5" s="1"/>
  <c r="C38" i="8" s="1"/>
  <c r="AF27" i="5"/>
  <c r="AO25" i="5" s="1"/>
  <c r="D38" i="8" s="1"/>
  <c r="AK26" i="5"/>
  <c r="AN24" i="5" s="1"/>
  <c r="C37" i="8" s="1"/>
  <c r="AF26" i="5"/>
  <c r="AO24" i="5" s="1"/>
  <c r="D37" i="8" s="1"/>
  <c r="AK25" i="5"/>
  <c r="AN23" i="5" s="1"/>
  <c r="C36" i="8" s="1"/>
  <c r="AF25" i="5"/>
  <c r="AO23" i="5" s="1"/>
  <c r="D36" i="8" s="1"/>
  <c r="AK24" i="5"/>
  <c r="AN22" i="5" s="1"/>
  <c r="C35" i="8" s="1"/>
  <c r="AF24" i="5"/>
  <c r="AO22" i="5" s="1"/>
  <c r="D35" i="8" s="1"/>
  <c r="AD11" i="5"/>
  <c r="N10" i="5"/>
  <c r="X10" i="5" s="1"/>
  <c r="X9" i="5"/>
  <c r="U9" i="5"/>
  <c r="T9" i="5"/>
  <c r="P54" i="4"/>
  <c r="AI49" i="4"/>
  <c r="AO32" i="4" s="1"/>
  <c r="S30" i="8" s="1"/>
  <c r="AD49" i="4"/>
  <c r="AN32" i="4" s="1"/>
  <c r="R30" i="8" s="1"/>
  <c r="AI48" i="4"/>
  <c r="AO31" i="4" s="1"/>
  <c r="S29" i="8" s="1"/>
  <c r="AD48" i="4"/>
  <c r="AN31" i="4" s="1"/>
  <c r="R29" i="8" s="1"/>
  <c r="AI47" i="4"/>
  <c r="AO30" i="4" s="1"/>
  <c r="S28" i="8" s="1"/>
  <c r="AD47" i="4"/>
  <c r="AN30" i="4" s="1"/>
  <c r="R28" i="8" s="1"/>
  <c r="AI46" i="4"/>
  <c r="AO29" i="4" s="1"/>
  <c r="S27" i="8" s="1"/>
  <c r="AD46" i="4"/>
  <c r="AN29" i="4" s="1"/>
  <c r="R27" i="8" s="1"/>
  <c r="AI45" i="4"/>
  <c r="AO28" i="4" s="1"/>
  <c r="S26" i="8" s="1"/>
  <c r="AF45" i="4"/>
  <c r="AG45" i="4" s="1"/>
  <c r="AD45" i="4"/>
  <c r="AN28" i="4" s="1"/>
  <c r="R26" i="8" s="1"/>
  <c r="AA45" i="4"/>
  <c r="AA46" i="4" s="1"/>
  <c r="AI44" i="4"/>
  <c r="AO27" i="4" s="1"/>
  <c r="S25" i="8" s="1"/>
  <c r="AG44" i="4"/>
  <c r="AD44" i="4"/>
  <c r="AN27" i="4" s="1"/>
  <c r="R25" i="8" s="1"/>
  <c r="AB44" i="4"/>
  <c r="AI43" i="4"/>
  <c r="AO26" i="4" s="1"/>
  <c r="S24" i="8" s="1"/>
  <c r="AF43" i="4"/>
  <c r="AG43" i="4" s="1"/>
  <c r="AD43" i="4"/>
  <c r="AN26" i="4" s="1"/>
  <c r="R24" i="8" s="1"/>
  <c r="AB43" i="4"/>
  <c r="AA43" i="4"/>
  <c r="B43" i="4"/>
  <c r="B44" i="4" s="1"/>
  <c r="AI42" i="4"/>
  <c r="AO25" i="4" s="1"/>
  <c r="S23" i="8" s="1"/>
  <c r="AD42" i="4"/>
  <c r="AN25" i="4" s="1"/>
  <c r="R23" i="8" s="1"/>
  <c r="AA42" i="4"/>
  <c r="AA41" i="4" s="1"/>
  <c r="AA40" i="4" s="1"/>
  <c r="AI41" i="4"/>
  <c r="AO24" i="4" s="1"/>
  <c r="S22" i="8" s="1"/>
  <c r="AD41" i="4"/>
  <c r="AN24" i="4" s="1"/>
  <c r="R22" i="8" s="1"/>
  <c r="J41" i="4"/>
  <c r="T9" i="4" s="1"/>
  <c r="F41" i="4"/>
  <c r="AI40" i="4"/>
  <c r="AO23" i="4" s="1"/>
  <c r="S21" i="8" s="1"/>
  <c r="AD40" i="4"/>
  <c r="AN23" i="4" s="1"/>
  <c r="R21" i="8" s="1"/>
  <c r="J40" i="4"/>
  <c r="AI39" i="4"/>
  <c r="AO22" i="4" s="1"/>
  <c r="S20" i="8" s="1"/>
  <c r="AD39" i="4"/>
  <c r="AN22" i="4" s="1"/>
  <c r="R20" i="8" s="1"/>
  <c r="B38" i="4"/>
  <c r="B37" i="4"/>
  <c r="F36" i="4"/>
  <c r="F37" i="4" s="1"/>
  <c r="F38" i="4" s="1"/>
  <c r="AI34" i="4"/>
  <c r="AL32" i="4" s="1"/>
  <c r="P30" i="8" s="1"/>
  <c r="AD34" i="4"/>
  <c r="AM32" i="4" s="1"/>
  <c r="Q30" i="8" s="1"/>
  <c r="AI33" i="4"/>
  <c r="AL31" i="4" s="1"/>
  <c r="P29" i="8" s="1"/>
  <c r="AD33" i="4"/>
  <c r="AM31" i="4" s="1"/>
  <c r="Q29" i="8" s="1"/>
  <c r="J33" i="4"/>
  <c r="AI32" i="4"/>
  <c r="AL30" i="4" s="1"/>
  <c r="P28" i="8" s="1"/>
  <c r="AD32" i="4"/>
  <c r="AM30" i="4" s="1"/>
  <c r="Q28" i="8" s="1"/>
  <c r="J32" i="4"/>
  <c r="B32" i="4"/>
  <c r="AI31" i="4"/>
  <c r="AL29" i="4" s="1"/>
  <c r="P27" i="8" s="1"/>
  <c r="AD31" i="4"/>
  <c r="AM29" i="4" s="1"/>
  <c r="Q27" i="8" s="1"/>
  <c r="B31" i="4"/>
  <c r="AI30" i="4"/>
  <c r="AL28" i="4" s="1"/>
  <c r="P26" i="8" s="1"/>
  <c r="AF30" i="4"/>
  <c r="AF31" i="4" s="1"/>
  <c r="AD30" i="4"/>
  <c r="AM28" i="4" s="1"/>
  <c r="Q26" i="8" s="1"/>
  <c r="AA30" i="4"/>
  <c r="AA31" i="4" s="1"/>
  <c r="AB31" i="4" s="1"/>
  <c r="AI29" i="4"/>
  <c r="AL27" i="4" s="1"/>
  <c r="P25" i="8" s="1"/>
  <c r="AG29" i="4"/>
  <c r="AD29" i="4"/>
  <c r="AM27" i="4" s="1"/>
  <c r="Q25" i="8" s="1"/>
  <c r="AB29" i="4"/>
  <c r="AI28" i="4"/>
  <c r="AL26" i="4" s="1"/>
  <c r="P24" i="8" s="1"/>
  <c r="AF28" i="4"/>
  <c r="AG28" i="4" s="1"/>
  <c r="AD28" i="4"/>
  <c r="AM26" i="4" s="1"/>
  <c r="Q24" i="8" s="1"/>
  <c r="AA28" i="4"/>
  <c r="AB28" i="4" s="1"/>
  <c r="AI27" i="4"/>
  <c r="AL25" i="4" s="1"/>
  <c r="P23" i="8" s="1"/>
  <c r="AD27" i="4"/>
  <c r="AM25" i="4" s="1"/>
  <c r="Q23" i="8" s="1"/>
  <c r="AI26" i="4"/>
  <c r="AL24" i="4" s="1"/>
  <c r="P22" i="8" s="1"/>
  <c r="AD26" i="4"/>
  <c r="AM24" i="4" s="1"/>
  <c r="Q22" i="8" s="1"/>
  <c r="AI25" i="4"/>
  <c r="AL23" i="4" s="1"/>
  <c r="P21" i="8" s="1"/>
  <c r="AD25" i="4"/>
  <c r="AM23" i="4" s="1"/>
  <c r="Q21" i="8" s="1"/>
  <c r="AI24" i="4"/>
  <c r="AL22" i="4" s="1"/>
  <c r="P20" i="8" s="1"/>
  <c r="AD24" i="4"/>
  <c r="AM22" i="4" s="1"/>
  <c r="Q20" i="8" s="1"/>
  <c r="N11" i="4"/>
  <c r="AB10" i="4"/>
  <c r="N10" i="4"/>
  <c r="U9" i="4"/>
  <c r="S9" i="4"/>
  <c r="AF64" i="3"/>
  <c r="AR32" i="3" s="1"/>
  <c r="G30" i="8" s="1"/>
  <c r="AF63" i="3"/>
  <c r="AR31" i="3" s="1"/>
  <c r="G29" i="8" s="1"/>
  <c r="AF62" i="3"/>
  <c r="AR30" i="3" s="1"/>
  <c r="G28" i="8" s="1"/>
  <c r="AF61" i="3"/>
  <c r="AR29" i="3" s="1"/>
  <c r="G27" i="8" s="1"/>
  <c r="AF60" i="3"/>
  <c r="AR28" i="3" s="1"/>
  <c r="G26" i="8" s="1"/>
  <c r="AC60" i="3"/>
  <c r="AD60" i="3" s="1"/>
  <c r="AF59" i="3"/>
  <c r="AR27" i="3" s="1"/>
  <c r="G25" i="8" s="1"/>
  <c r="AD59" i="3"/>
  <c r="AF58" i="3"/>
  <c r="AR26" i="3" s="1"/>
  <c r="G24" i="8" s="1"/>
  <c r="AC58" i="3"/>
  <c r="AC57" i="3" s="1"/>
  <c r="AC56" i="3" s="1"/>
  <c r="AD56" i="3" s="1"/>
  <c r="AF57" i="3"/>
  <c r="AR25" i="3" s="1"/>
  <c r="G23" i="8" s="1"/>
  <c r="AF56" i="3"/>
  <c r="AR24" i="3" s="1"/>
  <c r="G22" i="8" s="1"/>
  <c r="AF55" i="3"/>
  <c r="AR23" i="3" s="1"/>
  <c r="G21" i="8" s="1"/>
  <c r="AF54" i="3"/>
  <c r="AR22" i="3" s="1"/>
  <c r="G20" i="8" s="1"/>
  <c r="P54" i="3"/>
  <c r="AK49" i="3"/>
  <c r="AQ32" i="3" s="1"/>
  <c r="F30" i="8" s="1"/>
  <c r="AF49" i="3"/>
  <c r="AP32" i="3" s="1"/>
  <c r="E30" i="8" s="1"/>
  <c r="AK48" i="3"/>
  <c r="AQ31" i="3" s="1"/>
  <c r="F29" i="8" s="1"/>
  <c r="AF48" i="3"/>
  <c r="AP31" i="3" s="1"/>
  <c r="E29" i="8" s="1"/>
  <c r="AK47" i="3"/>
  <c r="AQ30" i="3" s="1"/>
  <c r="F28" i="8" s="1"/>
  <c r="AF47" i="3"/>
  <c r="AP30" i="3" s="1"/>
  <c r="E28" i="8" s="1"/>
  <c r="AK46" i="3"/>
  <c r="AQ29" i="3" s="1"/>
  <c r="F27" i="8" s="1"/>
  <c r="AF46" i="3"/>
  <c r="AP29" i="3" s="1"/>
  <c r="E27" i="8" s="1"/>
  <c r="J46" i="3"/>
  <c r="B48" i="3"/>
  <c r="AK45" i="3"/>
  <c r="AQ28" i="3" s="1"/>
  <c r="F26" i="8" s="1"/>
  <c r="AH45" i="3"/>
  <c r="AH46" i="3" s="1"/>
  <c r="AH47" i="3" s="1"/>
  <c r="AI47" i="3" s="1"/>
  <c r="AF45" i="3"/>
  <c r="AP28" i="3" s="1"/>
  <c r="E26" i="8" s="1"/>
  <c r="AC45" i="3"/>
  <c r="AC46" i="3" s="1"/>
  <c r="J45" i="3"/>
  <c r="B45" i="3"/>
  <c r="B47" i="3" s="1"/>
  <c r="AK44" i="3"/>
  <c r="AQ27" i="3" s="1"/>
  <c r="F25" i="8" s="1"/>
  <c r="AI44" i="3"/>
  <c r="AF44" i="3"/>
  <c r="AP27" i="3" s="1"/>
  <c r="E25" i="8" s="1"/>
  <c r="AD44" i="3"/>
  <c r="AK43" i="3"/>
  <c r="AQ26" i="3" s="1"/>
  <c r="F24" i="8" s="1"/>
  <c r="AH43" i="3"/>
  <c r="AI43" i="3" s="1"/>
  <c r="AF43" i="3"/>
  <c r="AP26" i="3" s="1"/>
  <c r="E24" i="8" s="1"/>
  <c r="AC43" i="3"/>
  <c r="AC42" i="3" s="1"/>
  <c r="AD42" i="3" s="1"/>
  <c r="AK42" i="3"/>
  <c r="AQ25" i="3" s="1"/>
  <c r="F23" i="8" s="1"/>
  <c r="AF42" i="3"/>
  <c r="AP25" i="3" s="1"/>
  <c r="E23" i="8" s="1"/>
  <c r="AK41" i="3"/>
  <c r="AQ24" i="3" s="1"/>
  <c r="F22" i="8" s="1"/>
  <c r="AF41" i="3"/>
  <c r="AP24" i="3" s="1"/>
  <c r="E22" i="8" s="1"/>
  <c r="AK40" i="3"/>
  <c r="AQ23" i="3" s="1"/>
  <c r="F21" i="8" s="1"/>
  <c r="AF40" i="3"/>
  <c r="AP23" i="3" s="1"/>
  <c r="E21" i="8" s="1"/>
  <c r="AK39" i="3"/>
  <c r="AQ22" i="3" s="1"/>
  <c r="F20" i="8" s="1"/>
  <c r="AF39" i="3"/>
  <c r="AP22" i="3" s="1"/>
  <c r="E20" i="8" s="1"/>
  <c r="J39" i="3"/>
  <c r="J38" i="3"/>
  <c r="B38" i="3"/>
  <c r="F37" i="3"/>
  <c r="F40" i="3" s="1"/>
  <c r="R9" i="3" s="1"/>
  <c r="B37" i="3"/>
  <c r="F36" i="3"/>
  <c r="F38" i="3" s="1"/>
  <c r="F41" i="3" s="1"/>
  <c r="B35" i="3"/>
  <c r="AK34" i="3"/>
  <c r="AN32" i="3" s="1"/>
  <c r="C30" i="8" s="1"/>
  <c r="AF34" i="3"/>
  <c r="AO32" i="3" s="1"/>
  <c r="D30" i="8" s="1"/>
  <c r="J34" i="3"/>
  <c r="AK33" i="3"/>
  <c r="AN31" i="3" s="1"/>
  <c r="C29" i="8" s="1"/>
  <c r="AF33" i="3"/>
  <c r="AO31" i="3" s="1"/>
  <c r="D29" i="8" s="1"/>
  <c r="AK32" i="3"/>
  <c r="AN30" i="3" s="1"/>
  <c r="C28" i="8" s="1"/>
  <c r="AF32" i="3"/>
  <c r="AO30" i="3" s="1"/>
  <c r="D28" i="8" s="1"/>
  <c r="B32" i="3"/>
  <c r="AK31" i="3"/>
  <c r="AN29" i="3" s="1"/>
  <c r="C27" i="8" s="1"/>
  <c r="AF31" i="3"/>
  <c r="AO29" i="3" s="1"/>
  <c r="D27" i="8" s="1"/>
  <c r="J31" i="3"/>
  <c r="V9" i="3" s="1"/>
  <c r="B31" i="3"/>
  <c r="AK30" i="3"/>
  <c r="AN28" i="3" s="1"/>
  <c r="C26" i="8" s="1"/>
  <c r="AH30" i="3"/>
  <c r="AI30" i="3" s="1"/>
  <c r="AF30" i="3"/>
  <c r="AO28" i="3" s="1"/>
  <c r="D26" i="8" s="1"/>
  <c r="AC30" i="3"/>
  <c r="AK29" i="3"/>
  <c r="AN27" i="3" s="1"/>
  <c r="C25" i="8" s="1"/>
  <c r="AI29" i="3"/>
  <c r="AF29" i="3"/>
  <c r="AO27" i="3" s="1"/>
  <c r="D25" i="8" s="1"/>
  <c r="AD29" i="3"/>
  <c r="AK28" i="3"/>
  <c r="AN26" i="3" s="1"/>
  <c r="C24" i="8" s="1"/>
  <c r="AH28" i="3"/>
  <c r="AH27" i="3" s="1"/>
  <c r="AF28" i="3"/>
  <c r="AO26" i="3" s="1"/>
  <c r="D24" i="8" s="1"/>
  <c r="AC28" i="3"/>
  <c r="AD28" i="3" s="1"/>
  <c r="AK27" i="3"/>
  <c r="AN25" i="3" s="1"/>
  <c r="C23" i="8" s="1"/>
  <c r="AF27" i="3"/>
  <c r="AO25" i="3" s="1"/>
  <c r="D23" i="8" s="1"/>
  <c r="AK26" i="3"/>
  <c r="AN24" i="3" s="1"/>
  <c r="C22" i="8" s="1"/>
  <c r="AF26" i="3"/>
  <c r="AO24" i="3" s="1"/>
  <c r="D22" i="8" s="1"/>
  <c r="AK25" i="3"/>
  <c r="AN23" i="3" s="1"/>
  <c r="C21" i="8" s="1"/>
  <c r="AF25" i="3"/>
  <c r="AO23" i="3" s="1"/>
  <c r="D21" i="8" s="1"/>
  <c r="AK24" i="3"/>
  <c r="AN22" i="3" s="1"/>
  <c r="C20" i="8" s="1"/>
  <c r="AF24" i="3"/>
  <c r="AO22" i="3" s="1"/>
  <c r="D20" i="8" s="1"/>
  <c r="AD11" i="3"/>
  <c r="N10" i="3"/>
  <c r="N11" i="3" s="1"/>
  <c r="N12" i="3" s="1"/>
  <c r="X12" i="3" s="1"/>
  <c r="X9" i="3"/>
  <c r="U9" i="3"/>
  <c r="T9" i="3"/>
  <c r="P54" i="2"/>
  <c r="AI49" i="2"/>
  <c r="AO32" i="2" s="1"/>
  <c r="S15" i="8" s="1"/>
  <c r="AD49" i="2"/>
  <c r="AN32" i="2" s="1"/>
  <c r="R15" i="8" s="1"/>
  <c r="AI48" i="2"/>
  <c r="AO31" i="2" s="1"/>
  <c r="S14" i="8" s="1"/>
  <c r="AD48" i="2"/>
  <c r="AN31" i="2" s="1"/>
  <c r="R14" i="8" s="1"/>
  <c r="AI47" i="2"/>
  <c r="AO30" i="2" s="1"/>
  <c r="S13" i="8" s="1"/>
  <c r="AD47" i="2"/>
  <c r="AN30" i="2" s="1"/>
  <c r="R13" i="8" s="1"/>
  <c r="AI46" i="2"/>
  <c r="AO29" i="2" s="1"/>
  <c r="S12" i="8" s="1"/>
  <c r="AD46" i="2"/>
  <c r="AN29" i="2" s="1"/>
  <c r="R12" i="8" s="1"/>
  <c r="AI45" i="2"/>
  <c r="AO28" i="2" s="1"/>
  <c r="S11" i="8" s="1"/>
  <c r="AF45" i="2"/>
  <c r="AG45" i="2" s="1"/>
  <c r="AD45" i="2"/>
  <c r="AN28" i="2" s="1"/>
  <c r="R11" i="8" s="1"/>
  <c r="AA45" i="2"/>
  <c r="AA46" i="2" s="1"/>
  <c r="AI44" i="2"/>
  <c r="AO27" i="2" s="1"/>
  <c r="S10" i="8" s="1"/>
  <c r="AG44" i="2"/>
  <c r="AD44" i="2"/>
  <c r="AN27" i="2" s="1"/>
  <c r="R10" i="8" s="1"/>
  <c r="AB44" i="2"/>
  <c r="AI43" i="2"/>
  <c r="AO26" i="2" s="1"/>
  <c r="S9" i="8" s="1"/>
  <c r="AF43" i="2"/>
  <c r="AG43" i="2" s="1"/>
  <c r="AD43" i="2"/>
  <c r="AN26" i="2" s="1"/>
  <c r="R9" i="8" s="1"/>
  <c r="AB43" i="2"/>
  <c r="AA43" i="2"/>
  <c r="AA42" i="2" s="1"/>
  <c r="B43" i="2"/>
  <c r="B44" i="2" s="1"/>
  <c r="AI42" i="2"/>
  <c r="AO25" i="2" s="1"/>
  <c r="S8" i="8" s="1"/>
  <c r="AD42" i="2"/>
  <c r="AN25" i="2" s="1"/>
  <c r="R8" i="8" s="1"/>
  <c r="AI41" i="2"/>
  <c r="AO24" i="2" s="1"/>
  <c r="S7" i="8" s="1"/>
  <c r="AD41" i="2"/>
  <c r="AN24" i="2" s="1"/>
  <c r="R7" i="8" s="1"/>
  <c r="J41" i="2"/>
  <c r="F41" i="2"/>
  <c r="AI40" i="2"/>
  <c r="AO23" i="2" s="1"/>
  <c r="S6" i="8" s="1"/>
  <c r="AD40" i="2"/>
  <c r="AN23" i="2" s="1"/>
  <c r="R6" i="8" s="1"/>
  <c r="J40" i="2"/>
  <c r="AI39" i="2"/>
  <c r="AO22" i="2" s="1"/>
  <c r="S5" i="8" s="1"/>
  <c r="AD39" i="2"/>
  <c r="AN22" i="2" s="1"/>
  <c r="R5" i="8" s="1"/>
  <c r="B38" i="2"/>
  <c r="B37" i="2"/>
  <c r="F36" i="2"/>
  <c r="AI34" i="2"/>
  <c r="AL32" i="2" s="1"/>
  <c r="P15" i="8" s="1"/>
  <c r="AD34" i="2"/>
  <c r="AM32" i="2" s="1"/>
  <c r="Q15" i="8" s="1"/>
  <c r="AI33" i="2"/>
  <c r="AL31" i="2" s="1"/>
  <c r="P14" i="8" s="1"/>
  <c r="AD33" i="2"/>
  <c r="AM31" i="2" s="1"/>
  <c r="Q14" i="8" s="1"/>
  <c r="J33" i="2"/>
  <c r="AI32" i="2"/>
  <c r="AL30" i="2" s="1"/>
  <c r="P13" i="8" s="1"/>
  <c r="AD32" i="2"/>
  <c r="AM30" i="2" s="1"/>
  <c r="Q13" i="8" s="1"/>
  <c r="J32" i="2"/>
  <c r="B32" i="2"/>
  <c r="AI31" i="2"/>
  <c r="AL29" i="2" s="1"/>
  <c r="P12" i="8" s="1"/>
  <c r="AD31" i="2"/>
  <c r="AM29" i="2" s="1"/>
  <c r="Q12" i="8" s="1"/>
  <c r="B31" i="2"/>
  <c r="AI30" i="2"/>
  <c r="AL28" i="2" s="1"/>
  <c r="P11" i="8" s="1"/>
  <c r="AF30" i="2"/>
  <c r="AF31" i="2" s="1"/>
  <c r="AD30" i="2"/>
  <c r="AM28" i="2" s="1"/>
  <c r="Q11" i="8" s="1"/>
  <c r="AA30" i="2"/>
  <c r="AI29" i="2"/>
  <c r="AL27" i="2" s="1"/>
  <c r="P10" i="8" s="1"/>
  <c r="AG29" i="2"/>
  <c r="AD29" i="2"/>
  <c r="AM27" i="2" s="1"/>
  <c r="Q10" i="8" s="1"/>
  <c r="AB29" i="2"/>
  <c r="AI28" i="2"/>
  <c r="AL26" i="2" s="1"/>
  <c r="P9" i="8" s="1"/>
  <c r="AF28" i="2"/>
  <c r="AF27" i="2" s="1"/>
  <c r="AD28" i="2"/>
  <c r="AM26" i="2" s="1"/>
  <c r="Q9" i="8" s="1"/>
  <c r="AA28" i="2"/>
  <c r="AI27" i="2"/>
  <c r="AL25" i="2" s="1"/>
  <c r="P8" i="8" s="1"/>
  <c r="AD27" i="2"/>
  <c r="AM25" i="2" s="1"/>
  <c r="Q8" i="8" s="1"/>
  <c r="AI26" i="2"/>
  <c r="AL24" i="2" s="1"/>
  <c r="P7" i="8" s="1"/>
  <c r="AD26" i="2"/>
  <c r="AM24" i="2" s="1"/>
  <c r="Q7" i="8" s="1"/>
  <c r="AI25" i="2"/>
  <c r="AL23" i="2" s="1"/>
  <c r="P6" i="8" s="1"/>
  <c r="AD25" i="2"/>
  <c r="AM23" i="2" s="1"/>
  <c r="Q6" i="8" s="1"/>
  <c r="AI24" i="2"/>
  <c r="AL22" i="2" s="1"/>
  <c r="P5" i="8" s="1"/>
  <c r="AD24" i="2"/>
  <c r="AM22" i="2" s="1"/>
  <c r="Q5" i="8" s="1"/>
  <c r="AB10" i="2"/>
  <c r="N10" i="2"/>
  <c r="N11" i="2" s="1"/>
  <c r="U9" i="2"/>
  <c r="T9" i="2"/>
  <c r="S9" i="2"/>
  <c r="AF64" i="1"/>
  <c r="AR32" i="1" s="1"/>
  <c r="G15" i="8" s="1"/>
  <c r="AF63" i="1"/>
  <c r="AR31" i="1" s="1"/>
  <c r="G14" i="8" s="1"/>
  <c r="AF62" i="1"/>
  <c r="AR30" i="1" s="1"/>
  <c r="G13" i="8" s="1"/>
  <c r="AF61" i="1"/>
  <c r="AR29" i="1" s="1"/>
  <c r="G12" i="8" s="1"/>
  <c r="AF60" i="1"/>
  <c r="AR28" i="1" s="1"/>
  <c r="G11" i="8" s="1"/>
  <c r="AC60" i="1"/>
  <c r="AF59" i="1"/>
  <c r="AR27" i="1" s="1"/>
  <c r="G10" i="8" s="1"/>
  <c r="AD59" i="1"/>
  <c r="AF58" i="1"/>
  <c r="AR26" i="1" s="1"/>
  <c r="G9" i="8" s="1"/>
  <c r="AC58" i="1"/>
  <c r="AD58" i="1" s="1"/>
  <c r="AF57" i="1"/>
  <c r="AR25" i="1" s="1"/>
  <c r="G8" i="8" s="1"/>
  <c r="AF56" i="1"/>
  <c r="AR24" i="1" s="1"/>
  <c r="G7" i="8" s="1"/>
  <c r="AF55" i="1"/>
  <c r="AR23" i="1" s="1"/>
  <c r="G6" i="8" s="1"/>
  <c r="AF54" i="1"/>
  <c r="AR22" i="1" s="1"/>
  <c r="G5" i="8" s="1"/>
  <c r="P54" i="1"/>
  <c r="AK49" i="1"/>
  <c r="AQ32" i="1" s="1"/>
  <c r="F15" i="8" s="1"/>
  <c r="AF49" i="1"/>
  <c r="AP32" i="1" s="1"/>
  <c r="E15" i="8" s="1"/>
  <c r="AK48" i="1"/>
  <c r="AQ31" i="1" s="1"/>
  <c r="F14" i="8" s="1"/>
  <c r="AF48" i="1"/>
  <c r="AP31" i="1" s="1"/>
  <c r="E14" i="8" s="1"/>
  <c r="AK47" i="1"/>
  <c r="AQ30" i="1" s="1"/>
  <c r="F13" i="8" s="1"/>
  <c r="AF47" i="1"/>
  <c r="AP30" i="1" s="1"/>
  <c r="E13" i="8" s="1"/>
  <c r="AK46" i="1"/>
  <c r="AQ29" i="1" s="1"/>
  <c r="F12" i="8" s="1"/>
  <c r="AF46" i="1"/>
  <c r="AP29" i="1" s="1"/>
  <c r="E12" i="8" s="1"/>
  <c r="J46" i="1"/>
  <c r="AK45" i="1"/>
  <c r="AQ28" i="1" s="1"/>
  <c r="F11" i="8" s="1"/>
  <c r="AH45" i="1"/>
  <c r="AI45" i="1" s="1"/>
  <c r="AF45" i="1"/>
  <c r="AP28" i="1" s="1"/>
  <c r="E11" i="8" s="1"/>
  <c r="AC45" i="1"/>
  <c r="AC46" i="1" s="1"/>
  <c r="AD46" i="1" s="1"/>
  <c r="J45" i="1"/>
  <c r="B45" i="1"/>
  <c r="B47" i="1" s="1"/>
  <c r="AK44" i="1"/>
  <c r="AQ27" i="1" s="1"/>
  <c r="F10" i="8" s="1"/>
  <c r="AI44" i="1"/>
  <c r="AF44" i="1"/>
  <c r="AP27" i="1" s="1"/>
  <c r="E10" i="8" s="1"/>
  <c r="AD44" i="1"/>
  <c r="AK43" i="1"/>
  <c r="AQ26" i="1" s="1"/>
  <c r="F9" i="8" s="1"/>
  <c r="AH43" i="1"/>
  <c r="AI43" i="1" s="1"/>
  <c r="AF43" i="1"/>
  <c r="AP26" i="1" s="1"/>
  <c r="E9" i="8" s="1"/>
  <c r="AC43" i="1"/>
  <c r="AC42" i="1" s="1"/>
  <c r="AK42" i="1"/>
  <c r="AQ25" i="1" s="1"/>
  <c r="F8" i="8" s="1"/>
  <c r="AF42" i="1"/>
  <c r="AP25" i="1" s="1"/>
  <c r="E8" i="8" s="1"/>
  <c r="AK41" i="1"/>
  <c r="AQ24" i="1" s="1"/>
  <c r="F7" i="8" s="1"/>
  <c r="AF41" i="1"/>
  <c r="AP24" i="1" s="1"/>
  <c r="E7" i="8" s="1"/>
  <c r="AK40" i="1"/>
  <c r="AQ23" i="1" s="1"/>
  <c r="F6" i="8" s="1"/>
  <c r="AF40" i="1"/>
  <c r="AP23" i="1" s="1"/>
  <c r="E6" i="8" s="1"/>
  <c r="AK39" i="1"/>
  <c r="AQ22" i="1" s="1"/>
  <c r="F5" i="8" s="1"/>
  <c r="AF39" i="1"/>
  <c r="AP22" i="1" s="1"/>
  <c r="E5" i="8" s="1"/>
  <c r="J39" i="1"/>
  <c r="J38" i="1"/>
  <c r="B38" i="1"/>
  <c r="F37" i="1"/>
  <c r="F40" i="1" s="1"/>
  <c r="R9" i="1" s="1"/>
  <c r="B37" i="1"/>
  <c r="F36" i="1"/>
  <c r="F38" i="1" s="1"/>
  <c r="F41" i="1" s="1"/>
  <c r="Q9" i="1" s="1"/>
  <c r="B35" i="1"/>
  <c r="AK34" i="1"/>
  <c r="AN32" i="1" s="1"/>
  <c r="C15" i="8" s="1"/>
  <c r="AF34" i="1"/>
  <c r="AO32" i="1" s="1"/>
  <c r="D15" i="8" s="1"/>
  <c r="J34" i="1"/>
  <c r="AK33" i="1"/>
  <c r="AN31" i="1" s="1"/>
  <c r="C14" i="8" s="1"/>
  <c r="AF33" i="1"/>
  <c r="AO31" i="1" s="1"/>
  <c r="D14" i="8" s="1"/>
  <c r="AK32" i="1"/>
  <c r="AN30" i="1" s="1"/>
  <c r="C13" i="8" s="1"/>
  <c r="AF32" i="1"/>
  <c r="AO30" i="1" s="1"/>
  <c r="D13" i="8" s="1"/>
  <c r="B32" i="1"/>
  <c r="AK31" i="1"/>
  <c r="AN29" i="1" s="1"/>
  <c r="C12" i="8" s="1"/>
  <c r="AF31" i="1"/>
  <c r="AO29" i="1" s="1"/>
  <c r="D12" i="8" s="1"/>
  <c r="J31" i="1"/>
  <c r="V9" i="1" s="1"/>
  <c r="B31" i="1"/>
  <c r="AK30" i="1"/>
  <c r="AN28" i="1" s="1"/>
  <c r="C11" i="8" s="1"/>
  <c r="AH30" i="1"/>
  <c r="AH31" i="1" s="1"/>
  <c r="AF30" i="1"/>
  <c r="AO28" i="1" s="1"/>
  <c r="D11" i="8" s="1"/>
  <c r="AC30" i="1"/>
  <c r="AD30" i="1" s="1"/>
  <c r="AK29" i="1"/>
  <c r="AN27" i="1" s="1"/>
  <c r="C10" i="8" s="1"/>
  <c r="AI29" i="1"/>
  <c r="AF29" i="1"/>
  <c r="AO27" i="1" s="1"/>
  <c r="D10" i="8" s="1"/>
  <c r="AD29" i="1"/>
  <c r="AK28" i="1"/>
  <c r="AN26" i="1" s="1"/>
  <c r="C9" i="8" s="1"/>
  <c r="AH28" i="1"/>
  <c r="AH27" i="1" s="1"/>
  <c r="AF28" i="1"/>
  <c r="AO26" i="1" s="1"/>
  <c r="D9" i="8" s="1"/>
  <c r="AC28" i="1"/>
  <c r="AC27" i="1" s="1"/>
  <c r="AK27" i="1"/>
  <c r="AN25" i="1" s="1"/>
  <c r="C8" i="8" s="1"/>
  <c r="AF27" i="1"/>
  <c r="AO25" i="1" s="1"/>
  <c r="D8" i="8" s="1"/>
  <c r="AK26" i="1"/>
  <c r="AN24" i="1" s="1"/>
  <c r="C7" i="8" s="1"/>
  <c r="AK25" i="1"/>
  <c r="AN23" i="1" s="1"/>
  <c r="C6" i="8" s="1"/>
  <c r="AK24" i="1"/>
  <c r="AN22" i="1" s="1"/>
  <c r="C5" i="8" s="1"/>
  <c r="AD11" i="1"/>
  <c r="N10" i="1"/>
  <c r="X9" i="1"/>
  <c r="U9" i="1"/>
  <c r="T9" i="1"/>
  <c r="AD8" i="1"/>
  <c r="AA62" i="6" l="1"/>
  <c r="AA55" i="6"/>
  <c r="AA62" i="4"/>
  <c r="AA55" i="4"/>
  <c r="AA55" i="2"/>
  <c r="AA62" i="2"/>
  <c r="AC77" i="5"/>
  <c r="AC71" i="5"/>
  <c r="AC78" i="3"/>
  <c r="AC72" i="3"/>
  <c r="AC71" i="1"/>
  <c r="AC79" i="1"/>
  <c r="AH62" i="5"/>
  <c r="AI61" i="5"/>
  <c r="AI56" i="5"/>
  <c r="AH55" i="5"/>
  <c r="AI60" i="5"/>
  <c r="AI57" i="5"/>
  <c r="AH62" i="3"/>
  <c r="AI61" i="3"/>
  <c r="AI56" i="3"/>
  <c r="AH55" i="3"/>
  <c r="AI60" i="3"/>
  <c r="AI57" i="3"/>
  <c r="AH55" i="1"/>
  <c r="AH62" i="1"/>
  <c r="AA41" i="2"/>
  <c r="AB42" i="2"/>
  <c r="F50" i="3"/>
  <c r="AD57" i="5"/>
  <c r="AC56" i="5"/>
  <c r="F50" i="5"/>
  <c r="J32" i="5" s="1"/>
  <c r="W9" i="5" s="1"/>
  <c r="AC57" i="1"/>
  <c r="AD57" i="1" s="1"/>
  <c r="AH31" i="3"/>
  <c r="AI31" i="3" s="1"/>
  <c r="AH42" i="3"/>
  <c r="AF27" i="4"/>
  <c r="AB42" i="4"/>
  <c r="T10" i="5"/>
  <c r="AA31" i="6"/>
  <c r="AC31" i="1"/>
  <c r="AC32" i="1" s="1"/>
  <c r="AC31" i="5"/>
  <c r="AC32" i="5" s="1"/>
  <c r="AD32" i="5" s="1"/>
  <c r="AD60" i="5"/>
  <c r="AF46" i="4"/>
  <c r="AG46" i="4" s="1"/>
  <c r="AH42" i="5"/>
  <c r="AH41" i="5" s="1"/>
  <c r="Q10" i="4"/>
  <c r="AI46" i="3"/>
  <c r="AG30" i="2"/>
  <c r="F51" i="1"/>
  <c r="F50" i="1"/>
  <c r="F51" i="3"/>
  <c r="J31" i="6"/>
  <c r="R9" i="6" s="1"/>
  <c r="J31" i="4"/>
  <c r="R9" i="4" s="1"/>
  <c r="J37" i="5"/>
  <c r="S9" i="5" s="1"/>
  <c r="B51" i="5"/>
  <c r="B51" i="3"/>
  <c r="Q9" i="4"/>
  <c r="J37" i="1"/>
  <c r="S9" i="1" s="1"/>
  <c r="X9" i="4"/>
  <c r="B35" i="4"/>
  <c r="X11" i="4"/>
  <c r="AA39" i="4"/>
  <c r="AB39" i="4" s="1"/>
  <c r="AB40" i="4"/>
  <c r="AA10" i="3"/>
  <c r="AD9" i="3"/>
  <c r="AA9" i="3"/>
  <c r="AA41" i="6"/>
  <c r="AB42" i="6"/>
  <c r="AF32" i="6"/>
  <c r="AF33" i="6" s="1"/>
  <c r="AG31" i="6"/>
  <c r="AC41" i="1"/>
  <c r="AD42" i="1"/>
  <c r="AH26" i="3"/>
  <c r="AI26" i="3" s="1"/>
  <c r="AI27" i="3"/>
  <c r="AG28" i="2"/>
  <c r="AF42" i="2"/>
  <c r="AG42" i="2" s="1"/>
  <c r="Q11" i="3"/>
  <c r="AC61" i="3"/>
  <c r="AG30" i="4"/>
  <c r="AB45" i="4"/>
  <c r="AD8" i="5"/>
  <c r="AB27" i="6"/>
  <c r="B51" i="1"/>
  <c r="AD43" i="1"/>
  <c r="T10" i="2"/>
  <c r="AD8" i="3"/>
  <c r="T10" i="3"/>
  <c r="AC27" i="3"/>
  <c r="AD27" i="3" s="1"/>
  <c r="AI28" i="3"/>
  <c r="AI45" i="3"/>
  <c r="AD58" i="3"/>
  <c r="AD43" i="5"/>
  <c r="U11" i="3"/>
  <c r="AA10" i="1"/>
  <c r="B46" i="2"/>
  <c r="U10" i="3"/>
  <c r="AC41" i="3"/>
  <c r="AD43" i="3"/>
  <c r="T10" i="4"/>
  <c r="AH26" i="5"/>
  <c r="AI28" i="5"/>
  <c r="AB43" i="6"/>
  <c r="V10" i="3"/>
  <c r="B49" i="3"/>
  <c r="B33" i="3" s="1"/>
  <c r="AD45" i="3"/>
  <c r="AD45" i="1"/>
  <c r="AC47" i="1"/>
  <c r="AB45" i="2"/>
  <c r="X10" i="3"/>
  <c r="AH32" i="3"/>
  <c r="AH33" i="3" s="1"/>
  <c r="AC55" i="3"/>
  <c r="AB8" i="4"/>
  <c r="U10" i="4"/>
  <c r="AB30" i="4"/>
  <c r="AI30" i="5"/>
  <c r="AD45" i="5"/>
  <c r="B46" i="6"/>
  <c r="AB11" i="6"/>
  <c r="AB11" i="4"/>
  <c r="J37" i="3"/>
  <c r="S9" i="3" s="1"/>
  <c r="J31" i="2"/>
  <c r="R11" i="2" s="1"/>
  <c r="AD27" i="1"/>
  <c r="AC26" i="1"/>
  <c r="AI27" i="1"/>
  <c r="AH26" i="1"/>
  <c r="AH32" i="1"/>
  <c r="AI31" i="1"/>
  <c r="AC33" i="1"/>
  <c r="AD32" i="1"/>
  <c r="X11" i="2"/>
  <c r="S11" i="2"/>
  <c r="N12" i="2"/>
  <c r="U11" i="2"/>
  <c r="F37" i="2"/>
  <c r="F38" i="2" s="1"/>
  <c r="Q9" i="2" s="1"/>
  <c r="AB8" i="2"/>
  <c r="AC26" i="3"/>
  <c r="AC27" i="5"/>
  <c r="AD28" i="5"/>
  <c r="T10" i="1"/>
  <c r="X10" i="1"/>
  <c r="N11" i="1"/>
  <c r="AI28" i="1"/>
  <c r="AD31" i="1"/>
  <c r="B49" i="1"/>
  <c r="AF32" i="2"/>
  <c r="AG31" i="2"/>
  <c r="X9" i="2"/>
  <c r="B35" i="2"/>
  <c r="AA12" i="3"/>
  <c r="V12" i="3"/>
  <c r="R12" i="3"/>
  <c r="U12" i="3"/>
  <c r="Q12" i="3"/>
  <c r="Q10" i="3"/>
  <c r="Q9" i="3"/>
  <c r="AC62" i="3"/>
  <c r="AD61" i="3"/>
  <c r="AA9" i="1"/>
  <c r="Q10" i="1"/>
  <c r="U10" i="1"/>
  <c r="AD28" i="1"/>
  <c r="AH42" i="1"/>
  <c r="AC61" i="1"/>
  <c r="AD60" i="1"/>
  <c r="T11" i="2"/>
  <c r="AG27" i="2"/>
  <c r="AF26" i="2"/>
  <c r="AB28" i="2"/>
  <c r="AA27" i="2"/>
  <c r="AA40" i="2"/>
  <c r="AB41" i="2"/>
  <c r="AB46" i="2"/>
  <c r="AA47" i="2"/>
  <c r="N13" i="3"/>
  <c r="AH25" i="3"/>
  <c r="AC47" i="3"/>
  <c r="AD46" i="3"/>
  <c r="N12" i="4"/>
  <c r="U11" i="4"/>
  <c r="Q11" i="4"/>
  <c r="T11" i="4"/>
  <c r="S11" i="4"/>
  <c r="AH46" i="1"/>
  <c r="AD47" i="1"/>
  <c r="AC48" i="1"/>
  <c r="R10" i="1"/>
  <c r="V10" i="1"/>
  <c r="AI30" i="1"/>
  <c r="AA31" i="2"/>
  <c r="AB30" i="2"/>
  <c r="AF46" i="2"/>
  <c r="R10" i="3"/>
  <c r="T12" i="3"/>
  <c r="AC31" i="3"/>
  <c r="AD30" i="3"/>
  <c r="AI32" i="3"/>
  <c r="B36" i="4"/>
  <c r="B34" i="4" s="1"/>
  <c r="S10" i="2"/>
  <c r="X10" i="2"/>
  <c r="R11" i="3"/>
  <c r="V11" i="3"/>
  <c r="AA11" i="3"/>
  <c r="AD57" i="3"/>
  <c r="AA27" i="4"/>
  <c r="AC33" i="5"/>
  <c r="AF32" i="4"/>
  <c r="AG31" i="4"/>
  <c r="AA47" i="4"/>
  <c r="AB46" i="4"/>
  <c r="U10" i="2"/>
  <c r="AF41" i="2"/>
  <c r="T11" i="3"/>
  <c r="X11" i="3"/>
  <c r="AH41" i="3"/>
  <c r="AI42" i="3"/>
  <c r="AH48" i="3"/>
  <c r="B49" i="5"/>
  <c r="AA9" i="5"/>
  <c r="AC55" i="5"/>
  <c r="AD56" i="5"/>
  <c r="N11" i="6"/>
  <c r="U10" i="6"/>
  <c r="Q10" i="6"/>
  <c r="T10" i="6"/>
  <c r="X10" i="6"/>
  <c r="S10" i="6"/>
  <c r="S10" i="4"/>
  <c r="X10" i="4"/>
  <c r="AA32" i="4"/>
  <c r="AF47" i="4"/>
  <c r="AA10" i="5"/>
  <c r="U10" i="5"/>
  <c r="Q10" i="5"/>
  <c r="R10" i="5"/>
  <c r="N11" i="5"/>
  <c r="V10" i="5"/>
  <c r="AI41" i="5"/>
  <c r="AH40" i="5"/>
  <c r="AB41" i="4"/>
  <c r="AH32" i="5"/>
  <c r="AI31" i="5"/>
  <c r="AI42" i="5"/>
  <c r="B46" i="4"/>
  <c r="AF42" i="4"/>
  <c r="AC41" i="5"/>
  <c r="AD42" i="5"/>
  <c r="AD46" i="5"/>
  <c r="AC47" i="5"/>
  <c r="AA40" i="6"/>
  <c r="AB41" i="6"/>
  <c r="AD61" i="5"/>
  <c r="AC62" i="5"/>
  <c r="AH46" i="5"/>
  <c r="AB31" i="6"/>
  <c r="AA32" i="6"/>
  <c r="AF46" i="6"/>
  <c r="AG26" i="6"/>
  <c r="AF25" i="6"/>
  <c r="AG43" i="6"/>
  <c r="AF42" i="6"/>
  <c r="B35" i="6"/>
  <c r="B36" i="6" s="1"/>
  <c r="B33" i="6" s="1"/>
  <c r="AA46" i="6"/>
  <c r="AB45" i="6"/>
  <c r="AG32" i="6"/>
  <c r="AB26" i="6"/>
  <c r="AA25" i="6"/>
  <c r="AA54" i="6" l="1"/>
  <c r="AA63" i="6"/>
  <c r="AA54" i="4"/>
  <c r="AA63" i="4"/>
  <c r="AA63" i="2"/>
  <c r="AA54" i="2"/>
  <c r="AC70" i="5"/>
  <c r="AC78" i="5"/>
  <c r="AC71" i="3"/>
  <c r="AC79" i="3"/>
  <c r="AC70" i="1"/>
  <c r="J32" i="3"/>
  <c r="W9" i="3" s="1"/>
  <c r="AH63" i="5"/>
  <c r="AI62" i="5"/>
  <c r="AI55" i="5"/>
  <c r="AH54" i="5"/>
  <c r="AI54" i="5" s="1"/>
  <c r="AI55" i="3"/>
  <c r="AH54" i="3"/>
  <c r="AI54" i="3" s="1"/>
  <c r="AH63" i="3"/>
  <c r="AI62" i="3"/>
  <c r="W10" i="5"/>
  <c r="AH63" i="1"/>
  <c r="AH54" i="1"/>
  <c r="J32" i="1"/>
  <c r="W9" i="1" s="1"/>
  <c r="AD31" i="5"/>
  <c r="AC56" i="1"/>
  <c r="AG27" i="4"/>
  <c r="AF26" i="4"/>
  <c r="B33" i="5"/>
  <c r="B36" i="5"/>
  <c r="B36" i="1"/>
  <c r="B33" i="1"/>
  <c r="B36" i="3"/>
  <c r="R10" i="6"/>
  <c r="R11" i="4"/>
  <c r="R10" i="4"/>
  <c r="S10" i="5"/>
  <c r="B34" i="3"/>
  <c r="B40" i="3" s="1"/>
  <c r="Q10" i="2"/>
  <c r="S10" i="1"/>
  <c r="AD41" i="3"/>
  <c r="AC40" i="3"/>
  <c r="B34" i="6"/>
  <c r="B45" i="6" s="1"/>
  <c r="B47" i="6" s="1"/>
  <c r="S11" i="3"/>
  <c r="AD55" i="3"/>
  <c r="AC54" i="3"/>
  <c r="AD54" i="3" s="1"/>
  <c r="AC40" i="1"/>
  <c r="AD41" i="1"/>
  <c r="B33" i="4"/>
  <c r="B45" i="4" s="1"/>
  <c r="B47" i="4" s="1"/>
  <c r="F31" i="4" s="1"/>
  <c r="O8" i="4" s="1"/>
  <c r="AF34" i="6"/>
  <c r="AG34" i="6" s="1"/>
  <c r="AG33" i="6"/>
  <c r="AH25" i="5"/>
  <c r="AI26" i="5"/>
  <c r="S10" i="3"/>
  <c r="S12" i="3"/>
  <c r="R9" i="2"/>
  <c r="R10" i="2"/>
  <c r="F31" i="6"/>
  <c r="O8" i="6" s="1"/>
  <c r="AB9" i="6"/>
  <c r="AG42" i="6"/>
  <c r="AF41" i="6"/>
  <c r="AF40" i="2"/>
  <c r="AG41" i="2"/>
  <c r="AB31" i="2"/>
  <c r="AA32" i="2"/>
  <c r="AG26" i="2"/>
  <c r="AF25" i="2"/>
  <c r="AD26" i="3"/>
  <c r="AC25" i="3"/>
  <c r="AC25" i="1"/>
  <c r="AD26" i="1"/>
  <c r="AF47" i="6"/>
  <c r="AG46" i="6"/>
  <c r="AI46" i="5"/>
  <c r="AH47" i="5"/>
  <c r="AA39" i="6"/>
  <c r="AB39" i="6" s="1"/>
  <c r="AB40" i="6"/>
  <c r="AC40" i="5"/>
  <c r="AD41" i="5"/>
  <c r="AG42" i="4"/>
  <c r="AF41" i="4"/>
  <c r="AC54" i="5"/>
  <c r="AD54" i="5" s="1"/>
  <c r="AD55" i="5"/>
  <c r="AB27" i="4"/>
  <c r="AA26" i="4"/>
  <c r="AI46" i="1"/>
  <c r="AH47" i="1"/>
  <c r="N13" i="4"/>
  <c r="T12" i="4"/>
  <c r="X12" i="4"/>
  <c r="S12" i="4"/>
  <c r="R12" i="4"/>
  <c r="Q12" i="4"/>
  <c r="U12" i="4"/>
  <c r="AA39" i="2"/>
  <c r="AB39" i="2" s="1"/>
  <c r="AB40" i="2"/>
  <c r="AI42" i="1"/>
  <c r="AH41" i="1"/>
  <c r="B36" i="2"/>
  <c r="B33" i="2" s="1"/>
  <c r="B34" i="2"/>
  <c r="AD27" i="5"/>
  <c r="AC26" i="5"/>
  <c r="U12" i="2"/>
  <c r="Q12" i="2"/>
  <c r="N13" i="2"/>
  <c r="T12" i="2"/>
  <c r="X12" i="2"/>
  <c r="S12" i="2"/>
  <c r="R12" i="2"/>
  <c r="AH33" i="1"/>
  <c r="AI32" i="1"/>
  <c r="AH39" i="5"/>
  <c r="AI39" i="5" s="1"/>
  <c r="AI40" i="5"/>
  <c r="AA33" i="4"/>
  <c r="AB32" i="4"/>
  <c r="AB47" i="4"/>
  <c r="AA48" i="4"/>
  <c r="AG25" i="6"/>
  <c r="AF24" i="6"/>
  <c r="AG24" i="6" s="1"/>
  <c r="AH49" i="3"/>
  <c r="AI49" i="3" s="1"/>
  <c r="AI48" i="3"/>
  <c r="AF33" i="4"/>
  <c r="AG32" i="4"/>
  <c r="AD56" i="1"/>
  <c r="AC55" i="1"/>
  <c r="AG46" i="2"/>
  <c r="AF47" i="2"/>
  <c r="AH24" i="3"/>
  <c r="AI24" i="3" s="1"/>
  <c r="AI25" i="3"/>
  <c r="AB47" i="2"/>
  <c r="AA48" i="2"/>
  <c r="AB27" i="2"/>
  <c r="AA26" i="2"/>
  <c r="AC63" i="3"/>
  <c r="AD62" i="3"/>
  <c r="B34" i="1"/>
  <c r="B40" i="1" s="1"/>
  <c r="AH25" i="1"/>
  <c r="AI26" i="1"/>
  <c r="U11" i="5"/>
  <c r="Q11" i="5"/>
  <c r="N12" i="5"/>
  <c r="X11" i="5"/>
  <c r="T11" i="5"/>
  <c r="AA11" i="5"/>
  <c r="R11" i="5"/>
  <c r="W11" i="5"/>
  <c r="S11" i="5"/>
  <c r="V11" i="5"/>
  <c r="AI41" i="3"/>
  <c r="AH40" i="3"/>
  <c r="AI33" i="3"/>
  <c r="AH34" i="3"/>
  <c r="AI34" i="3" s="1"/>
  <c r="AC48" i="3"/>
  <c r="AD47" i="3"/>
  <c r="AC62" i="1"/>
  <c r="AD61" i="1"/>
  <c r="AA33" i="6"/>
  <c r="AB32" i="6"/>
  <c r="AD62" i="5"/>
  <c r="AC63" i="5"/>
  <c r="AD47" i="5"/>
  <c r="AC48" i="5"/>
  <c r="AH33" i="5"/>
  <c r="AI32" i="5"/>
  <c r="T11" i="6"/>
  <c r="X11" i="6"/>
  <c r="S11" i="6"/>
  <c r="R11" i="6"/>
  <c r="N12" i="6"/>
  <c r="U11" i="6"/>
  <c r="Q11" i="6"/>
  <c r="AB24" i="6"/>
  <c r="AB25" i="6"/>
  <c r="AA47" i="6"/>
  <c r="AB46" i="6"/>
  <c r="AF48" i="4"/>
  <c r="AG47" i="4"/>
  <c r="B34" i="5"/>
  <c r="B40" i="5" s="1"/>
  <c r="AD33" i="5"/>
  <c r="AC34" i="5"/>
  <c r="AD34" i="5" s="1"/>
  <c r="AC32" i="3"/>
  <c r="AD31" i="3"/>
  <c r="AC49" i="1"/>
  <c r="AD49" i="1" s="1"/>
  <c r="AD48" i="1"/>
  <c r="AA13" i="3"/>
  <c r="V13" i="3"/>
  <c r="R13" i="3"/>
  <c r="U13" i="3"/>
  <c r="Q13" i="3"/>
  <c r="X13" i="3"/>
  <c r="T13" i="3"/>
  <c r="S13" i="3"/>
  <c r="N14" i="3"/>
  <c r="AF33" i="2"/>
  <c r="AG32" i="2"/>
  <c r="U11" i="1"/>
  <c r="Q11" i="1"/>
  <c r="V11" i="1"/>
  <c r="N12" i="1"/>
  <c r="X11" i="1"/>
  <c r="T11" i="1"/>
  <c r="R11" i="1"/>
  <c r="S11" i="1"/>
  <c r="AA11" i="1"/>
  <c r="Q11" i="2"/>
  <c r="AC34" i="1"/>
  <c r="AD34" i="1" s="1"/>
  <c r="AD33" i="1"/>
  <c r="AA64" i="6" l="1"/>
  <c r="AA64" i="4"/>
  <c r="AA64" i="2"/>
  <c r="AC79" i="5"/>
  <c r="AC69" i="5"/>
  <c r="AC70" i="3"/>
  <c r="AC69" i="1"/>
  <c r="W13" i="3"/>
  <c r="W10" i="3"/>
  <c r="W12" i="3"/>
  <c r="W11" i="3"/>
  <c r="AH64" i="5"/>
  <c r="AI64" i="5" s="1"/>
  <c r="AI63" i="5"/>
  <c r="AH64" i="3"/>
  <c r="AI64" i="3" s="1"/>
  <c r="AI63" i="3"/>
  <c r="W11" i="1"/>
  <c r="AH64" i="1"/>
  <c r="W10" i="1"/>
  <c r="AG26" i="4"/>
  <c r="AF25" i="4"/>
  <c r="B50" i="3"/>
  <c r="B52" i="3" s="1"/>
  <c r="F31" i="3" s="1"/>
  <c r="O8" i="3" s="1"/>
  <c r="AC39" i="1"/>
  <c r="AD39" i="1" s="1"/>
  <c r="AD40" i="1"/>
  <c r="AB9" i="4"/>
  <c r="AI25" i="5"/>
  <c r="AH24" i="5"/>
  <c r="AI24" i="5" s="1"/>
  <c r="F32" i="6"/>
  <c r="AD40" i="3"/>
  <c r="AC39" i="3"/>
  <c r="AD39" i="3" s="1"/>
  <c r="B50" i="5"/>
  <c r="B52" i="5" s="1"/>
  <c r="AF34" i="2"/>
  <c r="AG34" i="2" s="1"/>
  <c r="AG33" i="2"/>
  <c r="AC33" i="3"/>
  <c r="AD32" i="3"/>
  <c r="N13" i="5"/>
  <c r="X12" i="5"/>
  <c r="T12" i="5"/>
  <c r="W12" i="5"/>
  <c r="S12" i="5"/>
  <c r="U12" i="5"/>
  <c r="AA12" i="5"/>
  <c r="R12" i="5"/>
  <c r="V12" i="5"/>
  <c r="Q12" i="5"/>
  <c r="AF48" i="2"/>
  <c r="AG47" i="2"/>
  <c r="AB48" i="4"/>
  <c r="AA49" i="4"/>
  <c r="AB49" i="4" s="1"/>
  <c r="AI47" i="1"/>
  <c r="AH48" i="1"/>
  <c r="AF40" i="4"/>
  <c r="AG41" i="4"/>
  <c r="AD24" i="3"/>
  <c r="AD25" i="3"/>
  <c r="O49" i="4"/>
  <c r="V8" i="4"/>
  <c r="AA48" i="6"/>
  <c r="AB47" i="6"/>
  <c r="AH34" i="5"/>
  <c r="AI34" i="5" s="1"/>
  <c r="AI33" i="5"/>
  <c r="AD62" i="1"/>
  <c r="AC63" i="1"/>
  <c r="AD63" i="3"/>
  <c r="AC64" i="3"/>
  <c r="AD64" i="3" s="1"/>
  <c r="N14" i="2"/>
  <c r="T13" i="2"/>
  <c r="X13" i="2"/>
  <c r="S13" i="2"/>
  <c r="R13" i="2"/>
  <c r="U13" i="2"/>
  <c r="Q13" i="2"/>
  <c r="AF48" i="6"/>
  <c r="AG47" i="6"/>
  <c r="AG41" i="6"/>
  <c r="AF40" i="6"/>
  <c r="R12" i="6"/>
  <c r="U12" i="6"/>
  <c r="Q12" i="6"/>
  <c r="N13" i="6"/>
  <c r="T12" i="6"/>
  <c r="X12" i="6"/>
  <c r="S12" i="6"/>
  <c r="AC49" i="5"/>
  <c r="AD49" i="5" s="1"/>
  <c r="AD48" i="5"/>
  <c r="AH39" i="3"/>
  <c r="AI39" i="3" s="1"/>
  <c r="AI40" i="3"/>
  <c r="AB26" i="2"/>
  <c r="AA25" i="2"/>
  <c r="AC54" i="1"/>
  <c r="AD54" i="1" s="1"/>
  <c r="AD55" i="1"/>
  <c r="AH48" i="5"/>
  <c r="AI47" i="5"/>
  <c r="AG25" i="2"/>
  <c r="AF24" i="2"/>
  <c r="AG24" i="2" s="1"/>
  <c r="V8" i="6"/>
  <c r="O49" i="6"/>
  <c r="AC64" i="5"/>
  <c r="AD64" i="5" s="1"/>
  <c r="AD63" i="5"/>
  <c r="AI25" i="1"/>
  <c r="AH24" i="1"/>
  <c r="AI24" i="1" s="1"/>
  <c r="AA49" i="2"/>
  <c r="AB49" i="2" s="1"/>
  <c r="AB48" i="2"/>
  <c r="AC25" i="5"/>
  <c r="AD26" i="5"/>
  <c r="AI41" i="1"/>
  <c r="AH40" i="1"/>
  <c r="AA33" i="2"/>
  <c r="AB32" i="2"/>
  <c r="AA14" i="3"/>
  <c r="V14" i="3"/>
  <c r="R14" i="3"/>
  <c r="U14" i="3"/>
  <c r="Q14" i="3"/>
  <c r="X14" i="3"/>
  <c r="T14" i="3"/>
  <c r="P14" i="3"/>
  <c r="W14" i="3"/>
  <c r="S14" i="3"/>
  <c r="N15" i="3"/>
  <c r="N13" i="1"/>
  <c r="X12" i="1"/>
  <c r="T12" i="1"/>
  <c r="W12" i="1"/>
  <c r="S12" i="1"/>
  <c r="Q12" i="1"/>
  <c r="AA12" i="1"/>
  <c r="V12" i="1"/>
  <c r="R12" i="1"/>
  <c r="U12" i="1"/>
  <c r="AF49" i="4"/>
  <c r="AG49" i="4" s="1"/>
  <c r="AG48" i="4"/>
  <c r="AA34" i="6"/>
  <c r="AB34" i="6" s="1"/>
  <c r="AB33" i="6"/>
  <c r="AD48" i="3"/>
  <c r="AC49" i="3"/>
  <c r="AD49" i="3" s="1"/>
  <c r="B50" i="1"/>
  <c r="B52" i="1" s="1"/>
  <c r="AF34" i="4"/>
  <c r="AG34" i="4" s="1"/>
  <c r="AG33" i="4"/>
  <c r="AA34" i="4"/>
  <c r="AB34" i="4" s="1"/>
  <c r="AB33" i="4"/>
  <c r="AI33" i="1"/>
  <c r="AH34" i="1"/>
  <c r="AI34" i="1" s="1"/>
  <c r="B45" i="2"/>
  <c r="B47" i="2" s="1"/>
  <c r="X13" i="4"/>
  <c r="S13" i="4"/>
  <c r="R13" i="4"/>
  <c r="Q13" i="4"/>
  <c r="N14" i="4"/>
  <c r="U13" i="4"/>
  <c r="T13" i="4"/>
  <c r="AB26" i="4"/>
  <c r="AA25" i="4"/>
  <c r="AD39" i="5"/>
  <c r="AD40" i="5"/>
  <c r="AD25" i="1"/>
  <c r="AD24" i="1"/>
  <c r="AG40" i="2"/>
  <c r="AF39" i="2"/>
  <c r="AG39" i="2" s="1"/>
  <c r="F32" i="4"/>
  <c r="AC69" i="3" l="1"/>
  <c r="AG25" i="4"/>
  <c r="AF24" i="4"/>
  <c r="AG24" i="4" s="1"/>
  <c r="F33" i="6"/>
  <c r="P11" i="6" s="1"/>
  <c r="V11" i="6" s="1"/>
  <c r="AD10" i="5"/>
  <c r="F31" i="5"/>
  <c r="O8" i="5" s="1"/>
  <c r="O49" i="5" s="1"/>
  <c r="AD10" i="3"/>
  <c r="X14" i="4"/>
  <c r="R14" i="4"/>
  <c r="U14" i="4"/>
  <c r="Q14" i="4"/>
  <c r="P14" i="4"/>
  <c r="N15" i="4"/>
  <c r="T14" i="4"/>
  <c r="S14" i="4"/>
  <c r="Y8" i="3"/>
  <c r="O49" i="3"/>
  <c r="F31" i="1"/>
  <c r="O8" i="1" s="1"/>
  <c r="AD10" i="1"/>
  <c r="AA15" i="3"/>
  <c r="V15" i="3"/>
  <c r="R15" i="3"/>
  <c r="U15" i="3"/>
  <c r="Q15" i="3"/>
  <c r="X15" i="3"/>
  <c r="T15" i="3"/>
  <c r="P15" i="3"/>
  <c r="N16" i="3"/>
  <c r="W15" i="3"/>
  <c r="S15" i="3"/>
  <c r="AA34" i="2"/>
  <c r="AB34" i="2" s="1"/>
  <c r="AB33" i="2"/>
  <c r="AC24" i="5"/>
  <c r="AD24" i="5" s="1"/>
  <c r="AD25" i="5"/>
  <c r="AG48" i="6"/>
  <c r="AF49" i="6"/>
  <c r="AG49" i="6" s="1"/>
  <c r="AA49" i="6"/>
  <c r="AB49" i="6" s="1"/>
  <c r="AB48" i="6"/>
  <c r="AH49" i="1"/>
  <c r="AI49" i="1" s="1"/>
  <c r="AI48" i="1"/>
  <c r="N14" i="5"/>
  <c r="W13" i="5"/>
  <c r="S13" i="5"/>
  <c r="AA13" i="5"/>
  <c r="V13" i="5"/>
  <c r="R13" i="5"/>
  <c r="U13" i="5"/>
  <c r="T13" i="5"/>
  <c r="Q13" i="5"/>
  <c r="X13" i="5"/>
  <c r="Y14" i="3"/>
  <c r="AG40" i="4"/>
  <c r="AF39" i="4"/>
  <c r="AG39" i="4" s="1"/>
  <c r="F31" i="2"/>
  <c r="O8" i="2" s="1"/>
  <c r="AB9" i="2"/>
  <c r="AI40" i="1"/>
  <c r="AH39" i="1"/>
  <c r="AI39" i="1" s="1"/>
  <c r="AH49" i="5"/>
  <c r="AI49" i="5" s="1"/>
  <c r="AI48" i="5"/>
  <c r="AB25" i="2"/>
  <c r="AB24" i="2"/>
  <c r="U13" i="6"/>
  <c r="Q13" i="6"/>
  <c r="N14" i="6"/>
  <c r="T13" i="6"/>
  <c r="X13" i="6"/>
  <c r="S13" i="6"/>
  <c r="R13" i="6"/>
  <c r="AG40" i="6"/>
  <c r="AF39" i="6"/>
  <c r="AG39" i="6" s="1"/>
  <c r="X14" i="2"/>
  <c r="S14" i="2"/>
  <c r="R14" i="2"/>
  <c r="U14" i="2"/>
  <c r="Q14" i="2"/>
  <c r="N15" i="2"/>
  <c r="P14" i="2"/>
  <c r="T14" i="2"/>
  <c r="F32" i="3"/>
  <c r="AF49" i="2"/>
  <c r="AG49" i="2" s="1"/>
  <c r="AG48" i="2"/>
  <c r="F33" i="4"/>
  <c r="P10" i="4" s="1"/>
  <c r="V10" i="4" s="1"/>
  <c r="AB24" i="4"/>
  <c r="AB25" i="4"/>
  <c r="N14" i="1"/>
  <c r="W13" i="1"/>
  <c r="S13" i="1"/>
  <c r="T13" i="1"/>
  <c r="AA13" i="1"/>
  <c r="V13" i="1"/>
  <c r="R13" i="1"/>
  <c r="U13" i="1"/>
  <c r="Q13" i="1"/>
  <c r="X13" i="1"/>
  <c r="AD63" i="1"/>
  <c r="AC64" i="1"/>
  <c r="AD64" i="1" s="1"/>
  <c r="AD33" i="3"/>
  <c r="AC34" i="3"/>
  <c r="AD34" i="3" s="1"/>
  <c r="P10" i="6" l="1"/>
  <c r="V10" i="6" s="1"/>
  <c r="P9" i="6"/>
  <c r="V9" i="6" s="1"/>
  <c r="P13" i="6"/>
  <c r="V13" i="6" s="1"/>
  <c r="P12" i="6"/>
  <c r="V12" i="6" s="1"/>
  <c r="Y8" i="5"/>
  <c r="P9" i="4"/>
  <c r="V9" i="4" s="1"/>
  <c r="F32" i="5"/>
  <c r="F33" i="5" s="1"/>
  <c r="P13" i="5" s="1"/>
  <c r="Y13" i="5" s="1"/>
  <c r="P13" i="4"/>
  <c r="V13" i="4" s="1"/>
  <c r="P12" i="4"/>
  <c r="V12" i="4" s="1"/>
  <c r="F32" i="2"/>
  <c r="N15" i="5"/>
  <c r="W14" i="5"/>
  <c r="S14" i="5"/>
  <c r="AA14" i="5"/>
  <c r="V14" i="5"/>
  <c r="R14" i="5"/>
  <c r="Q14" i="5"/>
  <c r="X14" i="5"/>
  <c r="P14" i="5"/>
  <c r="U14" i="5"/>
  <c r="T14" i="5"/>
  <c r="O49" i="1"/>
  <c r="Y8" i="1"/>
  <c r="U14" i="6"/>
  <c r="T14" i="6"/>
  <c r="P14" i="6"/>
  <c r="N15" i="6"/>
  <c r="S14" i="6"/>
  <c r="X14" i="6"/>
  <c r="R14" i="6"/>
  <c r="Q14" i="6"/>
  <c r="O49" i="2"/>
  <c r="V8" i="2"/>
  <c r="F32" i="1"/>
  <c r="N15" i="1"/>
  <c r="W14" i="1"/>
  <c r="S14" i="1"/>
  <c r="T14" i="1"/>
  <c r="AA14" i="1"/>
  <c r="V14" i="1"/>
  <c r="R14" i="1"/>
  <c r="P14" i="1"/>
  <c r="U14" i="1"/>
  <c r="Q14" i="1"/>
  <c r="X14" i="1"/>
  <c r="P11" i="4"/>
  <c r="V11" i="4" s="1"/>
  <c r="V14" i="2"/>
  <c r="AA16" i="3"/>
  <c r="V16" i="3"/>
  <c r="R16" i="3"/>
  <c r="U16" i="3"/>
  <c r="Q16" i="3"/>
  <c r="X16" i="3"/>
  <c r="T16" i="3"/>
  <c r="P16" i="3"/>
  <c r="N17" i="3"/>
  <c r="W16" i="3"/>
  <c r="S16" i="3"/>
  <c r="R15" i="4"/>
  <c r="N16" i="4"/>
  <c r="S15" i="4"/>
  <c r="X15" i="4"/>
  <c r="Q15" i="4"/>
  <c r="P15" i="4"/>
  <c r="U15" i="4"/>
  <c r="T15" i="4"/>
  <c r="F33" i="3"/>
  <c r="P10" i="3" s="1"/>
  <c r="Y10" i="3" s="1"/>
  <c r="R15" i="2"/>
  <c r="U15" i="2"/>
  <c r="Q15" i="2"/>
  <c r="N16" i="2"/>
  <c r="T15" i="2"/>
  <c r="P15" i="2"/>
  <c r="S15" i="2"/>
  <c r="X15" i="2"/>
  <c r="Y15" i="3"/>
  <c r="V14" i="4"/>
  <c r="P10" i="5" l="1"/>
  <c r="Y10" i="5" s="1"/>
  <c r="P12" i="5"/>
  <c r="Y12" i="5" s="1"/>
  <c r="P11" i="5"/>
  <c r="Y11" i="5" s="1"/>
  <c r="P9" i="5"/>
  <c r="Y9" i="5" s="1"/>
  <c r="P11" i="3"/>
  <c r="Y11" i="3" s="1"/>
  <c r="Y14" i="1"/>
  <c r="F33" i="2"/>
  <c r="P10" i="2" s="1"/>
  <c r="V10" i="2" s="1"/>
  <c r="P12" i="3"/>
  <c r="Y12" i="3" s="1"/>
  <c r="Y16" i="3"/>
  <c r="P9" i="3"/>
  <c r="V15" i="4"/>
  <c r="U16" i="4"/>
  <c r="Q16" i="4"/>
  <c r="T16" i="4"/>
  <c r="N17" i="4"/>
  <c r="S16" i="4"/>
  <c r="R16" i="4"/>
  <c r="P16" i="4"/>
  <c r="X16" i="4"/>
  <c r="F33" i="1"/>
  <c r="P9" i="1" s="1"/>
  <c r="U16" i="2"/>
  <c r="Q16" i="2"/>
  <c r="N17" i="2"/>
  <c r="T16" i="2"/>
  <c r="P16" i="2"/>
  <c r="X16" i="2"/>
  <c r="S16" i="2"/>
  <c r="R16" i="2"/>
  <c r="V15" i="2"/>
  <c r="P13" i="3"/>
  <c r="Y13" i="3" s="1"/>
  <c r="N16" i="6"/>
  <c r="T15" i="6"/>
  <c r="P15" i="6"/>
  <c r="Q15" i="6"/>
  <c r="U15" i="6"/>
  <c r="S15" i="6"/>
  <c r="X15" i="6"/>
  <c r="R15" i="6"/>
  <c r="Y14" i="5"/>
  <c r="N16" i="5"/>
  <c r="W15" i="5"/>
  <c r="S15" i="5"/>
  <c r="AA15" i="5"/>
  <c r="V15" i="5"/>
  <c r="R15" i="5"/>
  <c r="U15" i="5"/>
  <c r="T15" i="5"/>
  <c r="X15" i="5"/>
  <c r="Q15" i="5"/>
  <c r="P15" i="5"/>
  <c r="AA17" i="3"/>
  <c r="V17" i="3"/>
  <c r="R17" i="3"/>
  <c r="U17" i="3"/>
  <c r="Q17" i="3"/>
  <c r="X17" i="3"/>
  <c r="T17" i="3"/>
  <c r="P17" i="3"/>
  <c r="S17" i="3"/>
  <c r="W17" i="3"/>
  <c r="N18" i="3"/>
  <c r="N16" i="1"/>
  <c r="W15" i="1"/>
  <c r="S15" i="1"/>
  <c r="T15" i="1"/>
  <c r="AA15" i="1"/>
  <c r="V15" i="1"/>
  <c r="R15" i="1"/>
  <c r="P15" i="1"/>
  <c r="U15" i="1"/>
  <c r="Q15" i="1"/>
  <c r="X15" i="1"/>
  <c r="V14" i="6"/>
  <c r="P12" i="2" l="1"/>
  <c r="V12" i="2" s="1"/>
  <c r="P11" i="2"/>
  <c r="V11" i="2" s="1"/>
  <c r="P13" i="2"/>
  <c r="V13" i="2" s="1"/>
  <c r="P9" i="2"/>
  <c r="V9" i="2" s="1"/>
  <c r="P12" i="1"/>
  <c r="Y12" i="1" s="1"/>
  <c r="P10" i="1"/>
  <c r="Y10" i="1" s="1"/>
  <c r="P11" i="1"/>
  <c r="Y11" i="1" s="1"/>
  <c r="P13" i="1"/>
  <c r="Y13" i="1" s="1"/>
  <c r="Y15" i="5"/>
  <c r="X16" i="6"/>
  <c r="S16" i="6"/>
  <c r="N17" i="6"/>
  <c r="R16" i="6"/>
  <c r="Q16" i="6"/>
  <c r="U16" i="6"/>
  <c r="P16" i="6"/>
  <c r="T16" i="6"/>
  <c r="N18" i="2"/>
  <c r="T17" i="2"/>
  <c r="P17" i="2"/>
  <c r="X17" i="2"/>
  <c r="S17" i="2"/>
  <c r="R17" i="2"/>
  <c r="Q17" i="2"/>
  <c r="U17" i="2"/>
  <c r="Y9" i="3"/>
  <c r="N17" i="1"/>
  <c r="W16" i="1"/>
  <c r="S16" i="1"/>
  <c r="X16" i="1"/>
  <c r="AA16" i="1"/>
  <c r="V16" i="1"/>
  <c r="R16" i="1"/>
  <c r="P16" i="1"/>
  <c r="U16" i="1"/>
  <c r="Q16" i="1"/>
  <c r="T16" i="1"/>
  <c r="Y9" i="1"/>
  <c r="Y15" i="1"/>
  <c r="Y17" i="3"/>
  <c r="N17" i="5"/>
  <c r="W16" i="5"/>
  <c r="S16" i="5"/>
  <c r="AA16" i="5"/>
  <c r="V16" i="5"/>
  <c r="R16" i="5"/>
  <c r="Q16" i="5"/>
  <c r="X16" i="5"/>
  <c r="P16" i="5"/>
  <c r="U16" i="5"/>
  <c r="T16" i="5"/>
  <c r="V15" i="6"/>
  <c r="V16" i="2"/>
  <c r="N18" i="4"/>
  <c r="T17" i="4"/>
  <c r="P17" i="4"/>
  <c r="Q17" i="4"/>
  <c r="U17" i="4"/>
  <c r="S17" i="4"/>
  <c r="R17" i="4"/>
  <c r="X17" i="4"/>
  <c r="AA18" i="3"/>
  <c r="V18" i="3"/>
  <c r="R18" i="3"/>
  <c r="U18" i="3"/>
  <c r="Q18" i="3"/>
  <c r="X18" i="3"/>
  <c r="T18" i="3"/>
  <c r="P18" i="3"/>
  <c r="W18" i="3"/>
  <c r="S18" i="3"/>
  <c r="N19" i="3"/>
  <c r="V16" i="4"/>
  <c r="X18" i="4" l="1"/>
  <c r="S18" i="4"/>
  <c r="N19" i="4"/>
  <c r="R18" i="4"/>
  <c r="Q18" i="4"/>
  <c r="U18" i="4"/>
  <c r="T18" i="4"/>
  <c r="P18" i="4"/>
  <c r="Y18" i="3"/>
  <c r="N18" i="1"/>
  <c r="W17" i="1"/>
  <c r="S17" i="1"/>
  <c r="T17" i="1"/>
  <c r="AA17" i="1"/>
  <c r="V17" i="1"/>
  <c r="R17" i="1"/>
  <c r="P17" i="1"/>
  <c r="U17" i="1"/>
  <c r="Q17" i="1"/>
  <c r="X17" i="1"/>
  <c r="V17" i="2"/>
  <c r="V16" i="6"/>
  <c r="R17" i="6"/>
  <c r="T17" i="6"/>
  <c r="N18" i="6"/>
  <c r="S17" i="6"/>
  <c r="X17" i="6"/>
  <c r="Q17" i="6"/>
  <c r="U17" i="6"/>
  <c r="P17" i="6"/>
  <c r="X18" i="2"/>
  <c r="S18" i="2"/>
  <c r="R18" i="2"/>
  <c r="U18" i="2"/>
  <c r="Q18" i="2"/>
  <c r="N19" i="2"/>
  <c r="T18" i="2"/>
  <c r="P18" i="2"/>
  <c r="AA19" i="3"/>
  <c r="V19" i="3"/>
  <c r="R19" i="3"/>
  <c r="U19" i="3"/>
  <c r="Q19" i="3"/>
  <c r="X19" i="3"/>
  <c r="T19" i="3"/>
  <c r="P19" i="3"/>
  <c r="N20" i="3"/>
  <c r="W19" i="3"/>
  <c r="S19" i="3"/>
  <c r="V17" i="4"/>
  <c r="Y16" i="5"/>
  <c r="N18" i="5"/>
  <c r="W17" i="5"/>
  <c r="S17" i="5"/>
  <c r="AA17" i="5"/>
  <c r="V17" i="5"/>
  <c r="R17" i="5"/>
  <c r="U17" i="5"/>
  <c r="T17" i="5"/>
  <c r="Q17" i="5"/>
  <c r="P17" i="5"/>
  <c r="X17" i="5"/>
  <c r="Y16" i="1"/>
  <c r="AA20" i="3" l="1"/>
  <c r="V20" i="3"/>
  <c r="R20" i="3"/>
  <c r="U20" i="3"/>
  <c r="Q20" i="3"/>
  <c r="X20" i="3"/>
  <c r="T20" i="3"/>
  <c r="P20" i="3"/>
  <c r="S20" i="3"/>
  <c r="N21" i="3"/>
  <c r="W20" i="3"/>
  <c r="Y19" i="3"/>
  <c r="V18" i="2"/>
  <c r="V17" i="6"/>
  <c r="Y17" i="5"/>
  <c r="U18" i="6"/>
  <c r="Q18" i="6"/>
  <c r="P18" i="6"/>
  <c r="T18" i="6"/>
  <c r="N19" i="6"/>
  <c r="S18" i="6"/>
  <c r="R18" i="6"/>
  <c r="X18" i="6"/>
  <c r="N19" i="1"/>
  <c r="W18" i="1"/>
  <c r="S18" i="1"/>
  <c r="X18" i="1"/>
  <c r="AA18" i="1"/>
  <c r="V18" i="1"/>
  <c r="R18" i="1"/>
  <c r="P18" i="1"/>
  <c r="U18" i="1"/>
  <c r="Q18" i="1"/>
  <c r="T18" i="1"/>
  <c r="V18" i="4"/>
  <c r="N19" i="5"/>
  <c r="W18" i="5"/>
  <c r="S18" i="5"/>
  <c r="AA18" i="5"/>
  <c r="V18" i="5"/>
  <c r="R18" i="5"/>
  <c r="Q18" i="5"/>
  <c r="X18" i="5"/>
  <c r="P18" i="5"/>
  <c r="U18" i="5"/>
  <c r="T18" i="5"/>
  <c r="R19" i="2"/>
  <c r="U19" i="2"/>
  <c r="Q19" i="2"/>
  <c r="N20" i="2"/>
  <c r="T19" i="2"/>
  <c r="P19" i="2"/>
  <c r="X19" i="2"/>
  <c r="S19" i="2"/>
  <c r="Y17" i="1"/>
  <c r="R19" i="4"/>
  <c r="U19" i="4"/>
  <c r="Q19" i="4"/>
  <c r="X19" i="4"/>
  <c r="T19" i="4"/>
  <c r="N20" i="4"/>
  <c r="S19" i="4"/>
  <c r="P19" i="4"/>
  <c r="AA21" i="3" l="1"/>
  <c r="V21" i="3"/>
  <c r="R21" i="3"/>
  <c r="U21" i="3"/>
  <c r="Q21" i="3"/>
  <c r="X21" i="3"/>
  <c r="T21" i="3"/>
  <c r="P21" i="3"/>
  <c r="S21" i="3"/>
  <c r="W21" i="3"/>
  <c r="N22" i="3"/>
  <c r="V19" i="4"/>
  <c r="V19" i="2"/>
  <c r="Y18" i="5"/>
  <c r="N20" i="5"/>
  <c r="W19" i="5"/>
  <c r="S19" i="5"/>
  <c r="AA19" i="5"/>
  <c r="V19" i="5"/>
  <c r="R19" i="5"/>
  <c r="U19" i="5"/>
  <c r="T19" i="5"/>
  <c r="X19" i="5"/>
  <c r="Q19" i="5"/>
  <c r="P19" i="5"/>
  <c r="V18" i="6"/>
  <c r="N20" i="1"/>
  <c r="W19" i="1"/>
  <c r="S19" i="1"/>
  <c r="X19" i="1"/>
  <c r="AA19" i="1"/>
  <c r="V19" i="1"/>
  <c r="R19" i="1"/>
  <c r="P19" i="1"/>
  <c r="U19" i="1"/>
  <c r="Q19" i="1"/>
  <c r="T19" i="1"/>
  <c r="Y20" i="3"/>
  <c r="U20" i="4"/>
  <c r="Q20" i="4"/>
  <c r="N21" i="4"/>
  <c r="T20" i="4"/>
  <c r="P20" i="4"/>
  <c r="S20" i="4"/>
  <c r="R20" i="4"/>
  <c r="X20" i="4"/>
  <c r="U20" i="2"/>
  <c r="Q20" i="2"/>
  <c r="N21" i="2"/>
  <c r="T20" i="2"/>
  <c r="P20" i="2"/>
  <c r="X20" i="2"/>
  <c r="S20" i="2"/>
  <c r="R20" i="2"/>
  <c r="Y18" i="1"/>
  <c r="N20" i="6"/>
  <c r="T19" i="6"/>
  <c r="P19" i="6"/>
  <c r="X19" i="6"/>
  <c r="R19" i="6"/>
  <c r="Q19" i="6"/>
  <c r="U19" i="6"/>
  <c r="S19" i="6"/>
  <c r="Y19" i="1" l="1"/>
  <c r="N21" i="5"/>
  <c r="W20" i="5"/>
  <c r="S20" i="5"/>
  <c r="AA20" i="5"/>
  <c r="V20" i="5"/>
  <c r="R20" i="5"/>
  <c r="Q20" i="5"/>
  <c r="X20" i="5"/>
  <c r="P20" i="5"/>
  <c r="U20" i="5"/>
  <c r="T20" i="5"/>
  <c r="X20" i="6"/>
  <c r="S20" i="6"/>
  <c r="T20" i="6"/>
  <c r="N21" i="6"/>
  <c r="R20" i="6"/>
  <c r="Q20" i="6"/>
  <c r="U20" i="6"/>
  <c r="P20" i="6"/>
  <c r="N22" i="2"/>
  <c r="T21" i="2"/>
  <c r="P21" i="2"/>
  <c r="X21" i="2"/>
  <c r="S21" i="2"/>
  <c r="R21" i="2"/>
  <c r="Q21" i="2"/>
  <c r="U21" i="2"/>
  <c r="N22" i="4"/>
  <c r="T21" i="4"/>
  <c r="P21" i="4"/>
  <c r="X21" i="4"/>
  <c r="S21" i="4"/>
  <c r="U21" i="4"/>
  <c r="R21" i="4"/>
  <c r="Q21" i="4"/>
  <c r="AA22" i="3"/>
  <c r="V22" i="3"/>
  <c r="R22" i="3"/>
  <c r="U22" i="3"/>
  <c r="Q22" i="3"/>
  <c r="X22" i="3"/>
  <c r="T22" i="3"/>
  <c r="P22" i="3"/>
  <c r="W22" i="3"/>
  <c r="S22" i="3"/>
  <c r="N23" i="3"/>
  <c r="Y19" i="5"/>
  <c r="V19" i="6"/>
  <c r="V20" i="2"/>
  <c r="V20" i="4"/>
  <c r="N21" i="1"/>
  <c r="W20" i="1"/>
  <c r="S20" i="1"/>
  <c r="T20" i="1"/>
  <c r="AA20" i="1"/>
  <c r="V20" i="1"/>
  <c r="R20" i="1"/>
  <c r="P20" i="1"/>
  <c r="U20" i="1"/>
  <c r="Q20" i="1"/>
  <c r="X20" i="1"/>
  <c r="Y21" i="3"/>
  <c r="Y20" i="5" l="1"/>
  <c r="N22" i="5"/>
  <c r="W21" i="5"/>
  <c r="S21" i="5"/>
  <c r="AA21" i="5"/>
  <c r="V21" i="5"/>
  <c r="R21" i="5"/>
  <c r="U21" i="5"/>
  <c r="T21" i="5"/>
  <c r="Q21" i="5"/>
  <c r="P21" i="5"/>
  <c r="X21" i="5"/>
  <c r="Y20" i="1"/>
  <c r="X22" i="4"/>
  <c r="S22" i="4"/>
  <c r="R22" i="4"/>
  <c r="T22" i="4"/>
  <c r="Q22" i="4"/>
  <c r="P22" i="4"/>
  <c r="N23" i="4"/>
  <c r="U22" i="4"/>
  <c r="X22" i="2"/>
  <c r="S22" i="2"/>
  <c r="R22" i="2"/>
  <c r="U22" i="2"/>
  <c r="Q22" i="2"/>
  <c r="T22" i="2"/>
  <c r="P22" i="2"/>
  <c r="N23" i="2"/>
  <c r="Y22" i="3"/>
  <c r="V20" i="6"/>
  <c r="R21" i="6"/>
  <c r="U21" i="6"/>
  <c r="P21" i="6"/>
  <c r="T21" i="6"/>
  <c r="N22" i="6"/>
  <c r="S21" i="6"/>
  <c r="X21" i="6"/>
  <c r="Q21" i="6"/>
  <c r="N22" i="1"/>
  <c r="W21" i="1"/>
  <c r="S21" i="1"/>
  <c r="X21" i="1"/>
  <c r="AA21" i="1"/>
  <c r="V21" i="1"/>
  <c r="R21" i="1"/>
  <c r="P21" i="1"/>
  <c r="U21" i="1"/>
  <c r="Q21" i="1"/>
  <c r="T21" i="1"/>
  <c r="AA23" i="3"/>
  <c r="V23" i="3"/>
  <c r="R23" i="3"/>
  <c r="N24" i="3"/>
  <c r="U23" i="3"/>
  <c r="Q23" i="3"/>
  <c r="X23" i="3"/>
  <c r="T23" i="3"/>
  <c r="P23" i="3"/>
  <c r="W23" i="3"/>
  <c r="S23" i="3"/>
  <c r="V21" i="4"/>
  <c r="V21" i="2"/>
  <c r="Y21" i="1" l="1"/>
  <c r="V22" i="2"/>
  <c r="N24" i="4"/>
  <c r="R23" i="4"/>
  <c r="U23" i="4"/>
  <c r="Q23" i="4"/>
  <c r="S23" i="4"/>
  <c r="P23" i="4"/>
  <c r="X23" i="4"/>
  <c r="T23" i="4"/>
  <c r="X24" i="3"/>
  <c r="T24" i="3"/>
  <c r="P24" i="3"/>
  <c r="W24" i="3"/>
  <c r="S24" i="3"/>
  <c r="AA24" i="3"/>
  <c r="V24" i="3"/>
  <c r="R24" i="3"/>
  <c r="Q24" i="3"/>
  <c r="N25" i="3"/>
  <c r="U24" i="3"/>
  <c r="V21" i="6"/>
  <c r="V22" i="4"/>
  <c r="Y21" i="5"/>
  <c r="Y23" i="3"/>
  <c r="N23" i="5"/>
  <c r="W22" i="5"/>
  <c r="S22" i="5"/>
  <c r="AA22" i="5"/>
  <c r="V22" i="5"/>
  <c r="R22" i="5"/>
  <c r="Q22" i="5"/>
  <c r="X22" i="5"/>
  <c r="P22" i="5"/>
  <c r="U22" i="5"/>
  <c r="T22" i="5"/>
  <c r="N23" i="1"/>
  <c r="W22" i="1"/>
  <c r="S22" i="1"/>
  <c r="X22" i="1"/>
  <c r="AA22" i="1"/>
  <c r="V22" i="1"/>
  <c r="R22" i="1"/>
  <c r="T22" i="1"/>
  <c r="U22" i="1"/>
  <c r="Q22" i="1"/>
  <c r="P22" i="1"/>
  <c r="U22" i="6"/>
  <c r="Q22" i="6"/>
  <c r="X22" i="6"/>
  <c r="R22" i="6"/>
  <c r="P22" i="6"/>
  <c r="T22" i="6"/>
  <c r="N23" i="6"/>
  <c r="S22" i="6"/>
  <c r="N24" i="2"/>
  <c r="R23" i="2"/>
  <c r="U23" i="2"/>
  <c r="Q23" i="2"/>
  <c r="T23" i="2"/>
  <c r="P23" i="2"/>
  <c r="X23" i="2"/>
  <c r="S23" i="2"/>
  <c r="V22" i="6" l="1"/>
  <c r="X24" i="2"/>
  <c r="S24" i="2"/>
  <c r="N25" i="2"/>
  <c r="R24" i="2"/>
  <c r="U24" i="2"/>
  <c r="Q24" i="2"/>
  <c r="P24" i="2"/>
  <c r="T24" i="2"/>
  <c r="Y22" i="1"/>
  <c r="Y24" i="3"/>
  <c r="U23" i="6"/>
  <c r="T23" i="6"/>
  <c r="P23" i="6"/>
  <c r="S23" i="6"/>
  <c r="N24" i="6"/>
  <c r="R23" i="6"/>
  <c r="X23" i="6"/>
  <c r="Q23" i="6"/>
  <c r="Y22" i="5"/>
  <c r="W23" i="5"/>
  <c r="S23" i="5"/>
  <c r="AA23" i="5"/>
  <c r="V23" i="5"/>
  <c r="R23" i="5"/>
  <c r="N24" i="5"/>
  <c r="U23" i="5"/>
  <c r="T23" i="5"/>
  <c r="X23" i="5"/>
  <c r="Q23" i="5"/>
  <c r="P23" i="5"/>
  <c r="AA25" i="3"/>
  <c r="V25" i="3"/>
  <c r="R25" i="3"/>
  <c r="N26" i="3"/>
  <c r="U25" i="3"/>
  <c r="Q25" i="3"/>
  <c r="X25" i="3"/>
  <c r="T25" i="3"/>
  <c r="P25" i="3"/>
  <c r="W25" i="3"/>
  <c r="S25" i="3"/>
  <c r="V23" i="4"/>
  <c r="V23" i="2"/>
  <c r="W23" i="1"/>
  <c r="S23" i="1"/>
  <c r="T23" i="1"/>
  <c r="AA23" i="1"/>
  <c r="V23" i="1"/>
  <c r="R23" i="1"/>
  <c r="N24" i="1"/>
  <c r="U23" i="1"/>
  <c r="Q23" i="1"/>
  <c r="X23" i="1"/>
  <c r="P23" i="1"/>
  <c r="X24" i="4"/>
  <c r="S24" i="4"/>
  <c r="N25" i="4"/>
  <c r="R24" i="4"/>
  <c r="P24" i="4"/>
  <c r="U24" i="4"/>
  <c r="T24" i="4"/>
  <c r="Q24" i="4"/>
  <c r="V24" i="4" l="1"/>
  <c r="Y25" i="3"/>
  <c r="X24" i="6"/>
  <c r="R24" i="6"/>
  <c r="U24" i="6"/>
  <c r="Q24" i="6"/>
  <c r="P24" i="6"/>
  <c r="N25" i="6"/>
  <c r="T24" i="6"/>
  <c r="S24" i="6"/>
  <c r="V24" i="2"/>
  <c r="T25" i="2"/>
  <c r="P25" i="2"/>
  <c r="X25" i="2"/>
  <c r="S25" i="2"/>
  <c r="N26" i="2"/>
  <c r="R25" i="2"/>
  <c r="U25" i="2"/>
  <c r="Q25" i="2"/>
  <c r="Y23" i="1"/>
  <c r="N25" i="1"/>
  <c r="U24" i="1"/>
  <c r="Q24" i="1"/>
  <c r="AA24" i="1"/>
  <c r="R24" i="1"/>
  <c r="X24" i="1"/>
  <c r="T24" i="1"/>
  <c r="P24" i="1"/>
  <c r="W24" i="1"/>
  <c r="S24" i="1"/>
  <c r="V24" i="1"/>
  <c r="X26" i="3"/>
  <c r="T26" i="3"/>
  <c r="P26" i="3"/>
  <c r="W26" i="3"/>
  <c r="S26" i="3"/>
  <c r="AA26" i="3"/>
  <c r="V26" i="3"/>
  <c r="R26" i="3"/>
  <c r="Q26" i="3"/>
  <c r="N27" i="3"/>
  <c r="U26" i="3"/>
  <c r="Y23" i="5"/>
  <c r="T25" i="4"/>
  <c r="P25" i="4"/>
  <c r="X25" i="4"/>
  <c r="S25" i="4"/>
  <c r="N26" i="4"/>
  <c r="U25" i="4"/>
  <c r="R25" i="4"/>
  <c r="Q25" i="4"/>
  <c r="N25" i="5"/>
  <c r="U24" i="5"/>
  <c r="Q24" i="5"/>
  <c r="X24" i="5"/>
  <c r="T24" i="5"/>
  <c r="P24" i="5"/>
  <c r="W24" i="5"/>
  <c r="V24" i="5"/>
  <c r="AA24" i="5"/>
  <c r="S24" i="5"/>
  <c r="R24" i="5"/>
  <c r="V23" i="6"/>
  <c r="Y24" i="1" l="1"/>
  <c r="W25" i="5"/>
  <c r="S25" i="5"/>
  <c r="AA25" i="5"/>
  <c r="V25" i="5"/>
  <c r="R25" i="5"/>
  <c r="N26" i="5"/>
  <c r="Q25" i="5"/>
  <c r="X25" i="5"/>
  <c r="P25" i="5"/>
  <c r="U25" i="5"/>
  <c r="T25" i="5"/>
  <c r="V24" i="6"/>
  <c r="U26" i="4"/>
  <c r="Q26" i="4"/>
  <c r="T26" i="4"/>
  <c r="P26" i="4"/>
  <c r="N27" i="4"/>
  <c r="X26" i="4"/>
  <c r="S26" i="4"/>
  <c r="R26" i="4"/>
  <c r="T25" i="6"/>
  <c r="P25" i="6"/>
  <c r="X25" i="6"/>
  <c r="R25" i="6"/>
  <c r="Q25" i="6"/>
  <c r="S25" i="6"/>
  <c r="N26" i="6"/>
  <c r="U25" i="6"/>
  <c r="Y26" i="3"/>
  <c r="U26" i="2"/>
  <c r="Q26" i="2"/>
  <c r="T26" i="2"/>
  <c r="P26" i="2"/>
  <c r="X26" i="2"/>
  <c r="S26" i="2"/>
  <c r="N27" i="2"/>
  <c r="R26" i="2"/>
  <c r="Y24" i="5"/>
  <c r="V25" i="4"/>
  <c r="AA27" i="3"/>
  <c r="V27" i="3"/>
  <c r="R27" i="3"/>
  <c r="N28" i="3"/>
  <c r="U27" i="3"/>
  <c r="Q27" i="3"/>
  <c r="X27" i="3"/>
  <c r="T27" i="3"/>
  <c r="P27" i="3"/>
  <c r="W27" i="3"/>
  <c r="S27" i="3"/>
  <c r="W25" i="1"/>
  <c r="S25" i="1"/>
  <c r="T25" i="1"/>
  <c r="AA25" i="1"/>
  <c r="V25" i="1"/>
  <c r="R25" i="1"/>
  <c r="N26" i="1"/>
  <c r="U25" i="1"/>
  <c r="Q25" i="1"/>
  <c r="X25" i="1"/>
  <c r="P25" i="1"/>
  <c r="V25" i="2"/>
  <c r="V26" i="4" l="1"/>
  <c r="Y27" i="3"/>
  <c r="N28" i="2"/>
  <c r="R27" i="2"/>
  <c r="U27" i="2"/>
  <c r="Q27" i="2"/>
  <c r="T27" i="2"/>
  <c r="P27" i="2"/>
  <c r="S27" i="2"/>
  <c r="X27" i="2"/>
  <c r="X28" i="3"/>
  <c r="T28" i="3"/>
  <c r="P28" i="3"/>
  <c r="W28" i="3"/>
  <c r="S28" i="3"/>
  <c r="AA28" i="3"/>
  <c r="V28" i="3"/>
  <c r="R28" i="3"/>
  <c r="U28" i="3"/>
  <c r="N29" i="3"/>
  <c r="Q28" i="3"/>
  <c r="U26" i="6"/>
  <c r="Q26" i="6"/>
  <c r="S26" i="6"/>
  <c r="X26" i="6"/>
  <c r="R26" i="6"/>
  <c r="T26" i="6"/>
  <c r="P26" i="6"/>
  <c r="N27" i="6"/>
  <c r="V25" i="6"/>
  <c r="N27" i="5"/>
  <c r="U26" i="5"/>
  <c r="Q26" i="5"/>
  <c r="X26" i="5"/>
  <c r="T26" i="5"/>
  <c r="P26" i="5"/>
  <c r="W26" i="5"/>
  <c r="V26" i="5"/>
  <c r="AA26" i="5"/>
  <c r="S26" i="5"/>
  <c r="R26" i="5"/>
  <c r="Y25" i="1"/>
  <c r="N27" i="1"/>
  <c r="U26" i="1"/>
  <c r="Q26" i="1"/>
  <c r="AA26" i="1"/>
  <c r="X26" i="1"/>
  <c r="T26" i="1"/>
  <c r="P26" i="1"/>
  <c r="V26" i="1"/>
  <c r="W26" i="1"/>
  <c r="S26" i="1"/>
  <c r="R26" i="1"/>
  <c r="V26" i="2"/>
  <c r="N28" i="4"/>
  <c r="R27" i="4"/>
  <c r="U27" i="4"/>
  <c r="Q27" i="4"/>
  <c r="X27" i="4"/>
  <c r="T27" i="4"/>
  <c r="P27" i="4"/>
  <c r="S27" i="4"/>
  <c r="Y25" i="5"/>
  <c r="Y26" i="1" l="1"/>
  <c r="N28" i="6"/>
  <c r="R27" i="6"/>
  <c r="S27" i="6"/>
  <c r="X27" i="6"/>
  <c r="Q27" i="6"/>
  <c r="U27" i="6"/>
  <c r="T27" i="6"/>
  <c r="P27" i="6"/>
  <c r="Y28" i="3"/>
  <c r="V27" i="4"/>
  <c r="Y26" i="5"/>
  <c r="V26" i="6"/>
  <c r="AA29" i="3"/>
  <c r="V29" i="3"/>
  <c r="R29" i="3"/>
  <c r="U29" i="3"/>
  <c r="Q29" i="3"/>
  <c r="X29" i="3"/>
  <c r="T29" i="3"/>
  <c r="P29" i="3"/>
  <c r="W29" i="3"/>
  <c r="N30" i="3"/>
  <c r="S29" i="3"/>
  <c r="V27" i="2"/>
  <c r="X28" i="4"/>
  <c r="S28" i="4"/>
  <c r="N29" i="4"/>
  <c r="R28" i="4"/>
  <c r="T28" i="4"/>
  <c r="Q28" i="4"/>
  <c r="U28" i="4"/>
  <c r="P28" i="4"/>
  <c r="W27" i="1"/>
  <c r="S27" i="1"/>
  <c r="P27" i="1"/>
  <c r="AA27" i="1"/>
  <c r="V27" i="1"/>
  <c r="R27" i="1"/>
  <c r="X27" i="1"/>
  <c r="N28" i="1"/>
  <c r="U27" i="1"/>
  <c r="Q27" i="1"/>
  <c r="T27" i="1"/>
  <c r="W27" i="5"/>
  <c r="S27" i="5"/>
  <c r="AA27" i="5"/>
  <c r="V27" i="5"/>
  <c r="R27" i="5"/>
  <c r="N28" i="5"/>
  <c r="Q27" i="5"/>
  <c r="X27" i="5"/>
  <c r="P27" i="5"/>
  <c r="U27" i="5"/>
  <c r="T27" i="5"/>
  <c r="X28" i="2"/>
  <c r="S28" i="2"/>
  <c r="N29" i="2"/>
  <c r="R28" i="2"/>
  <c r="U28" i="2"/>
  <c r="Q28" i="2"/>
  <c r="P28" i="2"/>
  <c r="T28" i="2"/>
  <c r="AA30" i="3" l="1"/>
  <c r="V30" i="3"/>
  <c r="R30" i="3"/>
  <c r="U30" i="3"/>
  <c r="Q30" i="3"/>
  <c r="N31" i="3"/>
  <c r="X30" i="3"/>
  <c r="T30" i="3"/>
  <c r="P30" i="3"/>
  <c r="W30" i="3"/>
  <c r="S30" i="3"/>
  <c r="N30" i="4"/>
  <c r="T29" i="4"/>
  <c r="P29" i="4"/>
  <c r="X29" i="4"/>
  <c r="S29" i="4"/>
  <c r="Q29" i="4"/>
  <c r="U29" i="4"/>
  <c r="R29" i="4"/>
  <c r="N30" i="2"/>
  <c r="T29" i="2"/>
  <c r="P29" i="2"/>
  <c r="X29" i="2"/>
  <c r="S29" i="2"/>
  <c r="R29" i="2"/>
  <c r="Q29" i="2"/>
  <c r="U29" i="2"/>
  <c r="N29" i="5"/>
  <c r="U28" i="5"/>
  <c r="Q28" i="5"/>
  <c r="X28" i="5"/>
  <c r="T28" i="5"/>
  <c r="P28" i="5"/>
  <c r="W28" i="5"/>
  <c r="V28" i="5"/>
  <c r="S28" i="5"/>
  <c r="R28" i="5"/>
  <c r="AA28" i="5"/>
  <c r="X28" i="6"/>
  <c r="S28" i="6"/>
  <c r="R28" i="6"/>
  <c r="Q28" i="6"/>
  <c r="N29" i="6"/>
  <c r="T28" i="6"/>
  <c r="P28" i="6"/>
  <c r="U28" i="6"/>
  <c r="Y27" i="1"/>
  <c r="V28" i="2"/>
  <c r="Y27" i="5"/>
  <c r="N29" i="1"/>
  <c r="U28" i="1"/>
  <c r="Q28" i="1"/>
  <c r="R28" i="1"/>
  <c r="X28" i="1"/>
  <c r="T28" i="1"/>
  <c r="P28" i="1"/>
  <c r="V28" i="1"/>
  <c r="W28" i="1"/>
  <c r="S28" i="1"/>
  <c r="AA28" i="1"/>
  <c r="V28" i="4"/>
  <c r="Y29" i="3"/>
  <c r="V27" i="6"/>
  <c r="Y28" i="1" l="1"/>
  <c r="X30" i="2"/>
  <c r="S30" i="2"/>
  <c r="R30" i="2"/>
  <c r="N31" i="2"/>
  <c r="U30" i="2"/>
  <c r="Q30" i="2"/>
  <c r="T30" i="2"/>
  <c r="P30" i="2"/>
  <c r="N30" i="6"/>
  <c r="T29" i="6"/>
  <c r="P29" i="6"/>
  <c r="X29" i="6"/>
  <c r="R29" i="6"/>
  <c r="Q29" i="6"/>
  <c r="U29" i="6"/>
  <c r="S29" i="6"/>
  <c r="N30" i="5"/>
  <c r="W29" i="5"/>
  <c r="S29" i="5"/>
  <c r="AA29" i="5"/>
  <c r="V29" i="5"/>
  <c r="R29" i="5"/>
  <c r="Q29" i="5"/>
  <c r="X29" i="5"/>
  <c r="P29" i="5"/>
  <c r="U29" i="5"/>
  <c r="T29" i="5"/>
  <c r="X30" i="4"/>
  <c r="S30" i="4"/>
  <c r="R30" i="4"/>
  <c r="N31" i="4"/>
  <c r="P30" i="4"/>
  <c r="U30" i="4"/>
  <c r="T30" i="4"/>
  <c r="Q30" i="4"/>
  <c r="N30" i="1"/>
  <c r="W29" i="1"/>
  <c r="S29" i="1"/>
  <c r="T29" i="1"/>
  <c r="AA29" i="1"/>
  <c r="V29" i="1"/>
  <c r="R29" i="1"/>
  <c r="U29" i="1"/>
  <c r="Q29" i="1"/>
  <c r="X29" i="1"/>
  <c r="P29" i="1"/>
  <c r="V29" i="2"/>
  <c r="V29" i="4"/>
  <c r="U31" i="3"/>
  <c r="Q31" i="3"/>
  <c r="N32" i="3"/>
  <c r="X31" i="3"/>
  <c r="T31" i="3"/>
  <c r="P31" i="3"/>
  <c r="W31" i="3"/>
  <c r="S31" i="3"/>
  <c r="V31" i="3"/>
  <c r="AA31" i="3"/>
  <c r="R31" i="3"/>
  <c r="V28" i="6"/>
  <c r="Y28" i="5"/>
  <c r="Y30" i="3"/>
  <c r="V30" i="2" l="1"/>
  <c r="V30" i="4"/>
  <c r="N32" i="2"/>
  <c r="U31" i="2"/>
  <c r="Q31" i="2"/>
  <c r="T31" i="2"/>
  <c r="P31" i="2"/>
  <c r="X31" i="2"/>
  <c r="S31" i="2"/>
  <c r="R31" i="2"/>
  <c r="N33" i="3"/>
  <c r="X32" i="3"/>
  <c r="T32" i="3"/>
  <c r="P32" i="3"/>
  <c r="W32" i="3"/>
  <c r="S32" i="3"/>
  <c r="AA32" i="3"/>
  <c r="V32" i="3"/>
  <c r="R32" i="3"/>
  <c r="Q32" i="3"/>
  <c r="U32" i="3"/>
  <c r="N32" i="4"/>
  <c r="U31" i="4"/>
  <c r="Q31" i="4"/>
  <c r="T31" i="4"/>
  <c r="P31" i="4"/>
  <c r="X31" i="4"/>
  <c r="R31" i="4"/>
  <c r="S31" i="4"/>
  <c r="V29" i="6"/>
  <c r="W30" i="1"/>
  <c r="S30" i="1"/>
  <c r="T30" i="1"/>
  <c r="AA30" i="1"/>
  <c r="V30" i="1"/>
  <c r="R30" i="1"/>
  <c r="N31" i="1"/>
  <c r="X30" i="1"/>
  <c r="U30" i="1"/>
  <c r="Q30" i="1"/>
  <c r="P30" i="1"/>
  <c r="Y31" i="3"/>
  <c r="Y29" i="1"/>
  <c r="Y29" i="5"/>
  <c r="W30" i="5"/>
  <c r="S30" i="5"/>
  <c r="AA30" i="5"/>
  <c r="V30" i="5"/>
  <c r="R30" i="5"/>
  <c r="U30" i="5"/>
  <c r="N31" i="5"/>
  <c r="T30" i="5"/>
  <c r="X30" i="5"/>
  <c r="Q30" i="5"/>
  <c r="P30" i="5"/>
  <c r="X30" i="6"/>
  <c r="S30" i="6"/>
  <c r="T30" i="6"/>
  <c r="N31" i="6"/>
  <c r="R30" i="6"/>
  <c r="Q30" i="6"/>
  <c r="P30" i="6"/>
  <c r="U30" i="6"/>
  <c r="V30" i="6" l="1"/>
  <c r="V31" i="4"/>
  <c r="X32" i="4"/>
  <c r="S32" i="4"/>
  <c r="R32" i="4"/>
  <c r="Q32" i="4"/>
  <c r="P32" i="4"/>
  <c r="T32" i="4"/>
  <c r="N33" i="4"/>
  <c r="U32" i="4"/>
  <c r="Y32" i="3"/>
  <c r="Y30" i="1"/>
  <c r="AA31" i="1"/>
  <c r="V31" i="1"/>
  <c r="R31" i="1"/>
  <c r="S31" i="1"/>
  <c r="U31" i="1"/>
  <c r="Q31" i="1"/>
  <c r="N32" i="1"/>
  <c r="X31" i="1"/>
  <c r="T31" i="1"/>
  <c r="P31" i="1"/>
  <c r="W31" i="1"/>
  <c r="N32" i="6"/>
  <c r="U31" i="6"/>
  <c r="Q31" i="6"/>
  <c r="P31" i="6"/>
  <c r="T31" i="6"/>
  <c r="S31" i="6"/>
  <c r="R31" i="6"/>
  <c r="X31" i="6"/>
  <c r="Y30" i="5"/>
  <c r="AA31" i="5"/>
  <c r="V31" i="5"/>
  <c r="R31" i="5"/>
  <c r="U31" i="5"/>
  <c r="Q31" i="5"/>
  <c r="N32" i="5"/>
  <c r="X31" i="5"/>
  <c r="P31" i="5"/>
  <c r="W31" i="5"/>
  <c r="S31" i="5"/>
  <c r="T31" i="5"/>
  <c r="X33" i="3"/>
  <c r="T33" i="3"/>
  <c r="P33" i="3"/>
  <c r="N34" i="3"/>
  <c r="W33" i="3"/>
  <c r="S33" i="3"/>
  <c r="V33" i="3"/>
  <c r="U33" i="3"/>
  <c r="AA33" i="3"/>
  <c r="R33" i="3"/>
  <c r="Q33" i="3"/>
  <c r="V31" i="2"/>
  <c r="X32" i="2"/>
  <c r="S32" i="2"/>
  <c r="R32" i="2"/>
  <c r="N33" i="2"/>
  <c r="U32" i="2"/>
  <c r="Q32" i="2"/>
  <c r="P32" i="2"/>
  <c r="T32" i="2"/>
  <c r="V32" i="2" l="1"/>
  <c r="Y31" i="1"/>
  <c r="Y33" i="3"/>
  <c r="U33" i="4"/>
  <c r="Q33" i="4"/>
  <c r="N34" i="4"/>
  <c r="T33" i="4"/>
  <c r="P33" i="4"/>
  <c r="S33" i="4"/>
  <c r="X33" i="4"/>
  <c r="R33" i="4"/>
  <c r="Y31" i="5"/>
  <c r="X32" i="6"/>
  <c r="S32" i="6"/>
  <c r="R32" i="6"/>
  <c r="N33" i="6"/>
  <c r="Q32" i="6"/>
  <c r="U32" i="6"/>
  <c r="T32" i="6"/>
  <c r="P32" i="6"/>
  <c r="U32" i="5"/>
  <c r="Q32" i="5"/>
  <c r="X32" i="5"/>
  <c r="T32" i="5"/>
  <c r="P32" i="5"/>
  <c r="N33" i="5"/>
  <c r="W32" i="5"/>
  <c r="V32" i="5"/>
  <c r="AA32" i="5"/>
  <c r="S32" i="5"/>
  <c r="R32" i="5"/>
  <c r="U33" i="2"/>
  <c r="Q33" i="2"/>
  <c r="N34" i="2"/>
  <c r="T33" i="2"/>
  <c r="P33" i="2"/>
  <c r="X33" i="2"/>
  <c r="S33" i="2"/>
  <c r="R33" i="2"/>
  <c r="X34" i="3"/>
  <c r="T34" i="3"/>
  <c r="P34" i="3"/>
  <c r="W34" i="3"/>
  <c r="S34" i="3"/>
  <c r="Q34" i="3"/>
  <c r="V34" i="3"/>
  <c r="N35" i="3"/>
  <c r="U34" i="3"/>
  <c r="AA34" i="3"/>
  <c r="R34" i="3"/>
  <c r="V31" i="6"/>
  <c r="U32" i="1"/>
  <c r="Q32" i="1"/>
  <c r="R32" i="1"/>
  <c r="X32" i="1"/>
  <c r="T32" i="1"/>
  <c r="P32" i="1"/>
  <c r="AA32" i="1"/>
  <c r="N33" i="1"/>
  <c r="W32" i="1"/>
  <c r="S32" i="1"/>
  <c r="V32" i="1"/>
  <c r="V32" i="4"/>
  <c r="Y34" i="3" l="1"/>
  <c r="T34" i="2"/>
  <c r="P34" i="2"/>
  <c r="N35" i="2"/>
  <c r="X34" i="2"/>
  <c r="S34" i="2"/>
  <c r="R34" i="2"/>
  <c r="U34" i="2"/>
  <c r="Q34" i="2"/>
  <c r="T34" i="4"/>
  <c r="P34" i="4"/>
  <c r="N35" i="4"/>
  <c r="X34" i="4"/>
  <c r="S34" i="4"/>
  <c r="R34" i="4"/>
  <c r="Q34" i="4"/>
  <c r="U34" i="4"/>
  <c r="Y32" i="1"/>
  <c r="Y32" i="5"/>
  <c r="U33" i="5"/>
  <c r="Q33" i="5"/>
  <c r="X33" i="5"/>
  <c r="T33" i="5"/>
  <c r="P33" i="5"/>
  <c r="N34" i="5"/>
  <c r="W33" i="5"/>
  <c r="V33" i="5"/>
  <c r="R33" i="5"/>
  <c r="AA33" i="5"/>
  <c r="S33" i="5"/>
  <c r="V33" i="2"/>
  <c r="V32" i="6"/>
  <c r="U33" i="6"/>
  <c r="Q33" i="6"/>
  <c r="P33" i="6"/>
  <c r="T33" i="6"/>
  <c r="X33" i="6"/>
  <c r="S33" i="6"/>
  <c r="N34" i="6"/>
  <c r="R33" i="6"/>
  <c r="V33" i="4"/>
  <c r="N34" i="1"/>
  <c r="W33" i="1"/>
  <c r="AA33" i="1"/>
  <c r="U33" i="1"/>
  <c r="Q33" i="1"/>
  <c r="T33" i="1"/>
  <c r="P33" i="1"/>
  <c r="R33" i="1"/>
  <c r="X33" i="1"/>
  <c r="S33" i="1"/>
  <c r="V33" i="1"/>
  <c r="N36" i="3"/>
  <c r="U35" i="3"/>
  <c r="Q35" i="3"/>
  <c r="X35" i="3"/>
  <c r="T35" i="3"/>
  <c r="P35" i="3"/>
  <c r="S35" i="3"/>
  <c r="AA35" i="3"/>
  <c r="R35" i="3"/>
  <c r="W35" i="3"/>
  <c r="V35" i="3"/>
  <c r="T34" i="6" l="1"/>
  <c r="P34" i="6"/>
  <c r="S34" i="6"/>
  <c r="X34" i="6"/>
  <c r="R34" i="6"/>
  <c r="N35" i="6"/>
  <c r="U34" i="6"/>
  <c r="Q34" i="6"/>
  <c r="V33" i="6"/>
  <c r="V34" i="4"/>
  <c r="V34" i="2"/>
  <c r="Y33" i="5"/>
  <c r="T35" i="4"/>
  <c r="P35" i="4"/>
  <c r="X35" i="4"/>
  <c r="S35" i="4"/>
  <c r="N36" i="4"/>
  <c r="R35" i="4"/>
  <c r="Q35" i="4"/>
  <c r="U35" i="4"/>
  <c r="Y35" i="3"/>
  <c r="U34" i="1"/>
  <c r="Q34" i="1"/>
  <c r="W34" i="1"/>
  <c r="S34" i="1"/>
  <c r="AA34" i="1"/>
  <c r="R34" i="1"/>
  <c r="X34" i="1"/>
  <c r="P34" i="1"/>
  <c r="T34" i="1"/>
  <c r="N35" i="1"/>
  <c r="V34" i="1"/>
  <c r="Y33" i="1"/>
  <c r="T35" i="2"/>
  <c r="P35" i="2"/>
  <c r="X35" i="2"/>
  <c r="S35" i="2"/>
  <c r="N36" i="2"/>
  <c r="R35" i="2"/>
  <c r="U35" i="2"/>
  <c r="Q35" i="2"/>
  <c r="W36" i="3"/>
  <c r="S36" i="3"/>
  <c r="N37" i="3"/>
  <c r="AA36" i="3"/>
  <c r="V36" i="3"/>
  <c r="R36" i="3"/>
  <c r="T36" i="3"/>
  <c r="Q36" i="3"/>
  <c r="X36" i="3"/>
  <c r="P36" i="3"/>
  <c r="U36" i="3"/>
  <c r="U34" i="5"/>
  <c r="Q34" i="5"/>
  <c r="X34" i="5"/>
  <c r="T34" i="5"/>
  <c r="P34" i="5"/>
  <c r="N35" i="5"/>
  <c r="W34" i="5"/>
  <c r="V34" i="5"/>
  <c r="R34" i="5"/>
  <c r="AA34" i="5"/>
  <c r="S34" i="5"/>
  <c r="Y36" i="3" l="1"/>
  <c r="V35" i="2"/>
  <c r="AA35" i="1"/>
  <c r="V35" i="1"/>
  <c r="R35" i="1"/>
  <c r="X35" i="1"/>
  <c r="T35" i="1"/>
  <c r="P35" i="1"/>
  <c r="S35" i="1"/>
  <c r="U35" i="1"/>
  <c r="Q35" i="1"/>
  <c r="N36" i="1"/>
  <c r="W35" i="1"/>
  <c r="X37" i="3"/>
  <c r="T37" i="3"/>
  <c r="P37" i="3"/>
  <c r="W37" i="3"/>
  <c r="S37" i="3"/>
  <c r="AA37" i="3"/>
  <c r="R37" i="3"/>
  <c r="N38" i="3"/>
  <c r="Q37" i="3"/>
  <c r="V37" i="3"/>
  <c r="U37" i="3"/>
  <c r="AA35" i="5"/>
  <c r="V35" i="5"/>
  <c r="R35" i="5"/>
  <c r="N36" i="5"/>
  <c r="U35" i="5"/>
  <c r="Q35" i="5"/>
  <c r="W35" i="5"/>
  <c r="T35" i="5"/>
  <c r="P35" i="5"/>
  <c r="X35" i="5"/>
  <c r="S35" i="5"/>
  <c r="U36" i="2"/>
  <c r="Q36" i="2"/>
  <c r="T36" i="2"/>
  <c r="P36" i="2"/>
  <c r="X36" i="2"/>
  <c r="S36" i="2"/>
  <c r="N37" i="2"/>
  <c r="R36" i="2"/>
  <c r="V35" i="4"/>
  <c r="T35" i="6"/>
  <c r="P35" i="6"/>
  <c r="S35" i="6"/>
  <c r="X35" i="6"/>
  <c r="R35" i="6"/>
  <c r="U35" i="6"/>
  <c r="N36" i="6"/>
  <c r="Q35" i="6"/>
  <c r="V34" i="6"/>
  <c r="Y34" i="5"/>
  <c r="Y34" i="1"/>
  <c r="U36" i="4"/>
  <c r="Q36" i="4"/>
  <c r="T36" i="4"/>
  <c r="P36" i="4"/>
  <c r="X36" i="4"/>
  <c r="N37" i="4"/>
  <c r="S36" i="4"/>
  <c r="R36" i="4"/>
  <c r="Y35" i="1" l="1"/>
  <c r="X36" i="5"/>
  <c r="T36" i="5"/>
  <c r="P36" i="5"/>
  <c r="W36" i="5"/>
  <c r="S36" i="5"/>
  <c r="Q36" i="5"/>
  <c r="V36" i="5"/>
  <c r="N37" i="5"/>
  <c r="AA36" i="5"/>
  <c r="U36" i="5"/>
  <c r="R36" i="5"/>
  <c r="Y37" i="3"/>
  <c r="V36" i="4"/>
  <c r="U36" i="6"/>
  <c r="Q36" i="6"/>
  <c r="S36" i="6"/>
  <c r="X36" i="6"/>
  <c r="R36" i="6"/>
  <c r="T36" i="6"/>
  <c r="N37" i="6"/>
  <c r="P36" i="6"/>
  <c r="V36" i="2"/>
  <c r="X36" i="1"/>
  <c r="T36" i="1"/>
  <c r="P36" i="1"/>
  <c r="N37" i="1"/>
  <c r="AA36" i="1"/>
  <c r="V36" i="1"/>
  <c r="R36" i="1"/>
  <c r="S36" i="1"/>
  <c r="Q36" i="1"/>
  <c r="W36" i="1"/>
  <c r="U36" i="1"/>
  <c r="V35" i="6"/>
  <c r="N38" i="2"/>
  <c r="R37" i="2"/>
  <c r="U37" i="2"/>
  <c r="Q37" i="2"/>
  <c r="T37" i="2"/>
  <c r="P37" i="2"/>
  <c r="X37" i="2"/>
  <c r="S37" i="2"/>
  <c r="N38" i="4"/>
  <c r="R37" i="4"/>
  <c r="U37" i="4"/>
  <c r="Q37" i="4"/>
  <c r="S37" i="4"/>
  <c r="P37" i="4"/>
  <c r="X37" i="4"/>
  <c r="T37" i="4"/>
  <c r="Y35" i="5"/>
  <c r="U38" i="3"/>
  <c r="Q38" i="3"/>
  <c r="X38" i="3"/>
  <c r="T38" i="3"/>
  <c r="P38" i="3"/>
  <c r="AA38" i="3"/>
  <c r="R38" i="3"/>
  <c r="N39" i="3"/>
  <c r="W38" i="3"/>
  <c r="V38" i="3"/>
  <c r="S38" i="3"/>
  <c r="V37" i="4" l="1"/>
  <c r="V37" i="2"/>
  <c r="N38" i="6"/>
  <c r="R37" i="6"/>
  <c r="S37" i="6"/>
  <c r="X37" i="6"/>
  <c r="Q37" i="6"/>
  <c r="T37" i="6"/>
  <c r="P37" i="6"/>
  <c r="U37" i="6"/>
  <c r="U37" i="5"/>
  <c r="Q37" i="5"/>
  <c r="X37" i="5"/>
  <c r="T37" i="5"/>
  <c r="P37" i="5"/>
  <c r="V37" i="5"/>
  <c r="S37" i="5"/>
  <c r="R37" i="5"/>
  <c r="AA37" i="5"/>
  <c r="W37" i="5"/>
  <c r="N38" i="5"/>
  <c r="X38" i="4"/>
  <c r="S38" i="4"/>
  <c r="N39" i="4"/>
  <c r="R38" i="4"/>
  <c r="P38" i="4"/>
  <c r="U38" i="4"/>
  <c r="Q38" i="4"/>
  <c r="T38" i="4"/>
  <c r="X38" i="2"/>
  <c r="S38" i="2"/>
  <c r="N39" i="2"/>
  <c r="R38" i="2"/>
  <c r="U38" i="2"/>
  <c r="Q38" i="2"/>
  <c r="P38" i="2"/>
  <c r="T38" i="2"/>
  <c r="Y36" i="5"/>
  <c r="AA39" i="3"/>
  <c r="V39" i="3"/>
  <c r="R39" i="3"/>
  <c r="U39" i="3"/>
  <c r="Q39" i="3"/>
  <c r="X39" i="3"/>
  <c r="P39" i="3"/>
  <c r="N40" i="3"/>
  <c r="W39" i="3"/>
  <c r="T39" i="3"/>
  <c r="S39" i="3"/>
  <c r="U37" i="1"/>
  <c r="Q37" i="1"/>
  <c r="W37" i="1"/>
  <c r="S37" i="1"/>
  <c r="N38" i="1"/>
  <c r="AA37" i="1"/>
  <c r="R37" i="1"/>
  <c r="X37" i="1"/>
  <c r="P37" i="1"/>
  <c r="T37" i="1"/>
  <c r="V37" i="1"/>
  <c r="Y38" i="3"/>
  <c r="Y36" i="1"/>
  <c r="V36" i="6"/>
  <c r="Y37" i="1" l="1"/>
  <c r="V38" i="4"/>
  <c r="Y39" i="3"/>
  <c r="N39" i="5"/>
  <c r="AA38" i="5"/>
  <c r="V38" i="5"/>
  <c r="R38" i="5"/>
  <c r="U38" i="5"/>
  <c r="Q38" i="5"/>
  <c r="T38" i="5"/>
  <c r="S38" i="5"/>
  <c r="X38" i="5"/>
  <c r="W38" i="5"/>
  <c r="P38" i="5"/>
  <c r="V37" i="6"/>
  <c r="V38" i="2"/>
  <c r="T39" i="2"/>
  <c r="P39" i="2"/>
  <c r="N40" i="2"/>
  <c r="X39" i="2"/>
  <c r="S39" i="2"/>
  <c r="R39" i="2"/>
  <c r="Q39" i="2"/>
  <c r="U39" i="2"/>
  <c r="T39" i="4"/>
  <c r="P39" i="4"/>
  <c r="N40" i="4"/>
  <c r="X39" i="4"/>
  <c r="S39" i="4"/>
  <c r="U39" i="4"/>
  <c r="R39" i="4"/>
  <c r="Q39" i="4"/>
  <c r="N39" i="1"/>
  <c r="AA38" i="1"/>
  <c r="V38" i="1"/>
  <c r="R38" i="1"/>
  <c r="X38" i="1"/>
  <c r="T38" i="1"/>
  <c r="P38" i="1"/>
  <c r="W38" i="1"/>
  <c r="Q38" i="1"/>
  <c r="U38" i="1"/>
  <c r="S38" i="1"/>
  <c r="U40" i="3"/>
  <c r="Q40" i="3"/>
  <c r="X40" i="3"/>
  <c r="T40" i="3"/>
  <c r="P40" i="3"/>
  <c r="AA40" i="3"/>
  <c r="R40" i="3"/>
  <c r="W40" i="3"/>
  <c r="N41" i="3"/>
  <c r="V40" i="3"/>
  <c r="S40" i="3"/>
  <c r="Y37" i="5"/>
  <c r="X38" i="6"/>
  <c r="S38" i="6"/>
  <c r="R38" i="6"/>
  <c r="Q38" i="6"/>
  <c r="N39" i="6"/>
  <c r="P38" i="6"/>
  <c r="U38" i="6"/>
  <c r="T38" i="6"/>
  <c r="Y38" i="5" l="1"/>
  <c r="V39" i="4"/>
  <c r="V39" i="2"/>
  <c r="V38" i="6"/>
  <c r="W39" i="1"/>
  <c r="S39" i="1"/>
  <c r="U39" i="1"/>
  <c r="Q39" i="1"/>
  <c r="N40" i="1"/>
  <c r="X39" i="1"/>
  <c r="P39" i="1"/>
  <c r="V39" i="1"/>
  <c r="AA39" i="1"/>
  <c r="T39" i="1"/>
  <c r="R39" i="1"/>
  <c r="T39" i="6"/>
  <c r="P39" i="6"/>
  <c r="X39" i="6"/>
  <c r="R39" i="6"/>
  <c r="Q39" i="6"/>
  <c r="N40" i="6"/>
  <c r="U39" i="6"/>
  <c r="S39" i="6"/>
  <c r="AA41" i="3"/>
  <c r="V41" i="3"/>
  <c r="R41" i="3"/>
  <c r="N42" i="3"/>
  <c r="U41" i="3"/>
  <c r="Q41" i="3"/>
  <c r="S41" i="3"/>
  <c r="X41" i="3"/>
  <c r="P41" i="3"/>
  <c r="W41" i="3"/>
  <c r="T41" i="3"/>
  <c r="Y40" i="3"/>
  <c r="W39" i="5"/>
  <c r="S39" i="5"/>
  <c r="AA39" i="5"/>
  <c r="V39" i="5"/>
  <c r="R39" i="5"/>
  <c r="T39" i="5"/>
  <c r="Q39" i="5"/>
  <c r="N40" i="5"/>
  <c r="X39" i="5"/>
  <c r="U39" i="5"/>
  <c r="P39" i="5"/>
  <c r="Y38" i="1"/>
  <c r="N41" i="4"/>
  <c r="T40" i="4"/>
  <c r="P40" i="4"/>
  <c r="X40" i="4"/>
  <c r="S40" i="4"/>
  <c r="U40" i="4"/>
  <c r="R40" i="4"/>
  <c r="Q40" i="4"/>
  <c r="N41" i="2"/>
  <c r="T40" i="2"/>
  <c r="P40" i="2"/>
  <c r="X40" i="2"/>
  <c r="S40" i="2"/>
  <c r="R40" i="2"/>
  <c r="U40" i="2"/>
  <c r="Q40" i="2"/>
  <c r="Y39" i="5" l="1"/>
  <c r="V40" i="2"/>
  <c r="V40" i="4"/>
  <c r="N41" i="6"/>
  <c r="T40" i="6"/>
  <c r="P40" i="6"/>
  <c r="X40" i="6"/>
  <c r="R40" i="6"/>
  <c r="Q40" i="6"/>
  <c r="S40" i="6"/>
  <c r="U40" i="6"/>
  <c r="V39" i="6"/>
  <c r="N41" i="1"/>
  <c r="AA40" i="1"/>
  <c r="V40" i="1"/>
  <c r="R40" i="1"/>
  <c r="X40" i="1"/>
  <c r="T40" i="1"/>
  <c r="P40" i="1"/>
  <c r="W40" i="1"/>
  <c r="Q40" i="1"/>
  <c r="U40" i="1"/>
  <c r="S40" i="1"/>
  <c r="X41" i="2"/>
  <c r="S41" i="2"/>
  <c r="N42" i="2"/>
  <c r="R41" i="2"/>
  <c r="U41" i="2"/>
  <c r="Q41" i="2"/>
  <c r="P41" i="2"/>
  <c r="T41" i="2"/>
  <c r="X41" i="4"/>
  <c r="S41" i="4"/>
  <c r="N42" i="4"/>
  <c r="R41" i="4"/>
  <c r="Q41" i="4"/>
  <c r="P41" i="4"/>
  <c r="T41" i="4"/>
  <c r="U41" i="4"/>
  <c r="Y41" i="3"/>
  <c r="N41" i="5"/>
  <c r="AA40" i="5"/>
  <c r="V40" i="5"/>
  <c r="R40" i="5"/>
  <c r="U40" i="5"/>
  <c r="Q40" i="5"/>
  <c r="T40" i="5"/>
  <c r="S40" i="5"/>
  <c r="X40" i="5"/>
  <c r="W40" i="5"/>
  <c r="P40" i="5"/>
  <c r="X42" i="3"/>
  <c r="T42" i="3"/>
  <c r="P42" i="3"/>
  <c r="W42" i="3"/>
  <c r="S42" i="3"/>
  <c r="V42" i="3"/>
  <c r="U42" i="3"/>
  <c r="N43" i="3"/>
  <c r="AA42" i="3"/>
  <c r="R42" i="3"/>
  <c r="Q42" i="3"/>
  <c r="Y39" i="1"/>
  <c r="V41" i="2" l="1"/>
  <c r="Y42" i="3"/>
  <c r="W41" i="5"/>
  <c r="S41" i="5"/>
  <c r="AA41" i="5"/>
  <c r="V41" i="5"/>
  <c r="R41" i="5"/>
  <c r="X41" i="5"/>
  <c r="P41" i="5"/>
  <c r="U41" i="5"/>
  <c r="T41" i="5"/>
  <c r="Q41" i="5"/>
  <c r="N42" i="5"/>
  <c r="V41" i="4"/>
  <c r="W41" i="1"/>
  <c r="S41" i="1"/>
  <c r="N42" i="1"/>
  <c r="U41" i="1"/>
  <c r="Q41" i="1"/>
  <c r="AA41" i="1"/>
  <c r="R41" i="1"/>
  <c r="X41" i="1"/>
  <c r="P41" i="1"/>
  <c r="V41" i="1"/>
  <c r="T41" i="1"/>
  <c r="T42" i="4"/>
  <c r="P42" i="4"/>
  <c r="X42" i="4"/>
  <c r="S42" i="4"/>
  <c r="Q42" i="4"/>
  <c r="U42" i="4"/>
  <c r="R42" i="4"/>
  <c r="N43" i="4"/>
  <c r="T42" i="2"/>
  <c r="P42" i="2"/>
  <c r="N43" i="2"/>
  <c r="X42" i="2"/>
  <c r="S42" i="2"/>
  <c r="R42" i="2"/>
  <c r="U42" i="2"/>
  <c r="Q42" i="2"/>
  <c r="V40" i="6"/>
  <c r="X41" i="6"/>
  <c r="S41" i="6"/>
  <c r="Q41" i="6"/>
  <c r="U41" i="6"/>
  <c r="P41" i="6"/>
  <c r="T41" i="6"/>
  <c r="R41" i="6"/>
  <c r="N42" i="6"/>
  <c r="AA43" i="3"/>
  <c r="V43" i="3"/>
  <c r="R43" i="3"/>
  <c r="N44" i="3"/>
  <c r="U43" i="3"/>
  <c r="Q43" i="3"/>
  <c r="S43" i="3"/>
  <c r="X43" i="3"/>
  <c r="P43" i="3"/>
  <c r="W43" i="3"/>
  <c r="T43" i="3"/>
  <c r="Y40" i="5"/>
  <c r="Y40" i="1"/>
  <c r="Y41" i="5" l="1"/>
  <c r="N43" i="5"/>
  <c r="U42" i="5"/>
  <c r="Q42" i="5"/>
  <c r="X42" i="5"/>
  <c r="T42" i="5"/>
  <c r="P42" i="5"/>
  <c r="V42" i="5"/>
  <c r="S42" i="5"/>
  <c r="AA42" i="5"/>
  <c r="W42" i="5"/>
  <c r="R42" i="5"/>
  <c r="T43" i="2"/>
  <c r="P43" i="2"/>
  <c r="N44" i="2"/>
  <c r="X43" i="2"/>
  <c r="S43" i="2"/>
  <c r="R43" i="2"/>
  <c r="U43" i="2"/>
  <c r="Q43" i="2"/>
  <c r="T43" i="4"/>
  <c r="P43" i="4"/>
  <c r="X43" i="4"/>
  <c r="R43" i="4"/>
  <c r="N44" i="4"/>
  <c r="Q43" i="4"/>
  <c r="U43" i="4"/>
  <c r="S43" i="4"/>
  <c r="N43" i="1"/>
  <c r="U42" i="1"/>
  <c r="Q42" i="1"/>
  <c r="W42" i="1"/>
  <c r="S42" i="1"/>
  <c r="T42" i="1"/>
  <c r="AA42" i="1"/>
  <c r="R42" i="1"/>
  <c r="X42" i="1"/>
  <c r="P42" i="1"/>
  <c r="V42" i="1"/>
  <c r="Y43" i="3"/>
  <c r="V41" i="6"/>
  <c r="V42" i="2"/>
  <c r="V42" i="4"/>
  <c r="Y41" i="1"/>
  <c r="X44" i="3"/>
  <c r="T44" i="3"/>
  <c r="P44" i="3"/>
  <c r="W44" i="3"/>
  <c r="S44" i="3"/>
  <c r="U44" i="3"/>
  <c r="AA44" i="3"/>
  <c r="R44" i="3"/>
  <c r="N45" i="3"/>
  <c r="Q44" i="3"/>
  <c r="V44" i="3"/>
  <c r="T42" i="6"/>
  <c r="P42" i="6"/>
  <c r="X42" i="6"/>
  <c r="R42" i="6"/>
  <c r="N43" i="6"/>
  <c r="Q42" i="6"/>
  <c r="U42" i="6"/>
  <c r="S42" i="6"/>
  <c r="V42" i="6" l="1"/>
  <c r="AA45" i="3"/>
  <c r="V45" i="3"/>
  <c r="R45" i="3"/>
  <c r="U45" i="3"/>
  <c r="Q45" i="3"/>
  <c r="N46" i="3"/>
  <c r="S45" i="3"/>
  <c r="X45" i="3"/>
  <c r="P45" i="3"/>
  <c r="W45" i="3"/>
  <c r="T45" i="3"/>
  <c r="W43" i="1"/>
  <c r="S43" i="1"/>
  <c r="N44" i="1"/>
  <c r="U43" i="1"/>
  <c r="Q43" i="1"/>
  <c r="V43" i="1"/>
  <c r="P43" i="1"/>
  <c r="T43" i="1"/>
  <c r="AA43" i="1"/>
  <c r="R43" i="1"/>
  <c r="X43" i="1"/>
  <c r="T43" i="6"/>
  <c r="P43" i="6"/>
  <c r="N44" i="6"/>
  <c r="Q43" i="6"/>
  <c r="U43" i="6"/>
  <c r="X43" i="6"/>
  <c r="S43" i="6"/>
  <c r="R43" i="6"/>
  <c r="T44" i="4"/>
  <c r="P44" i="4"/>
  <c r="Q44" i="4"/>
  <c r="U44" i="4"/>
  <c r="X44" i="4"/>
  <c r="S44" i="4"/>
  <c r="N45" i="4"/>
  <c r="R44" i="4"/>
  <c r="Y44" i="3"/>
  <c r="T44" i="2"/>
  <c r="P44" i="2"/>
  <c r="X44" i="2"/>
  <c r="S44" i="2"/>
  <c r="R44" i="2"/>
  <c r="N45" i="2"/>
  <c r="U44" i="2"/>
  <c r="Q44" i="2"/>
  <c r="Y42" i="5"/>
  <c r="Y42" i="1"/>
  <c r="V43" i="4"/>
  <c r="V43" i="2"/>
  <c r="W43" i="5"/>
  <c r="S43" i="5"/>
  <c r="AA43" i="5"/>
  <c r="V43" i="5"/>
  <c r="R43" i="5"/>
  <c r="X43" i="5"/>
  <c r="P43" i="5"/>
  <c r="N44" i="5"/>
  <c r="U43" i="5"/>
  <c r="T43" i="5"/>
  <c r="Q43" i="5"/>
  <c r="V43" i="6" l="1"/>
  <c r="N45" i="5"/>
  <c r="U44" i="5"/>
  <c r="Q44" i="5"/>
  <c r="X44" i="5"/>
  <c r="AA44" i="5"/>
  <c r="S44" i="5"/>
  <c r="W44" i="5"/>
  <c r="R44" i="5"/>
  <c r="P44" i="5"/>
  <c r="V44" i="5"/>
  <c r="T44" i="5"/>
  <c r="Y43" i="5"/>
  <c r="Y43" i="1"/>
  <c r="N45" i="1"/>
  <c r="U44" i="1"/>
  <c r="Q44" i="1"/>
  <c r="W44" i="1"/>
  <c r="S44" i="1"/>
  <c r="X44" i="1"/>
  <c r="P44" i="1"/>
  <c r="V44" i="1"/>
  <c r="T44" i="1"/>
  <c r="AA44" i="1"/>
  <c r="R44" i="1"/>
  <c r="N47" i="3"/>
  <c r="AA46" i="3"/>
  <c r="V46" i="3"/>
  <c r="R46" i="3"/>
  <c r="U46" i="3"/>
  <c r="Q46" i="3"/>
  <c r="W46" i="3"/>
  <c r="T46" i="3"/>
  <c r="S46" i="3"/>
  <c r="X46" i="3"/>
  <c r="P46" i="3"/>
  <c r="V44" i="4"/>
  <c r="R45" i="2"/>
  <c r="U45" i="2"/>
  <c r="Q45" i="2"/>
  <c r="T45" i="2"/>
  <c r="P45" i="2"/>
  <c r="N46" i="2"/>
  <c r="X45" i="2"/>
  <c r="S45" i="2"/>
  <c r="V44" i="2"/>
  <c r="R45" i="4"/>
  <c r="X45" i="4"/>
  <c r="Q45" i="4"/>
  <c r="N46" i="4"/>
  <c r="U45" i="4"/>
  <c r="P45" i="4"/>
  <c r="T45" i="4"/>
  <c r="S45" i="4"/>
  <c r="T44" i="6"/>
  <c r="P44" i="6"/>
  <c r="U44" i="6"/>
  <c r="N45" i="6"/>
  <c r="S44" i="6"/>
  <c r="X44" i="6"/>
  <c r="R44" i="6"/>
  <c r="Q44" i="6"/>
  <c r="Y45" i="3"/>
  <c r="Y44" i="1" l="1"/>
  <c r="V44" i="6"/>
  <c r="R46" i="2"/>
  <c r="U46" i="2"/>
  <c r="Q46" i="2"/>
  <c r="T46" i="2"/>
  <c r="P46" i="2"/>
  <c r="S46" i="2"/>
  <c r="N47" i="2"/>
  <c r="X46" i="2"/>
  <c r="N46" i="1"/>
  <c r="W45" i="1"/>
  <c r="S45" i="1"/>
  <c r="U45" i="1"/>
  <c r="Q45" i="1"/>
  <c r="X45" i="1"/>
  <c r="P45" i="1"/>
  <c r="R45" i="1"/>
  <c r="V45" i="1"/>
  <c r="T45" i="1"/>
  <c r="AA45" i="1"/>
  <c r="V45" i="4"/>
  <c r="Y46" i="3"/>
  <c r="R45" i="6"/>
  <c r="N46" i="6"/>
  <c r="U45" i="6"/>
  <c r="P45" i="6"/>
  <c r="T45" i="6"/>
  <c r="X45" i="6"/>
  <c r="S45" i="6"/>
  <c r="Q45" i="6"/>
  <c r="R46" i="4"/>
  <c r="N47" i="4"/>
  <c r="U46" i="4"/>
  <c r="P46" i="4"/>
  <c r="T46" i="4"/>
  <c r="X46" i="4"/>
  <c r="S46" i="4"/>
  <c r="Q46" i="4"/>
  <c r="V45" i="2"/>
  <c r="W47" i="3"/>
  <c r="S47" i="3"/>
  <c r="N48" i="3"/>
  <c r="AA47" i="3"/>
  <c r="V47" i="3"/>
  <c r="R47" i="3"/>
  <c r="Q47" i="3"/>
  <c r="X47" i="3"/>
  <c r="P47" i="3"/>
  <c r="U47" i="3"/>
  <c r="T47" i="3"/>
  <c r="Y44" i="5"/>
  <c r="N46" i="5"/>
  <c r="W45" i="5"/>
  <c r="S45" i="5"/>
  <c r="AA45" i="5"/>
  <c r="V45" i="5"/>
  <c r="R45" i="5"/>
  <c r="Q45" i="5"/>
  <c r="X45" i="5"/>
  <c r="P45" i="5"/>
  <c r="U45" i="5"/>
  <c r="T45" i="5"/>
  <c r="V46" i="4" l="1"/>
  <c r="Y45" i="1"/>
  <c r="N48" i="2"/>
  <c r="R47" i="2"/>
  <c r="U47" i="2"/>
  <c r="Q47" i="2"/>
  <c r="T47" i="2"/>
  <c r="P47" i="2"/>
  <c r="X47" i="2"/>
  <c r="S47" i="2"/>
  <c r="Y45" i="5"/>
  <c r="X46" i="5"/>
  <c r="T46" i="5"/>
  <c r="P46" i="5"/>
  <c r="W46" i="5"/>
  <c r="S46" i="5"/>
  <c r="N47" i="5"/>
  <c r="AA46" i="5"/>
  <c r="V46" i="5"/>
  <c r="R46" i="5"/>
  <c r="Q46" i="5"/>
  <c r="U46" i="5"/>
  <c r="N48" i="4"/>
  <c r="R47" i="4"/>
  <c r="T47" i="4"/>
  <c r="S47" i="4"/>
  <c r="U47" i="4"/>
  <c r="Q47" i="4"/>
  <c r="X47" i="4"/>
  <c r="P47" i="4"/>
  <c r="V45" i="6"/>
  <c r="W46" i="1"/>
  <c r="S46" i="1"/>
  <c r="U46" i="1"/>
  <c r="Q46" i="1"/>
  <c r="V46" i="1"/>
  <c r="P46" i="1"/>
  <c r="N47" i="1"/>
  <c r="T46" i="1"/>
  <c r="AA46" i="1"/>
  <c r="R46" i="1"/>
  <c r="X46" i="1"/>
  <c r="V46" i="2"/>
  <c r="Y47" i="3"/>
  <c r="R46" i="6"/>
  <c r="T46" i="6"/>
  <c r="S46" i="6"/>
  <c r="N47" i="6"/>
  <c r="X46" i="6"/>
  <c r="U46" i="6"/>
  <c r="Q46" i="6"/>
  <c r="P46" i="6"/>
  <c r="X48" i="3"/>
  <c r="X49" i="3" s="1"/>
  <c r="P59" i="3" s="1"/>
  <c r="R59" i="3" s="1"/>
  <c r="T48" i="3"/>
  <c r="T49" i="3" s="1"/>
  <c r="P48" i="3"/>
  <c r="W48" i="3"/>
  <c r="W49" i="3" s="1"/>
  <c r="S48" i="3"/>
  <c r="V48" i="3"/>
  <c r="V49" i="3" s="1"/>
  <c r="U48" i="3"/>
  <c r="U49" i="3" s="1"/>
  <c r="AA48" i="3"/>
  <c r="R48" i="3"/>
  <c r="R49" i="3" s="1"/>
  <c r="Q48" i="3"/>
  <c r="Q49" i="3" s="1"/>
  <c r="P56" i="3" l="1"/>
  <c r="R56" i="3" s="1"/>
  <c r="P58" i="3"/>
  <c r="R58" i="3" s="1"/>
  <c r="V47" i="4"/>
  <c r="Y46" i="5"/>
  <c r="S49" i="3"/>
  <c r="P57" i="3" s="1"/>
  <c r="R57" i="3" s="1"/>
  <c r="Y46" i="1"/>
  <c r="U47" i="5"/>
  <c r="Q47" i="5"/>
  <c r="X47" i="5"/>
  <c r="T47" i="5"/>
  <c r="P47" i="5"/>
  <c r="W47" i="5"/>
  <c r="S47" i="5"/>
  <c r="N48" i="5"/>
  <c r="AA47" i="5"/>
  <c r="V47" i="5"/>
  <c r="R47" i="5"/>
  <c r="X47" i="1"/>
  <c r="T47" i="1"/>
  <c r="P47" i="1"/>
  <c r="N48" i="1"/>
  <c r="AA47" i="1"/>
  <c r="V47" i="1"/>
  <c r="R47" i="1"/>
  <c r="Q47" i="1"/>
  <c r="W47" i="1"/>
  <c r="U47" i="1"/>
  <c r="S47" i="1"/>
  <c r="V46" i="6"/>
  <c r="N48" i="6"/>
  <c r="R47" i="6"/>
  <c r="S47" i="6"/>
  <c r="X47" i="6"/>
  <c r="Q47" i="6"/>
  <c r="U47" i="6"/>
  <c r="T47" i="6"/>
  <c r="P47" i="6"/>
  <c r="V47" i="2"/>
  <c r="Y48" i="3"/>
  <c r="Y49" i="3" s="1"/>
  <c r="P49" i="3"/>
  <c r="P55" i="3" s="1"/>
  <c r="X48" i="4"/>
  <c r="S48" i="4"/>
  <c r="S49" i="4" s="1"/>
  <c r="T48" i="4"/>
  <c r="T49" i="4" s="1"/>
  <c r="R48" i="4"/>
  <c r="R49" i="4" s="1"/>
  <c r="U48" i="4"/>
  <c r="U49" i="4" s="1"/>
  <c r="P58" i="4" s="1"/>
  <c r="R58" i="4" s="1"/>
  <c r="Q48" i="4"/>
  <c r="Q49" i="4" s="1"/>
  <c r="P56" i="4" s="1"/>
  <c r="R56" i="4" s="1"/>
  <c r="P48" i="4"/>
  <c r="X48" i="2"/>
  <c r="S48" i="2"/>
  <c r="S49" i="2" s="1"/>
  <c r="R48" i="2"/>
  <c r="R49" i="2" s="1"/>
  <c r="U48" i="2"/>
  <c r="U49" i="2" s="1"/>
  <c r="P58" i="2" s="1"/>
  <c r="R58" i="2" s="1"/>
  <c r="Q48" i="2"/>
  <c r="Q49" i="2" s="1"/>
  <c r="P56" i="2" s="1"/>
  <c r="R56" i="2" s="1"/>
  <c r="P48" i="2"/>
  <c r="T48" i="2"/>
  <c r="T49" i="2" s="1"/>
  <c r="AJ53" i="3" l="1"/>
  <c r="AE68" i="3"/>
  <c r="AA48" i="5"/>
  <c r="V48" i="5"/>
  <c r="V49" i="5" s="1"/>
  <c r="R48" i="5"/>
  <c r="R49" i="5" s="1"/>
  <c r="U48" i="5"/>
  <c r="U49" i="5" s="1"/>
  <c r="Q48" i="5"/>
  <c r="Q49" i="5" s="1"/>
  <c r="X48" i="5"/>
  <c r="X49" i="5" s="1"/>
  <c r="P59" i="5" s="1"/>
  <c r="R59" i="5" s="1"/>
  <c r="T48" i="5"/>
  <c r="T49" i="5" s="1"/>
  <c r="P48" i="5"/>
  <c r="W48" i="5"/>
  <c r="W49" i="5" s="1"/>
  <c r="S48" i="5"/>
  <c r="S49" i="5" s="1"/>
  <c r="V48" i="2"/>
  <c r="V49" i="2" s="1"/>
  <c r="AC53" i="2" s="1"/>
  <c r="P49" i="2"/>
  <c r="P55" i="2" s="1"/>
  <c r="V47" i="6"/>
  <c r="U48" i="1"/>
  <c r="U49" i="1" s="1"/>
  <c r="Q48" i="1"/>
  <c r="Q49" i="1" s="1"/>
  <c r="W48" i="1"/>
  <c r="W49" i="1" s="1"/>
  <c r="S48" i="1"/>
  <c r="S49" i="1" s="1"/>
  <c r="T48" i="1"/>
  <c r="T49" i="1" s="1"/>
  <c r="V48" i="1"/>
  <c r="V49" i="1" s="1"/>
  <c r="AA48" i="1"/>
  <c r="R48" i="1"/>
  <c r="R49" i="1" s="1"/>
  <c r="X48" i="1"/>
  <c r="X49" i="1" s="1"/>
  <c r="P59" i="1" s="1"/>
  <c r="R59" i="1" s="1"/>
  <c r="P48" i="1"/>
  <c r="X48" i="6"/>
  <c r="S48" i="6"/>
  <c r="S49" i="6" s="1"/>
  <c r="R48" i="6"/>
  <c r="R49" i="6" s="1"/>
  <c r="Q48" i="6"/>
  <c r="Q49" i="6" s="1"/>
  <c r="P56" i="6" s="1"/>
  <c r="R56" i="6" s="1"/>
  <c r="T48" i="6"/>
  <c r="T49" i="6" s="1"/>
  <c r="P48" i="6"/>
  <c r="U48" i="6"/>
  <c r="U49" i="6" s="1"/>
  <c r="P58" i="6" s="1"/>
  <c r="R58" i="6" s="1"/>
  <c r="P57" i="4"/>
  <c r="R57" i="4" s="1"/>
  <c r="R50" i="4"/>
  <c r="P60" i="3"/>
  <c r="R55" i="3"/>
  <c r="R60" i="3" s="1"/>
  <c r="Y47" i="1"/>
  <c r="S50" i="3"/>
  <c r="P57" i="2"/>
  <c r="R57" i="2" s="1"/>
  <c r="R50" i="2"/>
  <c r="V48" i="4"/>
  <c r="V49" i="4" s="1"/>
  <c r="AC53" i="4" s="1"/>
  <c r="P49" i="4"/>
  <c r="P55" i="4" s="1"/>
  <c r="AE53" i="3"/>
  <c r="AJ38" i="3"/>
  <c r="AJ23" i="3"/>
  <c r="AE23" i="3"/>
  <c r="AE38" i="3"/>
  <c r="B2" i="3"/>
  <c r="B3" i="3" s="1"/>
  <c r="Y47" i="5"/>
  <c r="P56" i="1" l="1"/>
  <c r="R56" i="1" s="1"/>
  <c r="R55" i="4"/>
  <c r="R60" i="4" s="1"/>
  <c r="P60" i="4"/>
  <c r="Y48" i="5"/>
  <c r="Y49" i="5" s="1"/>
  <c r="P49" i="5"/>
  <c r="P55" i="5" s="1"/>
  <c r="Y48" i="1"/>
  <c r="Y49" i="1" s="1"/>
  <c r="P49" i="1"/>
  <c r="P55" i="1" s="1"/>
  <c r="P58" i="1"/>
  <c r="R58" i="1" s="1"/>
  <c r="B2" i="2"/>
  <c r="B3" i="2" s="1"/>
  <c r="AH23" i="2"/>
  <c r="AH38" i="2"/>
  <c r="AC23" i="2"/>
  <c r="AC38" i="2"/>
  <c r="R50" i="6"/>
  <c r="P57" i="6"/>
  <c r="R57" i="6" s="1"/>
  <c r="P57" i="5"/>
  <c r="R57" i="5" s="1"/>
  <c r="S50" i="5"/>
  <c r="P58" i="5"/>
  <c r="R58" i="5" s="1"/>
  <c r="R55" i="2"/>
  <c r="R60" i="2" s="1"/>
  <c r="P60" i="2"/>
  <c r="AH23" i="4"/>
  <c r="AC38" i="4"/>
  <c r="AC23" i="4"/>
  <c r="AH38" i="4"/>
  <c r="B2" i="4"/>
  <c r="B3" i="4" s="1"/>
  <c r="V48" i="6"/>
  <c r="V49" i="6" s="1"/>
  <c r="AC53" i="6" s="1"/>
  <c r="P49" i="6"/>
  <c r="P55" i="6" s="1"/>
  <c r="S50" i="1"/>
  <c r="P57" i="1"/>
  <c r="R57" i="1" s="1"/>
  <c r="P56" i="5"/>
  <c r="R56" i="5" s="1"/>
  <c r="AJ53" i="5" l="1"/>
  <c r="AE68" i="5"/>
  <c r="AJ53" i="1"/>
  <c r="AE68" i="1"/>
  <c r="R55" i="5"/>
  <c r="R60" i="5" s="1"/>
  <c r="P60" i="5"/>
  <c r="AE53" i="5"/>
  <c r="AE23" i="5"/>
  <c r="AJ38" i="5"/>
  <c r="B2" i="5"/>
  <c r="B3" i="5" s="1"/>
  <c r="AE38" i="5"/>
  <c r="AJ23" i="5"/>
  <c r="R55" i="6"/>
  <c r="R60" i="6" s="1"/>
  <c r="P60" i="6"/>
  <c r="R55" i="1"/>
  <c r="R60" i="1" s="1"/>
  <c r="P60" i="1"/>
  <c r="AC38" i="6"/>
  <c r="AH23" i="6"/>
  <c r="AC23" i="6"/>
  <c r="AH38" i="6"/>
  <c r="B2" i="6"/>
  <c r="B3" i="6" s="1"/>
  <c r="AE53" i="1"/>
  <c r="AJ38" i="1"/>
  <c r="AE23" i="1"/>
  <c r="B2" i="1"/>
  <c r="B3" i="1" s="1"/>
  <c r="AJ23" i="1"/>
  <c r="AE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======
ID#AAABMh73WPc
tc={D4CEFC3C-7325-4E34-A64D-30E52256CE03}    (2024-04-29 05:49:13)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V7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======
ID#AAABMh73WQg
tc={928E7189-DF96-4AF8-901E-1C3117C12B69}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W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ID#AAABMh73WSY
tc={928E7189-DF96-4AF9-901E-1C3117C12B69}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J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ID#AAABMh73WTc
tc={447949BB-2DA8-4C13-8345-CA567717F5C4}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katalog DFSK Indonesia (Gelora E)
https://www.dfskmotors.co.id/id/cars/gelora-electric</t>
        </r>
      </text>
    </comment>
    <comment ref="Q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ID#AAABMh73WRQ
tc={BEE3DC45-D192-48E4-B051-DA830092375D}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ID#AAABMh73WSc
tc={F2DB11B4-C1EA-4124-BA56-5F48EB7330B3}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ID#AAABMh73WSk
tc={A37D42ED-632F-4032-8BEB-221C4ED7AA89}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J1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ID#AAABMh73WS0
tc={1441CF6E-179D-48AC-8E2D-BEBA291509B8}    (2024-04-29 05:49:13)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F1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ID#AAABMh73WSg
tc={29BDE6A8-9592-4FCE-892F-B153CE563AAF}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charging as the bottleneck for EV adoption: evaluating the current state of EV charging in Bangkok condominiums 21 July 2022 (gambar d bawah)</t>
        </r>
      </text>
    </comment>
    <comment ref="B14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ID#AAABMh73WQI
tc={385EEFF5-A841-4ED6-BE90-80A2C1B646C9}    (2024-04-29 05:49:13)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F4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ID#AAABMh73WQc
tc={004D7F3F-C5C1-4610-A019-7D9E4061B6F1}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ID#AAABMh73WRE
tc={C56CAB35-0F73-4DA9-9E08-15FB1529777D}    (2024-04-29 05:49:13)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bK8K2AZGJOVUhfmgqLATTYG7V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8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ID#AAABMh73WR4
tc={0DAE8D89-86E1-4540-B1AD-5EC6262507B9}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https://www.dfskmotors.co.id/id</t>
        </r>
      </text>
    </comment>
    <comment ref="Q9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======
ID#AAABMh73WQY
tc={BEE3DC45-D192-48E5-B051-DA830092375D}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ID#AAABMh73WRs
tc={3046DCE9-6897-4413-901B-91764A04CF4F}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F13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======
ID#AAABMh73WQo
tc={B9FFE933-F41C-43D7-8130-8FBE2BD04A9B}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https://www.globalpetrolprices.com/Thailand/</t>
        </r>
      </text>
    </comment>
    <comment ref="B17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ID#AAABMh73WRI
tc={9A9FA5CC-E227-4B66-AD09-B395DB19CBD4}    (2024-04-29 05:49:13)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18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======
ID#AAABMh73WPk
tc={D9C5510D-2743-4CFB-AA85-6930EEE936C2}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Policies in ASEAN Countries, ERIA, Maret 2023. Lihat gambar di bawah</t>
        </r>
      </text>
    </comment>
    <comment ref="F22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======
ID#AAABMh73WPo
tc={7833DF23-FE90-4F19-9FD0-611220B2E488}    (2024-04-29 05:49:13)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2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ID#AAABMh73WTM
tc={053AF28B-115E-4EB5-B0F1-350CE422BB7F}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https://tdl-service.com/vehicle-registration-renewal-in-thailand/</t>
        </r>
      </text>
    </comment>
    <comment ref="F38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======
ID#AAABMh73WPw
tc={004D7F3F-C5C1-4611-A019-7D9E4061B6F1}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IgNaaol0IO07LIf9npN4Eq4JoK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======
ID#AAABMh73WRw
tc={D4CEFC3C-7325-4E34-A64D-30E52256CE03}    (2024-04-29 05:49:13)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V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ID#AAABMh73WTI
tc={928E7189-DF96-4AF8-901E-1C3117C12B69}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W7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ID#AAABMh73WSo
tc={928E7189-DF96-4AF9-901E-1C3117C12B69}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======
ID#AAABMh73WRA
tc={BEE3DC45-D192-48E4-B051-DA830092375D}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======
ID#AAABMh73WQw
tc={E992383A-DDF7-479A-807A-377CA4907051}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2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======
ID#AAABMh73WQA
tc={7456D43F-BC97-45DA-8022-EC4F3EEA5F4D}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J12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======
ID#AAABMh73WP4
tc={E992383A-DDF7-479A-807A-377CA4907051}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3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ID#AAABMh73WSQ
tc={29BDE6A8-9592-4FCE-892F-B153CE563AAF}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charging as the bottleneck for EV adoption: evaluating the current state of EV charging in Bangkok condominiums 21 July 2022 (gambar d bawah)</t>
        </r>
      </text>
    </comment>
    <comment ref="B1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ID#AAABMh73WSA
tc={385EEFF5-A841-4ED6-BE90-80A2C1B646C9}    (2024-04-29 05:49:13)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F17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======
ID#AAABMh73WPs
tc={7E415025-1E65-4AF6-BF70-657FD889AEA0}    (2024-04-29 05:49:13)
[Threaded comment]
Your version of Excel allows you to read this threaded comment; however, any edits to it will get removed if the file is opened in a newer version of Excel. Learn more: https://go.microsoft.com/fwlink/?linkid=870924
Comment:
    The Road Tax or Motor Vehicle User’s Charge in Selected ASEAN Member Countries* 
Registration Fee di Thailand per tahun, sehingga masuk yearly cost. Sumber : Eria, after 5 yr reduces 10%, max at 50%. 
https://tdl-service.com/vehicle-registration-renewal-in-thailand/</t>
        </r>
      </text>
    </comment>
    <comment ref="F19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======
ID#AAABMh73WP8
tc={3D98668A-A23A-425D-9412-AB0A1996288A}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Policies in ASEAN Countries, ERIA, Maret 2023. Lihat gambar di bawah</t>
        </r>
      </text>
    </comment>
    <comment ref="F41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======
ID#AAABMh73WRk
tc={004D7F3F-C5C1-4610-A019-7D9E4061B6F1}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======
ID#AAABMh73WR0
tc={C56CAB35-0F73-4DA9-9E08-15FB1529777D}    (2024-04-29 05:49:13)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yBx8rAncmBSlaUdwOwOzCHUSc0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======
ID#AAABMh73WQ0
tc={BEE3DC45-D192-48E5-B051-DA830092375D}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>======
ID#AAABMh73WQU
tc={383FF0C3-4B60-4814-B3D4-FA915831FB11}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F13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ID#AAABMh73WQ4
tc={B9FFE933-F41C-43D7-8130-8FBE2BD04A9B}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https://www.globalpetrolprices.com/Thailand/</t>
        </r>
      </text>
    </comment>
    <comment ref="F16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>======
ID#AAABMh73WQk
tc={C9983B63-C87C-4CD2-81F9-88D2194F42AC}    (2024-04-29 05:49:13)
[Threaded comment]
Your version of Excel allows you to read this threaded comment; however, any edits to it will get removed if the file is opened in a newer version of Excel. Learn more: https://go.microsoft.com/fwlink/?linkid=870924
Comment:
    The Road Tax or Motor Vehicle User’s Charge in Selected ASEAN Member Countries* 
Registration Fee di Thailand per tahun, sehingga masuk yearly cost. Sumber : Eria, after 5 yr reduces 10%, max at 50%. 
https://tdl-service.com/vehicle-registration-renewal-in-thailand/ 
Weight (19.700 kg) : Bus masuk FRT (Fic Route Transport</t>
        </r>
      </text>
    </comment>
    <comment ref="B17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ID#AAABMh73WSE
tc={9A9FA5CC-E227-4B66-AD09-B395DB19CBD4}    (2024-04-29 05:49:13)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2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ID#AAABMh73WRM
tc={7833DF23-FE90-4F19-9FD0-611220B2E488}    (2024-04-29 05:49:13)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23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ID#AAABMh73WSs
tc={053AF28B-115E-4EB5-B0F1-350CE422BB7F}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https://tdl-service.com/vehicle-registration-renewal-in-thailand/</t>
        </r>
      </text>
    </comment>
    <comment ref="F38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ID#AAABMh73WQ8
tc={004D7F3F-C5C1-4611-A019-7D9E4061B6F1}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i1MBWnTqF3TLCGwfrsT/psTKn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======
ID#AAABMh73WSM
tc={D4CEFC3C-7325-4E34-A64D-30E52256CE03}    (2024-04-29 05:49:13)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V7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ID#AAABMh73WTQ
tc={928E7189-DF96-4AF8-901E-1C3117C12B69}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W7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======
ID#AAABMh73WSI
tc={928E7189-DF96-4AF9-901E-1C3117C12B69}    (2024-04-29 05:49:13)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J8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======
ID#AAABMh73WS4
tc={447949BB-2DA8-4C13-8345-CA567717F5C4}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katalog DFSK Indonesia (Gelora E)
https://www.dfskmotors.co.id/id/cars/gelora-electric</t>
        </r>
      </text>
    </comment>
    <comment ref="Q9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>======
ID#AAABMh73WQs
tc={BEE3DC45-D192-48E4-B051-DA830092375D}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0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ID#AAABMh73WS8
tc={450700D8-7012-433E-8858-6E56FC665719}    (2024-04-29 05:49:13)
[Threaded comment]
Your version of Excel allows you to read this threaded comment; however, any edits to it will get removed if the file is opened in a newer version of Excel. Learn more: https://go.microsoft.com/fwlink/?linkid=870924
Comment:
    Brosur DFSK, lihat gambar di bawah</t>
        </r>
      </text>
    </comment>
    <comment ref="J11" authorId="0" shapeId="0" xr:uid="{00000000-0006-0000-0400-00000F000000}">
      <text>
        <r>
          <rPr>
            <sz val="11"/>
            <color theme="1"/>
            <rFont val="Calibri"/>
            <family val="2"/>
            <scheme val="minor"/>
          </rPr>
          <t>======
ID#AAABMh73WPU
tc={6A9AA96F-8EE4-4CEA-A1D7-6152626D43CC}    (2024-04-29 05:49:13)
[Threaded comment]
Your version of Excel allows you to read this threaded comment; however, any edits to it will get removed if the file is opened in a newer version of Excel. Learn more: https://go.microsoft.com/fwlink/?linkid=870924
Comment:
    Warranty Statement for All DFSK Model vans and light commercial vehicles 
Lihat gambar di bawah</t>
        </r>
      </text>
    </comment>
    <comment ref="F12" authorId="0" shapeId="0" xr:uid="{00000000-0006-0000-0400-00000C000000}">
      <text>
        <r>
          <rPr>
            <sz val="11"/>
            <color theme="1"/>
            <rFont val="Calibri"/>
            <family val="2"/>
            <scheme val="minor"/>
          </rPr>
          <t>======
ID#AAABMh73WQE
tc={A37D42ED-632F-4032-8BEB-221C4ED7AA89}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F13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======
ID#AAABMh73WSw
tc={29BDE6A8-9592-4FCE-892F-B153CE563AAF}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charging as the bottleneck for EV adoption: evaluating the current state of EV charging in Bangkok condominiums 21 July 2022 (gambar d bawah)</t>
        </r>
      </text>
    </comment>
    <comment ref="B14" authorId="0" shapeId="0" xr:uid="{00000000-0006-0000-0400-00000E000000}">
      <text>
        <r>
          <rPr>
            <sz val="11"/>
            <color theme="1"/>
            <rFont val="Calibri"/>
            <family val="2"/>
            <scheme val="minor"/>
          </rPr>
          <t>======
ID#AAABMh73WPg
tc={385EEFF5-A841-4ED6-BE90-80A2C1B646C9}    (2024-04-29 05:49:13)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F17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======
ID#AAABMh73WRo
tc={BD82ED9D-C9B0-4327-A896-950DB7ED46A2}    (2024-04-29 05:49:13)
[Threaded comment]
Your version of Excel allows you to read this threaded comment; however, any edits to it will get removed if the file is opened in a newer version of Excel. Learn more: https://go.microsoft.com/fwlink/?linkid=870924
Comment:
    The Road Tax or Motor Vehicle User’s Charge in Selected ASEAN Member Countries* 
Registration Fee di Thailand per tahun, sehingga masuk yearly cost. Sumber : Eria, after 5 yr reduces 10%, max at 50%. 
https://tdl-service.com/vehicle-registration-renewal-in-thailand/</t>
        </r>
      </text>
    </comment>
    <comment ref="J1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ID#AAABMh73WTU
tc={8FFDF8C9-0BD5-4D8F-BF60-7419CC093337}    (2024-04-29 05:49:13)
[Threaded comment]
Your version of Excel allows you to read this threaded comment; however, any edits to it will get removed if the file is opened in a newer version of Excel. Learn more: https://go.microsoft.com/fwlink/?linkid=870924
Comment:
    Brosur DFSK, lihat gambar di bawah</t>
        </r>
      </text>
    </comment>
    <comment ref="F19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ID#AAABMh73WTA
tc={8BA7C289-A10B-4C86-8B74-1A0385983CF0}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EV Policies in ASEAN Countries, ERIA, Maret 2023. Lihat gambar di bawah</t>
        </r>
      </text>
    </comment>
    <comment ref="F41" authorId="0" shapeId="0" xr:uid="{00000000-0006-0000-0400-00000B000000}">
      <text>
        <r>
          <rPr>
            <sz val="11"/>
            <color theme="1"/>
            <rFont val="Calibri"/>
            <family val="2"/>
            <scheme val="minor"/>
          </rPr>
          <t>======
ID#AAABMh73WQM
tc={004D7F3F-C5C1-4610-A019-7D9E4061B6F1}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400-00000D000000}">
      <text>
        <r>
          <rPr>
            <sz val="11"/>
            <color theme="1"/>
            <rFont val="Calibri"/>
            <family val="2"/>
            <scheme val="minor"/>
          </rPr>
          <t>======
ID#AAABMh73WP0
tc={C56CAB35-0F73-4DA9-9E08-15FB1529777D}    (2024-04-29 05:49:13)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8ngeK6JmoYQJm0rCBgGfRBUDes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8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ID#AAABMh73WTY
tc={60E9AB66-291F-4E56-8CA6-9F0654D5B962}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https://www.dfskmotors.co.id/id</t>
        </r>
      </text>
    </comment>
    <comment ref="Q9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======
ID#AAABMh73WRc
tc={BEE3DC45-D192-48E5-B051-DA830092375D}    (2024-04-29 05:49:13)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0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ID#AAABMh73WSU
tc={F1158F9A-4895-45EB-9BB5-2439B26D4881}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https://www.autofun.co.id/mobil/dfsk/gelora/konsumsi-bahan-bakar</t>
        </r>
      </text>
    </comment>
    <comment ref="F12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ID#AAABMh73WTE
tc={5A5DD2F6-CB67-4746-981E-8F78C54E8994}    (2024-04-29 05:49:13)
[Threaded comment]
Your version of Excel allows you to read this threaded comment; however, any edits to it will get removed if the file is opened in a newer version of Excel. Learn more: https://go.microsoft.com/fwlink/?linkid=870924
Comment:
    Chapter 4 Vehicle Electrification and Consumption of Mineral Resources in East Asia Summit Countries ERIA, 2021
Gambar di bawah</t>
        </r>
      </text>
    </comment>
    <comment ref="F13" authorId="0" shapeId="0" xr:uid="{00000000-0006-0000-0500-00000A000000}">
      <text>
        <r>
          <rPr>
            <sz val="11"/>
            <color theme="1"/>
            <rFont val="Calibri"/>
            <family val="2"/>
            <scheme val="minor"/>
          </rPr>
          <t>======
ID#AAABMh73WPY
tc={B9FFE933-F41C-43D7-8130-8FBE2BD04A9B}    (2024-04-29 05:49:13)
[Threaded comment]
Your version of Excel allows you to read this threaded comment; however, any edits to it will get removed if the file is opened in a newer version of Excel. Learn more: https://go.microsoft.com/fwlink/?linkid=870924
Comment:
    Sumber : https://www.globalpetrolprices.com/Thailand/</t>
        </r>
      </text>
    </comment>
    <comment ref="F16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======
ID#AAABMh73WQQ
tc={C9983B63-C87C-4CD2-81F9-88D2194F42AC}    (2024-04-29 05:49:13)
[Threaded comment]
Your version of Excel allows you to read this threaded comment; however, any edits to it will get removed if the file is opened in a newer version of Excel. Learn more: https://go.microsoft.com/fwlink/?linkid=870924
Comment:
    The Road Tax or Motor Vehicle User’s Charge in Selected ASEAN Member Countries* 
Registration Fee di Thailand per tahun, sehingga masuk yearly cost. Sumber : Eria, after 5 yr reduces 10%, max at 50%. 
https://tdl-service.com/vehicle-registration-renewal-in-thailand/ 
Weight (19.700 kg) : Bus masuk FRT (Fic Route Transport</t>
        </r>
      </text>
    </comment>
    <comment ref="B17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======
ID#AAABMh73WRY
tc={9A9FA5CC-E227-4B66-AD09-B395DB19CBD4}    (2024-04-29 05:49:13)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2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ID#AAABMh73WRg
tc={7833DF23-FE90-4F19-9FD0-611220B2E488}    (2024-04-29 05:49:13)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23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ID#AAABMh73WR8
tc={053AF28B-115E-4EB5-B0F1-350CE422BB7F}    (2024-04-29 05:49:13)
[Threaded comment]
Your version of Excel allows you to read this threaded comment; however, any edits to it will get removed if the file is opened in a newer version of Excel. Learn more: https://go.microsoft.com/fwlink/?linkid=870924
Comment:
    https://tdl-service.com/vehicle-registration-renewal-in-thailand/</t>
        </r>
      </text>
    </comment>
    <comment ref="F38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======
ID#AAABMh73WRU
tc={004D7F3F-C5C1-4611-A019-7D9E4061B6F1}    (2024-04-29 05:49:13)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3eHzh21ZyrARzj0dZcZAlz72rw=="/>
    </ext>
  </extLst>
</comments>
</file>

<file path=xl/sharedStrings.xml><?xml version="1.0" encoding="utf-8"?>
<sst xmlns="http://schemas.openxmlformats.org/spreadsheetml/2006/main" count="1511" uniqueCount="186">
  <si>
    <t>Country name</t>
  </si>
  <si>
    <t>Thailand</t>
  </si>
  <si>
    <t>TCO</t>
  </si>
  <si>
    <t>US$</t>
  </si>
  <si>
    <t>US$/km</t>
  </si>
  <si>
    <t>ASSUMPTIONS</t>
  </si>
  <si>
    <t>TCO Estimation</t>
  </si>
  <si>
    <t>Sensitivity Analysis</t>
  </si>
  <si>
    <t>Analysis period</t>
  </si>
  <si>
    <t>Years</t>
  </si>
  <si>
    <t>Discounted TCO</t>
  </si>
  <si>
    <t>Country specific costs</t>
  </si>
  <si>
    <t>Vehicle-related Costs</t>
  </si>
  <si>
    <t>Year</t>
  </si>
  <si>
    <t>Equity (US$)</t>
  </si>
  <si>
    <t>Installment (US$)</t>
  </si>
  <si>
    <t>Electricity cost (US$)</t>
  </si>
  <si>
    <t>Charging surcharge cost (US$)</t>
  </si>
  <si>
    <t>O&amp;M Costs  (US$)</t>
  </si>
  <si>
    <t>Technical Inspection Cost (US$)</t>
  </si>
  <si>
    <t>Taxes (US$)</t>
  </si>
  <si>
    <t>Battery replacement costs (US$)</t>
  </si>
  <si>
    <t>Battery leasing costs (US$)</t>
  </si>
  <si>
    <t>Resale Value (US$)</t>
  </si>
  <si>
    <t>TCO (US$)</t>
  </si>
  <si>
    <t>Vehicle values (US$) for tax calculation</t>
  </si>
  <si>
    <t>Please copy paste following values (values only) to the formula value if there is update/ differences with reference values in tables</t>
  </si>
  <si>
    <t>Exchange rate</t>
  </si>
  <si>
    <t>THB/US$</t>
  </si>
  <si>
    <t>Vehicle price</t>
  </si>
  <si>
    <t>THB</t>
  </si>
  <si>
    <t>Electricity tariff</t>
  </si>
  <si>
    <t>US$/kWh</t>
  </si>
  <si>
    <t>Battery cost unit</t>
  </si>
  <si>
    <t>Battery cost</t>
  </si>
  <si>
    <t>One-time Costs</t>
  </si>
  <si>
    <t>Related to Yearly Costs</t>
  </si>
  <si>
    <t>Battery capacity</t>
  </si>
  <si>
    <t>kWh</t>
  </si>
  <si>
    <t>Discount rate</t>
  </si>
  <si>
    <t>%</t>
  </si>
  <si>
    <t>Battery lifecycle</t>
  </si>
  <si>
    <t>cycles</t>
  </si>
  <si>
    <t>Annual kilometres travelled (AKT)</t>
  </si>
  <si>
    <t>km/year</t>
  </si>
  <si>
    <t>Retail discount</t>
  </si>
  <si>
    <t>Annual kilometres traveled (AKT)</t>
  </si>
  <si>
    <t>Battery range</t>
  </si>
  <si>
    <t>km/cycle</t>
  </si>
  <si>
    <t>Other O&amp;M costs</t>
  </si>
  <si>
    <t>US$/year</t>
  </si>
  <si>
    <t>VAT</t>
  </si>
  <si>
    <t>THB/kWh</t>
  </si>
  <si>
    <t>Vehicle lifespan</t>
  </si>
  <si>
    <t>years</t>
  </si>
  <si>
    <t>Income tax</t>
  </si>
  <si>
    <t>Electricity tariff growth</t>
  </si>
  <si>
    <t>%/year</t>
  </si>
  <si>
    <t>SOC</t>
  </si>
  <si>
    <t>Duration of income tax exemption</t>
  </si>
  <si>
    <t>Battery leasing cost</t>
  </si>
  <si>
    <t>THB/year</t>
  </si>
  <si>
    <t>Vehicle Depreciation</t>
  </si>
  <si>
    <t>%/ year</t>
  </si>
  <si>
    <t>Import tariff</t>
  </si>
  <si>
    <t>Emission test costs</t>
  </si>
  <si>
    <t>Battery Depreciation</t>
  </si>
  <si>
    <t>Registration fee (tax sticker)/ road tax</t>
  </si>
  <si>
    <t>Electricity consumption</t>
  </si>
  <si>
    <t>kWh/km</t>
  </si>
  <si>
    <t>Excise tax</t>
  </si>
  <si>
    <t>The imposition of vehicle tax</t>
  </si>
  <si>
    <t>Local/ municipal tax</t>
  </si>
  <si>
    <t>Road insurance</t>
  </si>
  <si>
    <t>Government Premium</t>
  </si>
  <si>
    <t>Initial/Surcharge Charging Cost</t>
  </si>
  <si>
    <t>THB/times</t>
  </si>
  <si>
    <t>Interest rate (flat)</t>
  </si>
  <si>
    <t>Financing costs</t>
  </si>
  <si>
    <t>Relative change (%)</t>
  </si>
  <si>
    <t>Electricity tariff (US$/kWh)</t>
  </si>
  <si>
    <t>TCO changes (%)</t>
  </si>
  <si>
    <t>Vehicle price (US$)</t>
  </si>
  <si>
    <t>Loan length</t>
  </si>
  <si>
    <t>Reference value</t>
  </si>
  <si>
    <t>Formula value</t>
  </si>
  <si>
    <t>Technical control cost unit</t>
  </si>
  <si>
    <t>Downpayment</t>
  </si>
  <si>
    <t>% of capital cost</t>
  </si>
  <si>
    <t>Delay of technical control cost</t>
  </si>
  <si>
    <t>TCO ESTIMATION</t>
  </si>
  <si>
    <t>Country specific cost</t>
  </si>
  <si>
    <t>Financing cost</t>
  </si>
  <si>
    <t>Battery</t>
  </si>
  <si>
    <t>Equity</t>
  </si>
  <si>
    <t>Battery lifespan</t>
  </si>
  <si>
    <t>Debt</t>
  </si>
  <si>
    <t>Debt interest</t>
  </si>
  <si>
    <t>Total kilometres travelled during lifecycle</t>
  </si>
  <si>
    <t>km</t>
  </si>
  <si>
    <t>Energy costs</t>
  </si>
  <si>
    <t>Annual kilometres travelled</t>
  </si>
  <si>
    <t>Charging cost</t>
  </si>
  <si>
    <t>Yearly Operational Cost</t>
  </si>
  <si>
    <t>Battery cost (US$)</t>
  </si>
  <si>
    <t>AKT (km/year)</t>
  </si>
  <si>
    <t>Electricity cost per km</t>
  </si>
  <si>
    <t>Income tax exemption</t>
  </si>
  <si>
    <t>Yearly charging surcharge cost</t>
  </si>
  <si>
    <t>Yearly charging cost</t>
  </si>
  <si>
    <t>Capital cost</t>
  </si>
  <si>
    <t>Taxes</t>
  </si>
  <si>
    <t>Tax sticker/ road tax</t>
  </si>
  <si>
    <t>Battery price</t>
  </si>
  <si>
    <t>Technical control cost</t>
  </si>
  <si>
    <t>Vehicle price + import levy</t>
  </si>
  <si>
    <t>Battery Price + import levy</t>
  </si>
  <si>
    <t xml:space="preserve">   CIF (Cost, Insurance, Freight)</t>
  </si>
  <si>
    <t>Total</t>
  </si>
  <si>
    <t>Vehicle Price+taxes</t>
  </si>
  <si>
    <t>Electric Bus</t>
  </si>
  <si>
    <t>Cost component</t>
  </si>
  <si>
    <t>Capital costs</t>
  </si>
  <si>
    <t>Yearly Cost + Taxes</t>
  </si>
  <si>
    <t>Battery costs</t>
  </si>
  <si>
    <t>Resale value</t>
  </si>
  <si>
    <t>Fuel cost (US$)</t>
  </si>
  <si>
    <t>O&amp;M Cost  (US$)</t>
  </si>
  <si>
    <t>Fuel price</t>
  </si>
  <si>
    <t>US$/L</t>
  </si>
  <si>
    <t>Specific fuel consumption</t>
  </si>
  <si>
    <t>L/km</t>
  </si>
  <si>
    <t>THB/liter</t>
  </si>
  <si>
    <t>Fuel price growth</t>
  </si>
  <si>
    <t>Local/  municipal tax</t>
  </si>
  <si>
    <t>Fuel price (US$/L)</t>
  </si>
  <si>
    <t>THB/yr after 7 yr</t>
  </si>
  <si>
    <t>Other O&amp;M costs (US$/L)</t>
  </si>
  <si>
    <t>Yearly fuel cost</t>
  </si>
  <si>
    <t>Vehicle price + taxes/costs</t>
  </si>
  <si>
    <t>cycle</t>
  </si>
  <si>
    <t>THB/km</t>
  </si>
  <si>
    <t>Battery leasing model</t>
  </si>
  <si>
    <t>Battery leasing?</t>
  </si>
  <si>
    <t>Profit ratio</t>
  </si>
  <si>
    <t>(minimum: 1)</t>
  </si>
  <si>
    <t>Minimimum Kilometre Travelled</t>
  </si>
  <si>
    <t>km/day</t>
  </si>
  <si>
    <t>No</t>
  </si>
  <si>
    <t>Battery Leasing Model</t>
  </si>
  <si>
    <t>Battery price (plus taxes)</t>
  </si>
  <si>
    <t>Battery price (plus interests)</t>
  </si>
  <si>
    <t>Battery rental cost unit</t>
  </si>
  <si>
    <t>Minimum AKT</t>
  </si>
  <si>
    <t>Minimum battery rental cost</t>
  </si>
  <si>
    <t>Additional battery rental cost</t>
  </si>
  <si>
    <t>Mininum travelled (km)</t>
  </si>
  <si>
    <t>Mininum Kilometres traveled</t>
  </si>
  <si>
    <t>Incentive</t>
  </si>
  <si>
    <t>Incentive &amp; discount</t>
  </si>
  <si>
    <t>Net vehicle price</t>
  </si>
  <si>
    <t>Diesel price</t>
  </si>
  <si>
    <t>Gasoline price</t>
  </si>
  <si>
    <t>Diesel price per L</t>
  </si>
  <si>
    <t>Diesel cost per km</t>
  </si>
  <si>
    <t>Gasoline price per L</t>
  </si>
  <si>
    <t>Gasoline cost per km</t>
  </si>
  <si>
    <t>New registration fee</t>
  </si>
  <si>
    <t>Yearly operational Cost</t>
  </si>
  <si>
    <t>E-bus</t>
  </si>
  <si>
    <t>ICE-bus</t>
  </si>
  <si>
    <t>Parameter change (%)</t>
  </si>
  <si>
    <t>Vehicle Price</t>
  </si>
  <si>
    <t>Electricity tarrif</t>
  </si>
  <si>
    <t>AKT</t>
  </si>
  <si>
    <t>O&amp;M costs</t>
  </si>
  <si>
    <t>E-truck</t>
  </si>
  <si>
    <t>ICE-truck</t>
  </si>
  <si>
    <t>E-cargo</t>
  </si>
  <si>
    <t>ICE-cargo</t>
  </si>
  <si>
    <t>Fuel Price</t>
  </si>
  <si>
    <t>THAILAND</t>
  </si>
  <si>
    <t>Energy Efficiency</t>
  </si>
  <si>
    <t>Manufacturer’s Recommended Retail Price (MRRP)</t>
  </si>
  <si>
    <t>∆TCO (%)</t>
  </si>
  <si>
    <t>∆Parameter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</si>
</sst>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??_-;_-@"/>
    <numFmt numFmtId="165" formatCode="_(* #,##0_);_(* \(#,##0\);_(* &quot;-&quot;??_);_(@_)"/>
    <numFmt numFmtId="166" formatCode="_-* #,##0_-;\-* #,##0_-;_-* &quot;-&quot;_-;_-@"/>
    <numFmt numFmtId="167" formatCode="_-* #,##0.00_-;\-* #,##0.00_-;_-* &quot;-&quot;_-;_-@"/>
    <numFmt numFmtId="168" formatCode="_-* #,##0.0000_-;\-* #,##0.0000_-;_-* &quot;-&quot;_-;_-@"/>
    <numFmt numFmtId="169" formatCode="_-* #,##0.00_-;\-* #,##0.00_-;_-* &quot;-&quot;??_-;_-@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7" tint="0.79998168889431442"/>
        <bgColor rgb="FFFEF2CB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7" fillId="0" borderId="1"/>
  </cellStyleXfs>
  <cellXfs count="94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164" fontId="3" fillId="2" borderId="1" xfId="0" applyNumberFormat="1" applyFont="1" applyFill="1" applyBorder="1"/>
    <xf numFmtId="2" fontId="3" fillId="2" borderId="1" xfId="0" applyNumberFormat="1" applyFont="1" applyFill="1" applyBorder="1"/>
    <xf numFmtId="165" fontId="4" fillId="2" borderId="1" xfId="0" applyNumberFormat="1" applyFont="1" applyFill="1" applyBorder="1"/>
    <xf numFmtId="166" fontId="4" fillId="2" borderId="1" xfId="0" applyNumberFormat="1" applyFont="1" applyFill="1" applyBorder="1"/>
    <xf numFmtId="0" fontId="3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3" fillId="2" borderId="3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4" fillId="2" borderId="5" xfId="0" applyFont="1" applyFill="1" applyBorder="1"/>
    <xf numFmtId="167" fontId="4" fillId="2" borderId="1" xfId="0" applyNumberFormat="1" applyFont="1" applyFill="1" applyBorder="1"/>
    <xf numFmtId="0" fontId="4" fillId="2" borderId="6" xfId="0" applyFont="1" applyFill="1" applyBorder="1"/>
    <xf numFmtId="0" fontId="4" fillId="2" borderId="1" xfId="0" applyFont="1" applyFill="1" applyBorder="1" applyAlignment="1">
      <alignment horizontal="left"/>
    </xf>
    <xf numFmtId="164" fontId="4" fillId="3" borderId="1" xfId="0" applyNumberFormat="1" applyFont="1" applyFill="1" applyBorder="1"/>
    <xf numFmtId="164" fontId="3" fillId="3" borderId="1" xfId="0" applyNumberFormat="1" applyFont="1" applyFill="1" applyBorder="1"/>
    <xf numFmtId="168" fontId="4" fillId="2" borderId="1" xfId="0" applyNumberFormat="1" applyFont="1" applyFill="1" applyBorder="1"/>
    <xf numFmtId="169" fontId="4" fillId="2" borderId="1" xfId="0" applyNumberFormat="1" applyFont="1" applyFill="1" applyBorder="1"/>
    <xf numFmtId="166" fontId="4" fillId="3" borderId="1" xfId="0" applyNumberFormat="1" applyFont="1" applyFill="1" applyBorder="1"/>
    <xf numFmtId="167" fontId="4" fillId="3" borderId="1" xfId="0" applyNumberFormat="1" applyFont="1" applyFill="1" applyBorder="1"/>
    <xf numFmtId="0" fontId="3" fillId="2" borderId="5" xfId="0" applyFont="1" applyFill="1" applyBorder="1"/>
    <xf numFmtId="164" fontId="4" fillId="2" borderId="1" xfId="0" applyNumberFormat="1" applyFont="1" applyFill="1" applyBorder="1"/>
    <xf numFmtId="0" fontId="4" fillId="2" borderId="5" xfId="0" applyFont="1" applyFill="1" applyBorder="1" applyAlignment="1">
      <alignment horizontal="left"/>
    </xf>
    <xf numFmtId="0" fontId="5" fillId="0" borderId="0" xfId="0" applyFont="1"/>
    <xf numFmtId="0" fontId="3" fillId="4" borderId="1" xfId="0" applyFont="1" applyFill="1" applyBorder="1"/>
    <xf numFmtId="0" fontId="4" fillId="4" borderId="1" xfId="0" applyFont="1" applyFill="1" applyBorder="1"/>
    <xf numFmtId="0" fontId="6" fillId="2" borderId="1" xfId="0" applyFont="1" applyFill="1" applyBorder="1"/>
    <xf numFmtId="169" fontId="4" fillId="4" borderId="1" xfId="0" applyNumberFormat="1" applyFont="1" applyFill="1" applyBorder="1"/>
    <xf numFmtId="166" fontId="4" fillId="4" borderId="1" xfId="0" applyNumberFormat="1" applyFont="1" applyFill="1" applyBorder="1"/>
    <xf numFmtId="164" fontId="4" fillId="4" borderId="1" xfId="0" applyNumberFormat="1" applyFont="1" applyFill="1" applyBorder="1"/>
    <xf numFmtId="169" fontId="6" fillId="2" borderId="1" xfId="0" applyNumberFormat="1" applyFont="1" applyFill="1" applyBorder="1"/>
    <xf numFmtId="166" fontId="6" fillId="2" borderId="1" xfId="0" applyNumberFormat="1" applyFont="1" applyFill="1" applyBorder="1"/>
    <xf numFmtId="43" fontId="4" fillId="2" borderId="1" xfId="0" applyNumberFormat="1" applyFont="1" applyFill="1" applyBorder="1"/>
    <xf numFmtId="1" fontId="4" fillId="4" borderId="1" xfId="0" applyNumberFormat="1" applyFont="1" applyFill="1" applyBorder="1"/>
    <xf numFmtId="1" fontId="6" fillId="2" borderId="1" xfId="0" applyNumberFormat="1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5" borderId="1" xfId="0" applyFont="1" applyFill="1" applyBorder="1"/>
    <xf numFmtId="169" fontId="4" fillId="5" borderId="1" xfId="0" applyNumberFormat="1" applyFont="1" applyFill="1" applyBorder="1"/>
    <xf numFmtId="166" fontId="4" fillId="5" borderId="1" xfId="0" applyNumberFormat="1" applyFont="1" applyFill="1" applyBorder="1"/>
    <xf numFmtId="1" fontId="4" fillId="5" borderId="1" xfId="0" applyNumberFormat="1" applyFont="1" applyFill="1" applyBorder="1"/>
    <xf numFmtId="164" fontId="4" fillId="5" borderId="1" xfId="0" applyNumberFormat="1" applyFont="1" applyFill="1" applyBorder="1"/>
    <xf numFmtId="166" fontId="4" fillId="2" borderId="3" xfId="0" applyNumberFormat="1" applyFont="1" applyFill="1" applyBorder="1"/>
    <xf numFmtId="167" fontId="3" fillId="2" borderId="1" xfId="0" applyNumberFormat="1" applyFont="1" applyFill="1" applyBorder="1"/>
    <xf numFmtId="2" fontId="4" fillId="2" borderId="1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/>
    <xf numFmtId="169" fontId="3" fillId="2" borderId="1" xfId="0" applyNumberFormat="1" applyFont="1" applyFill="1" applyBorder="1"/>
    <xf numFmtId="10" fontId="4" fillId="2" borderId="1" xfId="0" applyNumberFormat="1" applyFont="1" applyFill="1" applyBorder="1"/>
    <xf numFmtId="166" fontId="4" fillId="0" borderId="0" xfId="0" applyNumberFormat="1" applyFont="1"/>
    <xf numFmtId="0" fontId="8" fillId="6" borderId="0" xfId="0" applyFont="1" applyFill="1"/>
    <xf numFmtId="0" fontId="0" fillId="6" borderId="0" xfId="0" applyFill="1"/>
    <xf numFmtId="0" fontId="4" fillId="7" borderId="6" xfId="0" applyFont="1" applyFill="1" applyBorder="1"/>
    <xf numFmtId="0" fontId="0" fillId="8" borderId="0" xfId="0" applyFill="1"/>
    <xf numFmtId="0" fontId="4" fillId="7" borderId="1" xfId="0" applyFont="1" applyFill="1" applyBorder="1"/>
    <xf numFmtId="166" fontId="4" fillId="2" borderId="8" xfId="0" applyNumberFormat="1" applyFont="1" applyFill="1" applyBorder="1"/>
    <xf numFmtId="0" fontId="0" fillId="9" borderId="0" xfId="0" applyFill="1"/>
    <xf numFmtId="165" fontId="4" fillId="2" borderId="1" xfId="1" applyNumberFormat="1" applyFont="1" applyFill="1" applyBorder="1"/>
    <xf numFmtId="43" fontId="4" fillId="2" borderId="1" xfId="1" applyFont="1" applyFill="1" applyBorder="1"/>
    <xf numFmtId="0" fontId="2" fillId="9" borderId="0" xfId="0" applyFont="1" applyFill="1"/>
    <xf numFmtId="166" fontId="4" fillId="2" borderId="0" xfId="0" applyNumberFormat="1" applyFont="1" applyFill="1"/>
    <xf numFmtId="164" fontId="4" fillId="10" borderId="1" xfId="0" applyNumberFormat="1" applyFont="1" applyFill="1" applyBorder="1"/>
    <xf numFmtId="1" fontId="4" fillId="10" borderId="1" xfId="0" applyNumberFormat="1" applyFont="1" applyFill="1" applyBorder="1"/>
    <xf numFmtId="0" fontId="9" fillId="0" borderId="1" xfId="2" applyFont="1"/>
    <xf numFmtId="0" fontId="7" fillId="0" borderId="1" xfId="2"/>
    <xf numFmtId="0" fontId="7" fillId="0" borderId="1" xfId="2" applyAlignment="1">
      <alignment wrapText="1"/>
    </xf>
    <xf numFmtId="0" fontId="1" fillId="0" borderId="1" xfId="2" applyFont="1"/>
    <xf numFmtId="0" fontId="8" fillId="11" borderId="1" xfId="2" applyFont="1" applyFill="1" applyAlignment="1">
      <alignment horizontal="center" vertical="center"/>
    </xf>
    <xf numFmtId="0" fontId="8" fillId="11" borderId="1" xfId="2" applyFont="1" applyFill="1" applyAlignment="1">
      <alignment horizontal="center" vertical="center" wrapText="1"/>
    </xf>
    <xf numFmtId="0" fontId="8" fillId="0" borderId="1" xfId="2" applyFont="1" applyAlignment="1">
      <alignment wrapText="1"/>
    </xf>
    <xf numFmtId="0" fontId="8" fillId="11" borderId="1" xfId="2" applyFont="1" applyFill="1"/>
    <xf numFmtId="1" fontId="7" fillId="9" borderId="1" xfId="2" applyNumberFormat="1" applyFill="1" applyAlignment="1">
      <alignment wrapText="1"/>
    </xf>
    <xf numFmtId="1" fontId="7" fillId="9" borderId="1" xfId="2" applyNumberFormat="1" applyFill="1"/>
    <xf numFmtId="0" fontId="7" fillId="11" borderId="1" xfId="2" applyFill="1"/>
    <xf numFmtId="0" fontId="10" fillId="12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8" fillId="11" borderId="1" xfId="2" applyFont="1" applyFill="1" applyAlignment="1">
      <alignment horizontal="center" wrapText="1"/>
    </xf>
    <xf numFmtId="169" fontId="4" fillId="10" borderId="1" xfId="0" applyNumberFormat="1" applyFont="1" applyFill="1" applyBorder="1"/>
    <xf numFmtId="166" fontId="4" fillId="13" borderId="1" xfId="0" applyNumberFormat="1" applyFont="1" applyFill="1" applyBorder="1"/>
    <xf numFmtId="0" fontId="3" fillId="12" borderId="1" xfId="0" applyFont="1" applyFill="1" applyBorder="1"/>
    <xf numFmtId="0" fontId="11" fillId="2" borderId="1" xfId="0" applyFont="1" applyFill="1" applyBorder="1"/>
    <xf numFmtId="167" fontId="11" fillId="2" borderId="1" xfId="0" applyNumberFormat="1" applyFont="1" applyFill="1" applyBorder="1"/>
    <xf numFmtId="0" fontId="8" fillId="11" borderId="1" xfId="2" applyFont="1" applyFill="1" applyAlignment="1">
      <alignment horizontal="center" vertical="center"/>
    </xf>
    <xf numFmtId="0" fontId="8" fillId="11" borderId="1" xfId="2" applyFont="1" applyFill="1" applyAlignment="1">
      <alignment horizontal="center" wrapText="1"/>
    </xf>
    <xf numFmtId="0" fontId="8" fillId="11" borderId="1" xfId="2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EF514DF1-77B0-4344-814C-2A3A9151F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TH'!$P$55</c:f>
              <c:numCache>
                <c:formatCode>_-* #,##0_-;\-* #,##0_-;_-* "-"??_-;_-@</c:formatCode>
                <c:ptCount val="1"/>
                <c:pt idx="0">
                  <c:v>505664.03175120836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AB1-498D-B98D-F59A7A2F1AFA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TH'!$P$56</c:f>
              <c:numCache>
                <c:formatCode>_-* #,##0_-;\-* #,##0_-;_-* "-"??_-;_-@</c:formatCode>
                <c:ptCount val="1"/>
                <c:pt idx="0">
                  <c:v>129474.57142792785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AB1-498D-B98D-F59A7A2F1AFA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TH'!$P$57</c:f>
              <c:numCache>
                <c:formatCode>_-* #,##0_-;\-* #,##0_-;_-* "-"??_-;_-@</c:formatCode>
                <c:ptCount val="1"/>
                <c:pt idx="0">
                  <c:v>209522.35784833643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AB1-498D-B98D-F59A7A2F1AFA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TH'!$P$58</c:f>
              <c:numCache>
                <c:formatCode>_-* #,##0_-;\-* #,##0_-;_-* "-"??_-;_-@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AB1-498D-B98D-F59A7A2F1AFA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TH'!$P$59</c:f>
              <c:numCache>
                <c:formatCode>_-* #,##0_-;\-* #,##0_-;_-* "-"??_-;_-@</c:formatCode>
                <c:ptCount val="1"/>
                <c:pt idx="0">
                  <c:v>-99258.70207678969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AB1-498D-B98D-F59A7A2F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3521872"/>
        <c:axId val="877202088"/>
      </c:barChart>
      <c:catAx>
        <c:axId val="110352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877202088"/>
        <c:crosses val="autoZero"/>
        <c:auto val="1"/>
        <c:lblAlgn val="ctr"/>
        <c:lblOffset val="100"/>
        <c:noMultiLvlLbl val="1"/>
      </c:catAx>
      <c:valAx>
        <c:axId val="877202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0352187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TH'!$R$55</c:f>
              <c:numCache>
                <c:formatCode>0.00</c:formatCode>
                <c:ptCount val="1"/>
                <c:pt idx="0">
                  <c:v>0.65451348954310018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BC2-4C1F-BD75-F347A61F86D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TH'!$R$56</c:f>
              <c:numCache>
                <c:formatCode>0.00</c:formatCode>
                <c:ptCount val="1"/>
                <c:pt idx="0">
                  <c:v>0.16758726789190484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BC2-4C1F-BD75-F347A61F86D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TH'!$R$57</c:f>
              <c:numCache>
                <c:formatCode>0.00</c:formatCode>
                <c:ptCount val="1"/>
                <c:pt idx="0">
                  <c:v>0.27119826794420826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BC2-4C1F-BD75-F347A61F86D2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TH'!$R$58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BC2-4C1F-BD75-F347A61F86D2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TH'!$R$59</c:f>
              <c:numCache>
                <c:formatCode>0.00</c:formatCode>
                <c:ptCount val="1"/>
                <c:pt idx="0">
                  <c:v>-0.12847692417198178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BBC2-4C1F-BD75-F347A61F8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6254654"/>
        <c:axId val="409863969"/>
      </c:barChart>
      <c:catAx>
        <c:axId val="836254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409863969"/>
        <c:crosses val="autoZero"/>
        <c:auto val="1"/>
        <c:lblAlgn val="ctr"/>
        <c:lblOffset val="100"/>
        <c:noMultiLvlLbl val="1"/>
      </c:catAx>
      <c:valAx>
        <c:axId val="409863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83625465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TH'!$P$55</c:f>
              <c:numCache>
                <c:formatCode>_-* #,##0_-;\-* #,##0_-;_-* "-"??_-;_-@</c:formatCode>
                <c:ptCount val="1"/>
                <c:pt idx="0">
                  <c:v>212617.02000430939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35B-4EF2-AF9A-758F25098429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TH'!$P$56</c:f>
              <c:numCache>
                <c:formatCode>_-* #,##0_-;\-* #,##0_-;_-* "-"??_-;_-@</c:formatCode>
                <c:ptCount val="1"/>
                <c:pt idx="0">
                  <c:v>391626.31358189177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35B-4EF2-AF9A-758F25098429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635B-4EF2-AF9A-758F25098429}"/>
              </c:ext>
            </c:extLst>
          </c:dPt>
          <c:val>
            <c:numRef>
              <c:f>'ICE-Bus TH'!$P$57</c:f>
              <c:numCache>
                <c:formatCode>_-* #,##0_-;\-* #,##0_-;_-* "-"??_-;_-@</c:formatCode>
                <c:ptCount val="1"/>
                <c:pt idx="0">
                  <c:v>125731.24958969827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635B-4EF2-AF9A-758F25098429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TH'!$P$58</c:f>
              <c:numCache>
                <c:formatCode>_-* #,##0_-;\-* #,##0_-;_-* "-"??_-;_-@</c:formatCode>
                <c:ptCount val="1"/>
                <c:pt idx="0">
                  <c:v>-59991.26139870684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635B-4EF2-AF9A-758F25098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567369"/>
        <c:axId val="2087553563"/>
      </c:barChart>
      <c:catAx>
        <c:axId val="1905673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87553563"/>
        <c:crosses val="autoZero"/>
        <c:auto val="1"/>
        <c:lblAlgn val="ctr"/>
        <c:lblOffset val="100"/>
        <c:noMultiLvlLbl val="1"/>
      </c:catAx>
      <c:valAx>
        <c:axId val="2087553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9056736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TH'!$R$55</c:f>
              <c:numCache>
                <c:formatCode>0.00</c:formatCode>
                <c:ptCount val="1"/>
                <c:pt idx="0">
                  <c:v>0.2752038882760483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153-4D05-9EE9-295930D67C7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TH'!$R$56</c:f>
              <c:numCache>
                <c:formatCode>0.00</c:formatCode>
                <c:ptCount val="1"/>
                <c:pt idx="0">
                  <c:v>0.50690713399504483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153-4D05-9EE9-295930D67C7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TH'!$R$57</c:f>
              <c:numCache>
                <c:formatCode>0.00</c:formatCode>
                <c:ptCount val="1"/>
                <c:pt idx="0">
                  <c:v>0.16274204560006508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153-4D05-9EE9-295930D67C72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TH'!$R$58</c:f>
              <c:numCache>
                <c:formatCode>0.00</c:formatCode>
                <c:ptCount val="1"/>
                <c:pt idx="0">
                  <c:v>-7.7650549326551091E-2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153-4D05-9EE9-295930D67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1833557"/>
        <c:axId val="852773884"/>
      </c:barChart>
      <c:catAx>
        <c:axId val="1971833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852773884"/>
        <c:crosses val="autoZero"/>
        <c:auto val="1"/>
        <c:lblAlgn val="ctr"/>
        <c:lblOffset val="100"/>
        <c:noMultiLvlLbl val="1"/>
      </c:catAx>
      <c:valAx>
        <c:axId val="852773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97183355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TH'!$P$55</c:f>
              <c:numCache>
                <c:formatCode>_-* #,##0_-;\-* #,##0_-;_-* "-"??_-;_-@</c:formatCode>
                <c:ptCount val="1"/>
                <c:pt idx="0">
                  <c:v>102306.19140483378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7AF-40AB-845D-86DFD436A6CA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TH'!$P$56</c:f>
              <c:numCache>
                <c:formatCode>_-* #,##0_-;\-* #,##0_-;_-* "-"??_-;_-@</c:formatCode>
                <c:ptCount val="1"/>
                <c:pt idx="0">
                  <c:v>19634.998290407591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7AF-40AB-845D-86DFD436A6CA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TH'!$P$57</c:f>
              <c:numCache>
                <c:formatCode>_-* #,##0_-;\-* #,##0_-;_-* "-"??_-;_-@</c:formatCode>
                <c:ptCount val="1"/>
                <c:pt idx="0">
                  <c:v>29112.080601318106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7AF-40AB-845D-86DFD436A6CA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TH'!$P$58</c:f>
              <c:numCache>
                <c:formatCode>_-* #,##0_-;\-* #,##0_-;_-* "-"??_-;_-@</c:formatCode>
                <c:ptCount val="1"/>
                <c:pt idx="0">
                  <c:v>32035.78320620333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7AF-40AB-845D-86DFD436A6CA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TH'!$P$59</c:f>
              <c:numCache>
                <c:formatCode>_-* #,##0_-;\-* #,##0_-;_-* "-"??_-;_-@</c:formatCode>
                <c:ptCount val="1"/>
                <c:pt idx="0">
                  <c:v>-19839.939364956004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7AF-40AB-845D-86DFD436A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5298033"/>
        <c:axId val="1286863198"/>
      </c:barChart>
      <c:catAx>
        <c:axId val="5352980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86863198"/>
        <c:crosses val="autoZero"/>
        <c:auto val="1"/>
        <c:lblAlgn val="ctr"/>
        <c:lblOffset val="100"/>
        <c:noMultiLvlLbl val="1"/>
      </c:catAx>
      <c:valAx>
        <c:axId val="1286863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53529803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TH'!$R$55</c:f>
              <c:numCache>
                <c:formatCode>0.00</c:formatCode>
                <c:ptCount val="1"/>
                <c:pt idx="0">
                  <c:v>0.16758319912992037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D3E-4A1E-943F-CC4D563261A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TH'!$R$56</c:f>
              <c:numCache>
                <c:formatCode>0.00</c:formatCode>
                <c:ptCount val="1"/>
                <c:pt idx="0">
                  <c:v>3.2163213029759517E-2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D3E-4A1E-943F-CC4D563261A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TH'!$R$57</c:f>
              <c:numCache>
                <c:formatCode>0.00</c:formatCode>
                <c:ptCount val="1"/>
                <c:pt idx="0">
                  <c:v>4.7687197944761672E-2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D3E-4A1E-943F-CC4D563261A2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TH'!$R$58</c:f>
              <c:numCache>
                <c:formatCode>0.00</c:formatCode>
                <c:ptCount val="1"/>
                <c:pt idx="0">
                  <c:v>5.2476384494501586E-2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D3E-4A1E-943F-CC4D563261A2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TH'!$R$59</c:f>
              <c:numCache>
                <c:formatCode>0.00</c:formatCode>
                <c:ptCount val="1"/>
                <c:pt idx="0">
                  <c:v>-3.2498917843264322E-2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D3E-4A1E-943F-CC4D56326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7793809"/>
        <c:axId val="1308177195"/>
      </c:barChart>
      <c:catAx>
        <c:axId val="477793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08177195"/>
        <c:crosses val="autoZero"/>
        <c:auto val="1"/>
        <c:lblAlgn val="ctr"/>
        <c:lblOffset val="100"/>
        <c:noMultiLvlLbl val="1"/>
      </c:catAx>
      <c:valAx>
        <c:axId val="1308177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47779380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TH'!$P$55</c:f>
              <c:numCache>
                <c:formatCode>_-* #,##0_-;\-* #,##0_-;_-* "-"??_-;_-@</c:formatCode>
                <c:ptCount val="1"/>
                <c:pt idx="0">
                  <c:v>20194.834466728018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9D4-4988-B4F1-670D51B573A8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TH'!$P$56</c:f>
              <c:numCache>
                <c:formatCode>_-* #,##0_-;\-* #,##0_-;_-* "-"??_-;_-@</c:formatCode>
                <c:ptCount val="1"/>
                <c:pt idx="0">
                  <c:v>101047.07499144324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9D4-4988-B4F1-670D51B573A8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F9D4-4988-B4F1-670D51B573A8}"/>
              </c:ext>
            </c:extLst>
          </c:dPt>
          <c:val>
            <c:numRef>
              <c:f>'ICE-Truck TH'!$P$57</c:f>
              <c:numCache>
                <c:formatCode>_-* #,##0_-;\-* #,##0_-;_-* "-"??_-;_-@</c:formatCode>
                <c:ptCount val="1"/>
                <c:pt idx="0">
                  <c:v>47585.255734311213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9D4-4988-B4F1-670D51B573A8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TH'!$P$58</c:f>
              <c:numCache>
                <c:formatCode>_-* #,##0_-;\-* #,##0_-;_-* "-"??_-;_-@</c:formatCode>
                <c:ptCount val="1"/>
                <c:pt idx="0">
                  <c:v>-5698.10259485595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F9D4-4988-B4F1-670D51B57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870906"/>
        <c:axId val="341739822"/>
      </c:barChart>
      <c:catAx>
        <c:axId val="2008709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341739822"/>
        <c:crosses val="autoZero"/>
        <c:auto val="1"/>
        <c:lblAlgn val="ctr"/>
        <c:lblOffset val="100"/>
        <c:noMultiLvlLbl val="1"/>
      </c:catAx>
      <c:valAx>
        <c:axId val="3417398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087090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TH'!$R$55</c:f>
              <c:numCache>
                <c:formatCode>0.00</c:formatCode>
                <c:ptCount val="1"/>
                <c:pt idx="0">
                  <c:v>3.3080255645931103E-2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B5D-48AE-A612-B809E2B5061C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TH'!$R$56</c:f>
              <c:numCache>
                <c:formatCode>0.00</c:formatCode>
                <c:ptCount val="1"/>
                <c:pt idx="0">
                  <c:v>0.16552069681470849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B5D-48AE-A612-B809E2B5061C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TH'!$R$57</c:f>
              <c:numCache>
                <c:formatCode>0.00</c:formatCode>
                <c:ptCount val="1"/>
                <c:pt idx="0">
                  <c:v>7.7947280392987831E-2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B5D-48AE-A612-B809E2B5061C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TH'!$R$58</c:f>
              <c:numCache>
                <c:formatCode>0.00</c:formatCode>
                <c:ptCount val="1"/>
                <c:pt idx="0">
                  <c:v>-9.3338071597037584E-3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1B5D-48AE-A612-B809E2B50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1291223"/>
        <c:axId val="618028699"/>
      </c:barChart>
      <c:catAx>
        <c:axId val="1391291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18028699"/>
        <c:crosses val="autoZero"/>
        <c:auto val="1"/>
        <c:lblAlgn val="ctr"/>
        <c:lblOffset val="100"/>
        <c:noMultiLvlLbl val="1"/>
      </c:catAx>
      <c:valAx>
        <c:axId val="6180286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9129122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TH'!$P$55</c:f>
              <c:numCache>
                <c:formatCode>_-* #,##0_-;\-* #,##0_-;_-* "-"??_-;_-@</c:formatCode>
                <c:ptCount val="1"/>
                <c:pt idx="0">
                  <c:v>27961.039241228507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FAE-43F0-9364-D1E54F2E3708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TH'!$P$56</c:f>
              <c:numCache>
                <c:formatCode>_-* #,##0_-;\-* #,##0_-;_-* "-"??_-;_-@</c:formatCode>
                <c:ptCount val="1"/>
                <c:pt idx="0">
                  <c:v>5947.4249885835789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FAE-43F0-9364-D1E54F2E3708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TH'!$P$57</c:f>
              <c:numCache>
                <c:formatCode>_-* #,##0_-;\-* #,##0_-;_-* "-"??_-;_-@</c:formatCode>
                <c:ptCount val="1"/>
                <c:pt idx="0">
                  <c:v>5153.1112059894349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FAE-43F0-9364-D1E54F2E3708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TH'!$P$58</c:f>
              <c:numCache>
                <c:formatCode>_-* #,##0_-;\-* #,##0_-;_-* "-"??_-;_-@</c:formatCode>
                <c:ptCount val="1"/>
                <c:pt idx="0">
                  <c:v>3290.8098991675279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6FAE-43F0-9364-D1E54F2E3708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TH'!$P$59</c:f>
              <c:numCache>
                <c:formatCode>_-* #,##0_-;\-* #,##0_-;_-* "-"??_-;_-@</c:formatCode>
                <c:ptCount val="1"/>
                <c:pt idx="0">
                  <c:v>-6024.3487141288479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6FAE-43F0-9364-D1E54F2E3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9983423"/>
        <c:axId val="2977817"/>
      </c:barChart>
      <c:catAx>
        <c:axId val="1289983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977817"/>
        <c:crosses val="autoZero"/>
        <c:auto val="1"/>
        <c:lblAlgn val="ctr"/>
        <c:lblOffset val="100"/>
        <c:noMultiLvlLbl val="1"/>
      </c:catAx>
      <c:valAx>
        <c:axId val="2977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8998342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TH'!$R$55</c:f>
              <c:numCache>
                <c:formatCode>0.00</c:formatCode>
                <c:ptCount val="1"/>
                <c:pt idx="0">
                  <c:v>0.11301042454623113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8F4-4F20-B675-C81A4E74876B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TH'!$R$56</c:f>
              <c:numCache>
                <c:formatCode>0.00</c:formatCode>
                <c:ptCount val="1"/>
                <c:pt idx="0">
                  <c:v>2.4037769738030793E-2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8F4-4F20-B675-C81A4E74876B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TH'!$R$57</c:f>
              <c:numCache>
                <c:formatCode>0.00</c:formatCode>
                <c:ptCount val="1"/>
                <c:pt idx="0">
                  <c:v>2.0827383420861025E-2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8F4-4F20-B675-C81A4E74876B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TH'!$R$58</c:f>
              <c:numCache>
                <c:formatCode>0.00</c:formatCode>
                <c:ptCount val="1"/>
                <c:pt idx="0">
                  <c:v>1.3300500764560375E-2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8F4-4F20-B675-C81A4E74876B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TH'!$R$59</c:f>
              <c:numCache>
                <c:formatCode>0.00</c:formatCode>
                <c:ptCount val="1"/>
                <c:pt idx="0">
                  <c:v>-2.4348673163563365E-2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8F4-4F20-B675-C81A4E748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9525572"/>
        <c:axId val="1853138072"/>
      </c:barChart>
      <c:catAx>
        <c:axId val="949525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53138072"/>
        <c:crosses val="autoZero"/>
        <c:auto val="1"/>
        <c:lblAlgn val="ctr"/>
        <c:lblOffset val="100"/>
        <c:noMultiLvlLbl val="1"/>
      </c:catAx>
      <c:valAx>
        <c:axId val="1853138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94952557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TH'!$P$55</c:f>
              <c:numCache>
                <c:formatCode>_-* #,##0_-;\-* #,##0_-;_-* "-"??_-;_-@</c:formatCode>
                <c:ptCount val="1"/>
                <c:pt idx="0">
                  <c:v>9699.0788919508486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EF8-4CE2-B274-A85A9F49B95B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TH'!$P$56</c:f>
              <c:numCache>
                <c:formatCode>_-* #,##0_-;\-* #,##0_-;_-* "-"??_-;_-@</c:formatCode>
                <c:ptCount val="1"/>
                <c:pt idx="0">
                  <c:v>18556.887396421254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EF8-4CE2-B274-A85A9F49B95B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CEF8-4CE2-B274-A85A9F49B95B}"/>
              </c:ext>
            </c:extLst>
          </c:dPt>
          <c:val>
            <c:numRef>
              <c:f>'ICE-Cargo TH'!$P$57</c:f>
              <c:numCache>
                <c:formatCode>_-* #,##0_-;\-* #,##0_-;_-* "-"??_-;_-@</c:formatCode>
                <c:ptCount val="1"/>
                <c:pt idx="0">
                  <c:v>6248.8988404935872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EF8-4CE2-B274-A85A9F49B95B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TH'!$P$58</c:f>
              <c:numCache>
                <c:formatCode>_-* #,##0_-;\-* #,##0_-;_-* "-"??_-;_-@</c:formatCode>
                <c:ptCount val="1"/>
                <c:pt idx="0">
                  <c:v>-2736.6575691913558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EF8-4CE2-B274-A85A9F49B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5387803"/>
        <c:axId val="390631167"/>
      </c:barChart>
      <c:catAx>
        <c:axId val="14253878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390631167"/>
        <c:crosses val="autoZero"/>
        <c:auto val="1"/>
        <c:lblAlgn val="ctr"/>
        <c:lblOffset val="100"/>
        <c:noMultiLvlLbl val="1"/>
      </c:catAx>
      <c:valAx>
        <c:axId val="3906311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42538780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TH'!$R$55</c:f>
              <c:numCache>
                <c:formatCode>0.00</c:formatCode>
                <c:ptCount val="1"/>
                <c:pt idx="0">
                  <c:v>3.9200868531043764E-2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5E7-4018-A691-CAE88EE914F4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TH'!$R$56</c:f>
              <c:numCache>
                <c:formatCode>0.00</c:formatCode>
                <c:ptCount val="1"/>
                <c:pt idx="0">
                  <c:v>7.5001565744164791E-2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5E7-4018-A691-CAE88EE914F4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TH'!$R$57</c:f>
              <c:numCache>
                <c:formatCode>0.00</c:formatCode>
                <c:ptCount val="1"/>
                <c:pt idx="0">
                  <c:v>2.5256239756258941E-2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5E7-4018-A691-CAE88EE914F4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TH'!$R$58</c:f>
              <c:numCache>
                <c:formatCode>0.00</c:formatCode>
                <c:ptCount val="1"/>
                <c:pt idx="0">
                  <c:v>-1.106077750057132E-2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5E7-4018-A691-CAE88EE91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865813"/>
        <c:axId val="1937947887"/>
      </c:barChart>
      <c:catAx>
        <c:axId val="1748658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937947887"/>
        <c:crosses val="autoZero"/>
        <c:auto val="1"/>
        <c:lblAlgn val="ctr"/>
        <c:lblOffset val="100"/>
        <c:noMultiLvlLbl val="1"/>
      </c:catAx>
      <c:valAx>
        <c:axId val="1937947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748658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Sensitivity!$C$5:$C$15</c:f>
              <c:numCache>
                <c:formatCode>0</c:formatCode>
                <c:ptCount val="11"/>
                <c:pt idx="0">
                  <c:v>-33.91886901865854</c:v>
                </c:pt>
                <c:pt idx="1">
                  <c:v>-27.135095214926842</c:v>
                </c:pt>
                <c:pt idx="2">
                  <c:v>-20.35132141119513</c:v>
                </c:pt>
                <c:pt idx="3">
                  <c:v>-13.567547607463407</c:v>
                </c:pt>
                <c:pt idx="4">
                  <c:v>-6.7837738037316946</c:v>
                </c:pt>
                <c:pt idx="5">
                  <c:v>0</c:v>
                </c:pt>
                <c:pt idx="6">
                  <c:v>6.7837738037317266</c:v>
                </c:pt>
                <c:pt idx="7">
                  <c:v>13.567547607463421</c:v>
                </c:pt>
                <c:pt idx="8">
                  <c:v>20.35132141119513</c:v>
                </c:pt>
                <c:pt idx="9">
                  <c:v>27.135095214926842</c:v>
                </c:pt>
                <c:pt idx="10">
                  <c:v>33.918869018658555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B-46C8-866F-66E94CB52D5F}"/>
            </c:ext>
          </c:extLst>
        </c:ser>
        <c:ser>
          <c:idx val="2"/>
          <c:order val="1"/>
          <c:tx>
            <c:strRef>
              <c:f>Sensitivity!$D$4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Sensitivity!$D$5:$D$15</c:f>
              <c:numCache>
                <c:formatCode>0</c:formatCode>
                <c:ptCount val="11"/>
                <c:pt idx="0">
                  <c:v>-8.6848791959787892</c:v>
                </c:pt>
                <c:pt idx="1">
                  <c:v>-6.9479033567830477</c:v>
                </c:pt>
                <c:pt idx="2">
                  <c:v>-5.2109275175872742</c:v>
                </c:pt>
                <c:pt idx="3">
                  <c:v>-3.4739516783915008</c:v>
                </c:pt>
                <c:pt idx="4">
                  <c:v>-1.7369758391957268</c:v>
                </c:pt>
                <c:pt idx="5">
                  <c:v>0</c:v>
                </c:pt>
                <c:pt idx="6">
                  <c:v>1.7369758391957892</c:v>
                </c:pt>
                <c:pt idx="7">
                  <c:v>3.4739516783915318</c:v>
                </c:pt>
                <c:pt idx="8">
                  <c:v>5.2109275175873053</c:v>
                </c:pt>
                <c:pt idx="9">
                  <c:v>6.9479033567830788</c:v>
                </c:pt>
                <c:pt idx="10">
                  <c:v>8.6848791959788212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B-46C8-866F-66E94CB52D5F}"/>
            </c:ext>
          </c:extLst>
        </c:ser>
        <c:ser>
          <c:idx val="3"/>
          <c:order val="2"/>
          <c:tx>
            <c:strRef>
              <c:f>Sensitivity!$E$4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Sensitivity!$E$5:$E$15</c:f>
              <c:numCache>
                <c:formatCode>0</c:formatCode>
                <c:ptCount val="11"/>
                <c:pt idx="0">
                  <c:v>-3.9335217890154777</c:v>
                </c:pt>
                <c:pt idx="1">
                  <c:v>-3.1468174312123667</c:v>
                </c:pt>
                <c:pt idx="2">
                  <c:v>-2.3601130734092868</c:v>
                </c:pt>
                <c:pt idx="3">
                  <c:v>-1.5734087156061911</c:v>
                </c:pt>
                <c:pt idx="4">
                  <c:v>-0.78670435780309556</c:v>
                </c:pt>
                <c:pt idx="5">
                  <c:v>0</c:v>
                </c:pt>
                <c:pt idx="6">
                  <c:v>0.78670435780309556</c:v>
                </c:pt>
                <c:pt idx="7">
                  <c:v>1.5734087156062067</c:v>
                </c:pt>
                <c:pt idx="8">
                  <c:v>2.3601130734093023</c:v>
                </c:pt>
                <c:pt idx="9">
                  <c:v>3.1468174312123667</c:v>
                </c:pt>
                <c:pt idx="10">
                  <c:v>3.9335217890154621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3B-46C8-866F-66E94CB52D5F}"/>
            </c:ext>
          </c:extLst>
        </c:ser>
        <c:ser>
          <c:idx val="4"/>
          <c:order val="3"/>
          <c:tx>
            <c:strRef>
              <c:f>Sensitivity!$F$4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Sensitivity!$F$5:$F$15</c:f>
              <c:numCache>
                <c:formatCode>0</c:formatCode>
                <c:ptCount val="11"/>
                <c:pt idx="0">
                  <c:v>-22.706613958277778</c:v>
                </c:pt>
                <c:pt idx="1">
                  <c:v>-18.165291166622222</c:v>
                </c:pt>
                <c:pt idx="2">
                  <c:v>-13.623968374966635</c:v>
                </c:pt>
                <c:pt idx="3">
                  <c:v>-9.0826455833110806</c:v>
                </c:pt>
                <c:pt idx="4">
                  <c:v>-4.5413227916555243</c:v>
                </c:pt>
                <c:pt idx="5">
                  <c:v>0</c:v>
                </c:pt>
                <c:pt idx="6">
                  <c:v>4.5413227916556025</c:v>
                </c:pt>
                <c:pt idx="7">
                  <c:v>11.867236970441136</c:v>
                </c:pt>
                <c:pt idx="8">
                  <c:v>16.547789331453181</c:v>
                </c:pt>
                <c:pt idx="9">
                  <c:v>21.23530317093309</c:v>
                </c:pt>
                <c:pt idx="10">
                  <c:v>25.776625962588611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3B-46C8-866F-66E94CB52D5F}"/>
            </c:ext>
          </c:extLst>
        </c:ser>
        <c:ser>
          <c:idx val="5"/>
          <c:order val="4"/>
          <c:tx>
            <c:strRef>
              <c:f>Sensitivity!$G$4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Sensitivity!$G$5:$G$15</c:f>
              <c:numCache>
                <c:formatCode>0</c:formatCode>
                <c:ptCount val="11"/>
                <c:pt idx="0">
                  <c:v>-14.021734762298971</c:v>
                </c:pt>
                <c:pt idx="1">
                  <c:v>-11.217387809839174</c:v>
                </c:pt>
                <c:pt idx="2">
                  <c:v>-8.4130408573793929</c:v>
                </c:pt>
                <c:pt idx="3">
                  <c:v>-5.6086939049195639</c:v>
                </c:pt>
                <c:pt idx="4">
                  <c:v>-2.8043469524597819</c:v>
                </c:pt>
                <c:pt idx="5">
                  <c:v>0</c:v>
                </c:pt>
                <c:pt idx="6">
                  <c:v>2.8043469524598286</c:v>
                </c:pt>
                <c:pt idx="7">
                  <c:v>5.608693904919611</c:v>
                </c:pt>
                <c:pt idx="8">
                  <c:v>8.4130408573794391</c:v>
                </c:pt>
                <c:pt idx="9">
                  <c:v>11.217387809839236</c:v>
                </c:pt>
                <c:pt idx="10">
                  <c:v>14.021734762298987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3B-46C8-866F-66E94CB52D5F}"/>
            </c:ext>
          </c:extLst>
        </c:ser>
        <c:ser>
          <c:idx val="0"/>
          <c:order val="5"/>
          <c:tx>
            <c:strRef>
              <c:f>Sensitivity!$H$4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Sensitivity!$H$5:$H$15</c:f>
              <c:numCache>
                <c:formatCode>0</c:formatCode>
                <c:ptCount val="11"/>
                <c:pt idx="0">
                  <c:v>8.6848791959788212</c:v>
                </c:pt>
                <c:pt idx="1">
                  <c:v>6.9479033567830788</c:v>
                </c:pt>
                <c:pt idx="2">
                  <c:v>5.2109275175873053</c:v>
                </c:pt>
                <c:pt idx="3">
                  <c:v>3.4739516783915318</c:v>
                </c:pt>
                <c:pt idx="4">
                  <c:v>1.7369758391957892</c:v>
                </c:pt>
                <c:pt idx="5">
                  <c:v>0</c:v>
                </c:pt>
                <c:pt idx="6">
                  <c:v>-1.7369758391957268</c:v>
                </c:pt>
                <c:pt idx="7">
                  <c:v>-3.4739516783915008</c:v>
                </c:pt>
                <c:pt idx="8">
                  <c:v>-5.2109275175872742</c:v>
                </c:pt>
                <c:pt idx="9">
                  <c:v>-6.9479033567830477</c:v>
                </c:pt>
                <c:pt idx="10">
                  <c:v>-8.6848791959787892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3B-46C8-866F-66E94CB52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Sensitivity!$C$20:$C$30</c:f>
              <c:numCache>
                <c:formatCode>0</c:formatCode>
                <c:ptCount val="11"/>
                <c:pt idx="0">
                  <c:v>-31.334378733128059</c:v>
                </c:pt>
                <c:pt idx="1">
                  <c:v>-25.067502986502443</c:v>
                </c:pt>
                <c:pt idx="2">
                  <c:v>-18.800627239876842</c:v>
                </c:pt>
                <c:pt idx="3">
                  <c:v>-12.533751493251263</c:v>
                </c:pt>
                <c:pt idx="4">
                  <c:v>-6.2668757466256135</c:v>
                </c:pt>
                <c:pt idx="5">
                  <c:v>0</c:v>
                </c:pt>
                <c:pt idx="6">
                  <c:v>6.2668757466256135</c:v>
                </c:pt>
                <c:pt idx="7">
                  <c:v>12.533751493251227</c:v>
                </c:pt>
                <c:pt idx="8">
                  <c:v>18.800627239876803</c:v>
                </c:pt>
                <c:pt idx="9">
                  <c:v>25.067502986502422</c:v>
                </c:pt>
                <c:pt idx="10">
                  <c:v>31.334378733128066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Sensitivity!$D$19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Sensitivity!$D$20:$D$30</c:f>
              <c:numCache>
                <c:formatCode>0</c:formatCode>
                <c:ptCount val="11"/>
                <c:pt idx="0">
                  <c:v>-6.013814651953564</c:v>
                </c:pt>
                <c:pt idx="1">
                  <c:v>-4.8110517215628406</c:v>
                </c:pt>
                <c:pt idx="2">
                  <c:v>-3.6082887911721344</c:v>
                </c:pt>
                <c:pt idx="3">
                  <c:v>-2.4055258607813936</c:v>
                </c:pt>
                <c:pt idx="4">
                  <c:v>-1.2027629303907412</c:v>
                </c:pt>
                <c:pt idx="5">
                  <c:v>0</c:v>
                </c:pt>
                <c:pt idx="6">
                  <c:v>1.2027629303906879</c:v>
                </c:pt>
                <c:pt idx="7">
                  <c:v>2.405525860781411</c:v>
                </c:pt>
                <c:pt idx="8">
                  <c:v>3.6082887911721344</c:v>
                </c:pt>
                <c:pt idx="9">
                  <c:v>4.8110517215628219</c:v>
                </c:pt>
                <c:pt idx="10">
                  <c:v>6.0138146519535107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Sensitivity!$E$19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Sensitivity!$E$20:$E$30</c:f>
              <c:numCache>
                <c:formatCode>0</c:formatCode>
                <c:ptCount val="11"/>
                <c:pt idx="0">
                  <c:v>-4.5180452752601878</c:v>
                </c:pt>
                <c:pt idx="1">
                  <c:v>-3.6144362202081322</c:v>
                </c:pt>
                <c:pt idx="2">
                  <c:v>-2.7108271651561129</c:v>
                </c:pt>
                <c:pt idx="3">
                  <c:v>-1.8072181101040752</c:v>
                </c:pt>
                <c:pt idx="4">
                  <c:v>-0.90360905505205547</c:v>
                </c:pt>
                <c:pt idx="5">
                  <c:v>0</c:v>
                </c:pt>
                <c:pt idx="6">
                  <c:v>0.90360905505201972</c:v>
                </c:pt>
                <c:pt idx="7">
                  <c:v>1.8072181101040574</c:v>
                </c:pt>
                <c:pt idx="8">
                  <c:v>2.7108271651560951</c:v>
                </c:pt>
                <c:pt idx="9">
                  <c:v>3.6144362202081148</c:v>
                </c:pt>
                <c:pt idx="10">
                  <c:v>4.5180452752601523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Sensitivity!$F$19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Sensitivity!$F$20:$F$30</c:f>
              <c:numCache>
                <c:formatCode>0</c:formatCode>
                <c:ptCount val="11"/>
                <c:pt idx="0">
                  <c:v>-27.020026746178566</c:v>
                </c:pt>
                <c:pt idx="1">
                  <c:v>-23.552773794971479</c:v>
                </c:pt>
                <c:pt idx="2">
                  <c:v>-20.617456995189677</c:v>
                </c:pt>
                <c:pt idx="3">
                  <c:v>-13.748093589337598</c:v>
                </c:pt>
                <c:pt idx="4">
                  <c:v>-10.812776789555814</c:v>
                </c:pt>
                <c:pt idx="5">
                  <c:v>0</c:v>
                </c:pt>
                <c:pt idx="6">
                  <c:v>2.9353167997817837</c:v>
                </c:pt>
                <c:pt idx="7">
                  <c:v>5.8706335995635861</c:v>
                </c:pt>
                <c:pt idx="8">
                  <c:v>8.8059503993453507</c:v>
                </c:pt>
                <c:pt idx="9">
                  <c:v>11.741267199127188</c:v>
                </c:pt>
                <c:pt idx="10">
                  <c:v>35.281640598553594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Sensitivity!$G$19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Sensitivity!$G$20:$G$30</c:f>
              <c:numCache>
                <c:formatCode>0</c:formatCode>
                <c:ptCount val="11"/>
                <c:pt idx="0">
                  <c:v>-8.6627693469554448</c:v>
                </c:pt>
                <c:pt idx="1">
                  <c:v>-6.9302154775643485</c:v>
                </c:pt>
                <c:pt idx="2">
                  <c:v>-5.1976616081732878</c:v>
                </c:pt>
                <c:pt idx="3">
                  <c:v>-3.4651077387821743</c:v>
                </c:pt>
                <c:pt idx="4">
                  <c:v>-1.7325538693910958</c:v>
                </c:pt>
                <c:pt idx="5">
                  <c:v>0</c:v>
                </c:pt>
                <c:pt idx="6">
                  <c:v>1.732553869391078</c:v>
                </c:pt>
                <c:pt idx="7">
                  <c:v>3.4651077387821561</c:v>
                </c:pt>
                <c:pt idx="8">
                  <c:v>5.1976616081732523</c:v>
                </c:pt>
                <c:pt idx="9">
                  <c:v>6.9302154775643485</c:v>
                </c:pt>
                <c:pt idx="10">
                  <c:v>8.6627693469554075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ser>
          <c:idx val="0"/>
          <c:order val="5"/>
          <c:tx>
            <c:strRef>
              <c:f>Sensitivity!$H$19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Sensitivity!$H$20:$H$30</c:f>
              <c:numCache>
                <c:formatCode>0</c:formatCode>
                <c:ptCount val="11"/>
                <c:pt idx="0">
                  <c:v>6.0138146519535107</c:v>
                </c:pt>
                <c:pt idx="1">
                  <c:v>4.8110517215628219</c:v>
                </c:pt>
                <c:pt idx="2">
                  <c:v>3.6082887911721344</c:v>
                </c:pt>
                <c:pt idx="3">
                  <c:v>2.4055258607814292</c:v>
                </c:pt>
                <c:pt idx="4">
                  <c:v>1.2027629303906879</c:v>
                </c:pt>
                <c:pt idx="5">
                  <c:v>0</c:v>
                </c:pt>
                <c:pt idx="6">
                  <c:v>-1.2027629303907412</c:v>
                </c:pt>
                <c:pt idx="7">
                  <c:v>-2.4055258607813936</c:v>
                </c:pt>
                <c:pt idx="8">
                  <c:v>-3.6082887911721344</c:v>
                </c:pt>
                <c:pt idx="9">
                  <c:v>-4.8110517215628406</c:v>
                </c:pt>
                <c:pt idx="10">
                  <c:v>-6.013814651953564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9-42D2-8A0B-105FC8E6A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575371243996611"/>
              <c:y val="0.4853482810763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7078366796508"/>
              <c:y val="6.8255921134858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4045314648168978"/>
          <c:w val="0.93649009886074819"/>
          <c:h val="0.129883764529433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Sensitivity!$C$35:$C$45</c:f>
              <c:numCache>
                <c:formatCode>0</c:formatCode>
                <c:ptCount val="11"/>
                <c:pt idx="0">
                  <c:v>-38.484104622912902</c:v>
                </c:pt>
                <c:pt idx="1">
                  <c:v>-30.787283698330327</c:v>
                </c:pt>
                <c:pt idx="2">
                  <c:v>-23.090462773747749</c:v>
                </c:pt>
                <c:pt idx="3">
                  <c:v>-15.393641849165151</c:v>
                </c:pt>
                <c:pt idx="4">
                  <c:v>-7.6968209245825969</c:v>
                </c:pt>
                <c:pt idx="5">
                  <c:v>0</c:v>
                </c:pt>
                <c:pt idx="6">
                  <c:v>7.6968209245825969</c:v>
                </c:pt>
                <c:pt idx="7">
                  <c:v>15.393641849165112</c:v>
                </c:pt>
                <c:pt idx="8">
                  <c:v>23.090462773747749</c:v>
                </c:pt>
                <c:pt idx="9">
                  <c:v>30.787283698330302</c:v>
                </c:pt>
                <c:pt idx="10">
                  <c:v>38.484104622912859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5-475B-8FA8-F82F9FC53E11}"/>
            </c:ext>
          </c:extLst>
        </c:ser>
        <c:ser>
          <c:idx val="2"/>
          <c:order val="1"/>
          <c:tx>
            <c:strRef>
              <c:f>Sensitivity!$D$34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Sensitivity!$D$35:$D$45</c:f>
              <c:numCache>
                <c:formatCode>0</c:formatCode>
                <c:ptCount val="11"/>
                <c:pt idx="0">
                  <c:v>-8.1857231243426618</c:v>
                </c:pt>
                <c:pt idx="1">
                  <c:v>-6.5485784994741651</c:v>
                </c:pt>
                <c:pt idx="2">
                  <c:v>-4.911433874605609</c:v>
                </c:pt>
                <c:pt idx="3">
                  <c:v>-3.2742892497370328</c:v>
                </c:pt>
                <c:pt idx="4">
                  <c:v>-1.6371446248685366</c:v>
                </c:pt>
                <c:pt idx="5">
                  <c:v>0</c:v>
                </c:pt>
                <c:pt idx="6">
                  <c:v>1.6371446248685366</c:v>
                </c:pt>
                <c:pt idx="7">
                  <c:v>3.2742892497370528</c:v>
                </c:pt>
                <c:pt idx="8">
                  <c:v>4.911433874605609</c:v>
                </c:pt>
                <c:pt idx="9">
                  <c:v>6.5485784994741252</c:v>
                </c:pt>
                <c:pt idx="10">
                  <c:v>8.1857231243427009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5-475B-8FA8-F82F9FC53E11}"/>
            </c:ext>
          </c:extLst>
        </c:ser>
        <c:ser>
          <c:idx val="3"/>
          <c:order val="2"/>
          <c:tx>
            <c:strRef>
              <c:f>Sensitivity!$E$34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Sensitivity!$E$35:$E$45</c:f>
              <c:numCache>
                <c:formatCode>0</c:formatCode>
                <c:ptCount val="11"/>
                <c:pt idx="0">
                  <c:v>-10.527463801339621</c:v>
                </c:pt>
                <c:pt idx="1">
                  <c:v>-8.4219710410717283</c:v>
                </c:pt>
                <c:pt idx="2">
                  <c:v>-6.3164782808037767</c:v>
                </c:pt>
                <c:pt idx="3">
                  <c:v>-4.2109855205358437</c:v>
                </c:pt>
                <c:pt idx="4">
                  <c:v>-2.1054927602678921</c:v>
                </c:pt>
                <c:pt idx="5">
                  <c:v>0</c:v>
                </c:pt>
                <c:pt idx="6">
                  <c:v>2.1054927602679121</c:v>
                </c:pt>
                <c:pt idx="7">
                  <c:v>4.2109855205358437</c:v>
                </c:pt>
                <c:pt idx="8">
                  <c:v>6.3164782808037971</c:v>
                </c:pt>
                <c:pt idx="9">
                  <c:v>8.4219710410716484</c:v>
                </c:pt>
                <c:pt idx="10">
                  <c:v>10.527463801339602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C5-475B-8FA8-F82F9FC53E11}"/>
            </c:ext>
          </c:extLst>
        </c:ser>
        <c:ser>
          <c:idx val="4"/>
          <c:order val="3"/>
          <c:tx>
            <c:strRef>
              <c:f>Sensitivity!$F$34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Sensitivity!$F$35:$F$45</c:f>
              <c:numCache>
                <c:formatCode>0</c:formatCode>
                <c:ptCount val="11"/>
                <c:pt idx="0">
                  <c:v>-23.7918429107831</c:v>
                </c:pt>
                <c:pt idx="1">
                  <c:v>-13.392664477907257</c:v>
                </c:pt>
                <c:pt idx="2">
                  <c:v>-10.073388552709297</c:v>
                </c:pt>
                <c:pt idx="3">
                  <c:v>-6.7354813051226774</c:v>
                </c:pt>
                <c:pt idx="4">
                  <c:v>-3.3780111690280958</c:v>
                </c:pt>
                <c:pt idx="5">
                  <c:v>0</c:v>
                </c:pt>
                <c:pt idx="6">
                  <c:v>10.852108209058626</c:v>
                </c:pt>
                <c:pt idx="7">
                  <c:v>13.79875768648405</c:v>
                </c:pt>
                <c:pt idx="8">
                  <c:v>17.984867646835145</c:v>
                </c:pt>
                <c:pt idx="9">
                  <c:v>20.93151712426053</c:v>
                </c:pt>
                <c:pt idx="10">
                  <c:v>23.878166601685951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C5-475B-8FA8-F82F9FC53E11}"/>
            </c:ext>
          </c:extLst>
        </c:ser>
        <c:ser>
          <c:idx val="5"/>
          <c:order val="4"/>
          <c:tx>
            <c:strRef>
              <c:f>Sensitivity!$G$34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Sensitivity!$G$35:$G$45</c:f>
              <c:numCache>
                <c:formatCode>0</c:formatCode>
                <c:ptCount val="11"/>
                <c:pt idx="0">
                  <c:v>-6.5475242627844752</c:v>
                </c:pt>
                <c:pt idx="1">
                  <c:v>-5.2380194102275679</c:v>
                </c:pt>
                <c:pt idx="2">
                  <c:v>-3.928514557670701</c:v>
                </c:pt>
                <c:pt idx="3">
                  <c:v>-2.6190097051137942</c:v>
                </c:pt>
                <c:pt idx="4">
                  <c:v>-1.3095048525568871</c:v>
                </c:pt>
                <c:pt idx="5">
                  <c:v>0</c:v>
                </c:pt>
                <c:pt idx="6">
                  <c:v>1.3095048525568871</c:v>
                </c:pt>
                <c:pt idx="7">
                  <c:v>2.6190097051137542</c:v>
                </c:pt>
                <c:pt idx="8">
                  <c:v>3.928514557670701</c:v>
                </c:pt>
                <c:pt idx="9">
                  <c:v>5.2380194102275679</c:v>
                </c:pt>
                <c:pt idx="10">
                  <c:v>6.5475242627844557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C5-475B-8FA8-F82F9FC53E11}"/>
            </c:ext>
          </c:extLst>
        </c:ser>
        <c:ser>
          <c:idx val="0"/>
          <c:order val="5"/>
          <c:tx>
            <c:strRef>
              <c:f>Sensitivity!$H$34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Sensitivity!$H$35:$H$45</c:f>
              <c:numCache>
                <c:formatCode>0</c:formatCode>
                <c:ptCount val="11"/>
                <c:pt idx="0">
                  <c:v>8.1857231243427009</c:v>
                </c:pt>
                <c:pt idx="1">
                  <c:v>6.5485784994741252</c:v>
                </c:pt>
                <c:pt idx="2">
                  <c:v>4.911433874605609</c:v>
                </c:pt>
                <c:pt idx="3">
                  <c:v>3.2742892497370528</c:v>
                </c:pt>
                <c:pt idx="4">
                  <c:v>1.6371446248685366</c:v>
                </c:pt>
                <c:pt idx="5">
                  <c:v>0</c:v>
                </c:pt>
                <c:pt idx="6">
                  <c:v>-1.6371446248685366</c:v>
                </c:pt>
                <c:pt idx="7">
                  <c:v>-3.2742892497370328</c:v>
                </c:pt>
                <c:pt idx="8">
                  <c:v>-4.911433874605609</c:v>
                </c:pt>
                <c:pt idx="9">
                  <c:v>-6.5485784994741651</c:v>
                </c:pt>
                <c:pt idx="10">
                  <c:v>-8.1857231243426618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C5-475B-8FA8-F82F9FC53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688876220583397"/>
              <c:y val="0.50351757868330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1261858585176"/>
              <c:y val="6.6341765925469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Sensitivity!$P$5:$P$15</c:f>
              <c:numCache>
                <c:formatCode>0</c:formatCode>
                <c:ptCount val="11"/>
                <c:pt idx="0">
                  <c:v>-15.854368027842799</c:v>
                </c:pt>
                <c:pt idx="1">
                  <c:v>-12.683494422274244</c:v>
                </c:pt>
                <c:pt idx="2">
                  <c:v>-9.512620816705688</c:v>
                </c:pt>
                <c:pt idx="3">
                  <c:v>-6.3417472111371138</c:v>
                </c:pt>
                <c:pt idx="4">
                  <c:v>-3.1708736055685569</c:v>
                </c:pt>
                <c:pt idx="5">
                  <c:v>0</c:v>
                </c:pt>
                <c:pt idx="6">
                  <c:v>3.1708736055685569</c:v>
                </c:pt>
                <c:pt idx="7">
                  <c:v>6.3417472111371307</c:v>
                </c:pt>
                <c:pt idx="8">
                  <c:v>9.512620816705688</c:v>
                </c:pt>
                <c:pt idx="9">
                  <c:v>12.683494422274244</c:v>
                </c:pt>
                <c:pt idx="10">
                  <c:v>15.854368027842819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5E-4531-99C1-C2F3CAE7849E}"/>
            </c:ext>
          </c:extLst>
        </c:ser>
        <c:ser>
          <c:idx val="2"/>
          <c:order val="1"/>
          <c:tx>
            <c:strRef>
              <c:f>Sensitivity!$Q$4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Sensitivity!$Q$5:$Q$15</c:f>
              <c:numCache>
                <c:formatCode>0</c:formatCode>
                <c:ptCount val="11"/>
                <c:pt idx="0">
                  <c:v>-29.202684266710367</c:v>
                </c:pt>
                <c:pt idx="1">
                  <c:v>-23.362147413368277</c:v>
                </c:pt>
                <c:pt idx="2">
                  <c:v>-17.521610560026208</c:v>
                </c:pt>
                <c:pt idx="3">
                  <c:v>-11.681073706684156</c:v>
                </c:pt>
                <c:pt idx="4">
                  <c:v>-5.8405368533420523</c:v>
                </c:pt>
                <c:pt idx="5">
                  <c:v>0</c:v>
                </c:pt>
                <c:pt idx="6">
                  <c:v>5.8405368533420869</c:v>
                </c:pt>
                <c:pt idx="7">
                  <c:v>11.681073706684138</c:v>
                </c:pt>
                <c:pt idx="8">
                  <c:v>17.521610560026208</c:v>
                </c:pt>
                <c:pt idx="9">
                  <c:v>23.362147413368277</c:v>
                </c:pt>
                <c:pt idx="10">
                  <c:v>29.202684266710367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5E-4531-99C1-C2F3CAE7849E}"/>
            </c:ext>
          </c:extLst>
        </c:ser>
        <c:ser>
          <c:idx val="3"/>
          <c:order val="2"/>
          <c:tx>
            <c:strRef>
              <c:f>Sensitivity!$R$4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Sensitivity!$R$5:$R$15</c:f>
              <c:numCache>
                <c:formatCode>0</c:formatCode>
                <c:ptCount val="11"/>
                <c:pt idx="0">
                  <c:v>-9.252787616740612</c:v>
                </c:pt>
                <c:pt idx="1">
                  <c:v>-7.402230093392502</c:v>
                </c:pt>
                <c:pt idx="2">
                  <c:v>-5.5516725700443592</c:v>
                </c:pt>
                <c:pt idx="3">
                  <c:v>-3.701115046696251</c:v>
                </c:pt>
                <c:pt idx="4">
                  <c:v>-1.8505575233481255</c:v>
                </c:pt>
                <c:pt idx="5">
                  <c:v>0</c:v>
                </c:pt>
                <c:pt idx="6">
                  <c:v>1.8505575233481428</c:v>
                </c:pt>
                <c:pt idx="7">
                  <c:v>3.701115046696251</c:v>
                </c:pt>
                <c:pt idx="8">
                  <c:v>5.551672570044377</c:v>
                </c:pt>
                <c:pt idx="9">
                  <c:v>7.4022300933924852</c:v>
                </c:pt>
                <c:pt idx="10">
                  <c:v>9.252787616740628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5E-4531-99C1-C2F3CAE7849E}"/>
            </c:ext>
          </c:extLst>
        </c:ser>
        <c:ser>
          <c:idx val="4"/>
          <c:order val="3"/>
          <c:tx>
            <c:strRef>
              <c:f>Sensitivity!$S$4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Sensitivity!$S$5:$S$15</c:f>
              <c:numCache>
                <c:formatCode>0</c:formatCode>
                <c:ptCount val="11"/>
                <c:pt idx="0">
                  <c:v>-38.455471883450983</c:v>
                </c:pt>
                <c:pt idx="1">
                  <c:v>-30.764377506760798</c:v>
                </c:pt>
                <c:pt idx="2">
                  <c:v>-23.073283130070585</c:v>
                </c:pt>
                <c:pt idx="3">
                  <c:v>-15.38218875338039</c:v>
                </c:pt>
                <c:pt idx="4">
                  <c:v>-7.691094376690212</c:v>
                </c:pt>
                <c:pt idx="5">
                  <c:v>0</c:v>
                </c:pt>
                <c:pt idx="6">
                  <c:v>7.691094376690212</c:v>
                </c:pt>
                <c:pt idx="7">
                  <c:v>15.38218875338039</c:v>
                </c:pt>
                <c:pt idx="8">
                  <c:v>23.073283130070603</c:v>
                </c:pt>
                <c:pt idx="9">
                  <c:v>30.764377506760766</c:v>
                </c:pt>
                <c:pt idx="10">
                  <c:v>38.45547188345099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5E-4531-99C1-C2F3CAE7849E}"/>
            </c:ext>
          </c:extLst>
        </c:ser>
        <c:ser>
          <c:idx val="5"/>
          <c:order val="4"/>
          <c:tx>
            <c:strRef>
              <c:f>Sensitivity!$T$4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Sensitivity!$T$5:$T$15</c:f>
              <c:numCache>
                <c:formatCode>0</c:formatCode>
                <c:ptCount val="11"/>
                <c:pt idx="0">
                  <c:v>29.202684266710367</c:v>
                </c:pt>
                <c:pt idx="1">
                  <c:v>23.362147413368277</c:v>
                </c:pt>
                <c:pt idx="2">
                  <c:v>17.521610560026208</c:v>
                </c:pt>
                <c:pt idx="3">
                  <c:v>11.681073706684138</c:v>
                </c:pt>
                <c:pt idx="4">
                  <c:v>5.8405368533420869</c:v>
                </c:pt>
                <c:pt idx="5">
                  <c:v>0</c:v>
                </c:pt>
                <c:pt idx="6">
                  <c:v>-5.8405368533420523</c:v>
                </c:pt>
                <c:pt idx="7">
                  <c:v>-11.681073706684156</c:v>
                </c:pt>
                <c:pt idx="8">
                  <c:v>-17.521610560026208</c:v>
                </c:pt>
                <c:pt idx="9">
                  <c:v>-23.362147413368277</c:v>
                </c:pt>
                <c:pt idx="10">
                  <c:v>-29.202684266710367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5E-4531-99C1-C2F3CAE7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017322242378667"/>
              <c:y val="0.44719021196936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Sensitivity!$P$20:$P$30</c:f>
              <c:numCache>
                <c:formatCode>0</c:formatCode>
                <c:ptCount val="11"/>
                <c:pt idx="0">
                  <c:v>-6.1609276276644458</c:v>
                </c:pt>
                <c:pt idx="1">
                  <c:v>-4.9287421021315598</c:v>
                </c:pt>
                <c:pt idx="2">
                  <c:v>-3.6965565765986743</c:v>
                </c:pt>
                <c:pt idx="3">
                  <c:v>-2.4643710510657715</c:v>
                </c:pt>
                <c:pt idx="4">
                  <c:v>-1.2321855255328857</c:v>
                </c:pt>
                <c:pt idx="5">
                  <c:v>0</c:v>
                </c:pt>
                <c:pt idx="6">
                  <c:v>1.2321855255329033</c:v>
                </c:pt>
                <c:pt idx="7">
                  <c:v>2.4643710510657888</c:v>
                </c:pt>
                <c:pt idx="8">
                  <c:v>3.6965565765986925</c:v>
                </c:pt>
                <c:pt idx="9">
                  <c:v>4.9287421021315776</c:v>
                </c:pt>
                <c:pt idx="10">
                  <c:v>6.1609276276644636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5-4E80-91A0-9E7898BCB501}"/>
            </c:ext>
          </c:extLst>
        </c:ser>
        <c:ser>
          <c:idx val="2"/>
          <c:order val="1"/>
          <c:tx>
            <c:strRef>
              <c:f>Sensitivity!$Q$19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Sensitivity!$Q$20:$Q$30</c:f>
              <c:numCache>
                <c:formatCode>0</c:formatCode>
                <c:ptCount val="11"/>
                <c:pt idx="0">
                  <c:v>-30.826878875146811</c:v>
                </c:pt>
                <c:pt idx="1">
                  <c:v>-24.661503100117454</c:v>
                </c:pt>
                <c:pt idx="2">
                  <c:v>-18.496127325088089</c:v>
                </c:pt>
                <c:pt idx="3">
                  <c:v>-12.330751550058695</c:v>
                </c:pt>
                <c:pt idx="4">
                  <c:v>-6.1653757750293563</c:v>
                </c:pt>
                <c:pt idx="5">
                  <c:v>0</c:v>
                </c:pt>
                <c:pt idx="6">
                  <c:v>6.1653757750293918</c:v>
                </c:pt>
                <c:pt idx="7">
                  <c:v>12.33075155005875</c:v>
                </c:pt>
                <c:pt idx="8">
                  <c:v>18.496127325088125</c:v>
                </c:pt>
                <c:pt idx="9">
                  <c:v>24.6615031001175</c:v>
                </c:pt>
                <c:pt idx="10">
                  <c:v>30.826878875146889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5-4E80-91A0-9E7898BCB501}"/>
            </c:ext>
          </c:extLst>
        </c:ser>
        <c:ser>
          <c:idx val="3"/>
          <c:order val="2"/>
          <c:tx>
            <c:strRef>
              <c:f>Sensitivity!$R$19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Sensitivity!$R$20:$R$30</c:f>
              <c:numCache>
                <c:formatCode>0</c:formatCode>
                <c:ptCount val="11"/>
                <c:pt idx="0">
                  <c:v>-14.381101091813321</c:v>
                </c:pt>
                <c:pt idx="1">
                  <c:v>-11.504880873450658</c:v>
                </c:pt>
                <c:pt idx="2">
                  <c:v>-8.6286606550879803</c:v>
                </c:pt>
                <c:pt idx="3">
                  <c:v>-5.7524404367253208</c:v>
                </c:pt>
                <c:pt idx="4">
                  <c:v>-2.8762202183626422</c:v>
                </c:pt>
                <c:pt idx="5">
                  <c:v>0</c:v>
                </c:pt>
                <c:pt idx="6">
                  <c:v>2.8762202183626782</c:v>
                </c:pt>
                <c:pt idx="7">
                  <c:v>5.7524404367253563</c:v>
                </c:pt>
                <c:pt idx="8">
                  <c:v>8.6286606550880336</c:v>
                </c:pt>
                <c:pt idx="9">
                  <c:v>11.504880873450677</c:v>
                </c:pt>
                <c:pt idx="10">
                  <c:v>14.381101091813337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5-4E80-91A0-9E7898BCB501}"/>
            </c:ext>
          </c:extLst>
        </c:ser>
        <c:ser>
          <c:idx val="4"/>
          <c:order val="3"/>
          <c:tx>
            <c:strRef>
              <c:f>Sensitivity!$S$19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Sensitivity!$S$20:$S$30</c:f>
              <c:numCache>
                <c:formatCode>0</c:formatCode>
                <c:ptCount val="11"/>
                <c:pt idx="0">
                  <c:v>-45.207979966960146</c:v>
                </c:pt>
                <c:pt idx="1">
                  <c:v>-36.166383973568124</c:v>
                </c:pt>
                <c:pt idx="2">
                  <c:v>-27.12478798017608</c:v>
                </c:pt>
                <c:pt idx="3">
                  <c:v>-18.083191986784033</c:v>
                </c:pt>
                <c:pt idx="4">
                  <c:v>-9.0415959933919989</c:v>
                </c:pt>
                <c:pt idx="5">
                  <c:v>0</c:v>
                </c:pt>
                <c:pt idx="6">
                  <c:v>9.0415959933920522</c:v>
                </c:pt>
                <c:pt idx="7">
                  <c:v>18.083191986784069</c:v>
                </c:pt>
                <c:pt idx="8">
                  <c:v>27.124787980176141</c:v>
                </c:pt>
                <c:pt idx="9">
                  <c:v>36.166383973568159</c:v>
                </c:pt>
                <c:pt idx="10">
                  <c:v>45.207979966960195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D5-4E80-91A0-9E7898BCB501}"/>
            </c:ext>
          </c:extLst>
        </c:ser>
        <c:ser>
          <c:idx val="5"/>
          <c:order val="4"/>
          <c:tx>
            <c:strRef>
              <c:f>Sensitivity!$T$19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Sensitivity!$T$20:$T$30</c:f>
              <c:numCache>
                <c:formatCode>0</c:formatCode>
                <c:ptCount val="11"/>
                <c:pt idx="0">
                  <c:v>30.826878875146889</c:v>
                </c:pt>
                <c:pt idx="1">
                  <c:v>24.6615031001175</c:v>
                </c:pt>
                <c:pt idx="2">
                  <c:v>18.496127325088125</c:v>
                </c:pt>
                <c:pt idx="3">
                  <c:v>12.33075155005875</c:v>
                </c:pt>
                <c:pt idx="4">
                  <c:v>6.1653757750293918</c:v>
                </c:pt>
                <c:pt idx="5">
                  <c:v>0</c:v>
                </c:pt>
                <c:pt idx="6">
                  <c:v>-6.1653757750293563</c:v>
                </c:pt>
                <c:pt idx="7">
                  <c:v>-12.330751550058713</c:v>
                </c:pt>
                <c:pt idx="8">
                  <c:v>-18.496127325088089</c:v>
                </c:pt>
                <c:pt idx="9">
                  <c:v>-24.661503100117447</c:v>
                </c:pt>
                <c:pt idx="10">
                  <c:v>-30.826878875146811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D5-4E80-91A0-9E7898BCB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456332154786084"/>
              <c:y val="0.44251112929984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ICE-van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Sensitivity!$P$35:$P$45</c:f>
              <c:numCache>
                <c:formatCode>0</c:formatCode>
                <c:ptCount val="11"/>
                <c:pt idx="0">
                  <c:v>-15.090338283968252</c:v>
                </c:pt>
                <c:pt idx="1">
                  <c:v>-12.072270627174603</c:v>
                </c:pt>
                <c:pt idx="2">
                  <c:v>-9.0542029703809543</c:v>
                </c:pt>
                <c:pt idx="3">
                  <c:v>-6.0361353135872955</c:v>
                </c:pt>
                <c:pt idx="4">
                  <c:v>-3.0180676567936593</c:v>
                </c:pt>
                <c:pt idx="5">
                  <c:v>0</c:v>
                </c:pt>
                <c:pt idx="6">
                  <c:v>3.0180676567936366</c:v>
                </c:pt>
                <c:pt idx="7">
                  <c:v>6.0361353135873079</c:v>
                </c:pt>
                <c:pt idx="8">
                  <c:v>9.054202970380933</c:v>
                </c:pt>
                <c:pt idx="9">
                  <c:v>12.072270627174559</c:v>
                </c:pt>
                <c:pt idx="10">
                  <c:v>15.090338283968229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6-4FA3-B9FC-AB6AD940501C}"/>
            </c:ext>
          </c:extLst>
        </c:ser>
        <c:ser>
          <c:idx val="2"/>
          <c:order val="1"/>
          <c:tx>
            <c:strRef>
              <c:f>Sensitivity!$Q$34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Sensitivity!$Q$35:$Q$45</c:f>
              <c:numCache>
                <c:formatCode>0</c:formatCode>
                <c:ptCount val="11"/>
                <c:pt idx="0">
                  <c:v>-28.871783746588232</c:v>
                </c:pt>
                <c:pt idx="1">
                  <c:v>-23.097426997270585</c:v>
                </c:pt>
                <c:pt idx="2">
                  <c:v>-17.323070247952938</c:v>
                </c:pt>
                <c:pt idx="3">
                  <c:v>-11.548713498635292</c:v>
                </c:pt>
                <c:pt idx="4">
                  <c:v>-5.7743567493176231</c:v>
                </c:pt>
                <c:pt idx="5">
                  <c:v>0</c:v>
                </c:pt>
                <c:pt idx="6">
                  <c:v>5.7743567493176462</c:v>
                </c:pt>
                <c:pt idx="7">
                  <c:v>11.548713498635257</c:v>
                </c:pt>
                <c:pt idx="8">
                  <c:v>17.323070247952916</c:v>
                </c:pt>
                <c:pt idx="9">
                  <c:v>23.097426997270549</c:v>
                </c:pt>
                <c:pt idx="10">
                  <c:v>28.871783746588207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6-4FA3-B9FC-AB6AD940501C}"/>
            </c:ext>
          </c:extLst>
        </c:ser>
        <c:ser>
          <c:idx val="3"/>
          <c:order val="2"/>
          <c:tx>
            <c:strRef>
              <c:f>Sensitivity!$R$34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Sensitivity!$R$35:$R$45</c:f>
              <c:numCache>
                <c:formatCode>0</c:formatCode>
                <c:ptCount val="11"/>
                <c:pt idx="0">
                  <c:v>-9.3930202369186802</c:v>
                </c:pt>
                <c:pt idx="1">
                  <c:v>-7.5144161895349351</c:v>
                </c:pt>
                <c:pt idx="2">
                  <c:v>-5.6358121421512131</c:v>
                </c:pt>
                <c:pt idx="3">
                  <c:v>-3.7572080947674786</c:v>
                </c:pt>
                <c:pt idx="4">
                  <c:v>-1.8786040473837338</c:v>
                </c:pt>
                <c:pt idx="5">
                  <c:v>0</c:v>
                </c:pt>
                <c:pt idx="6">
                  <c:v>1.8786040473837224</c:v>
                </c:pt>
                <c:pt idx="7">
                  <c:v>3.7572080947674564</c:v>
                </c:pt>
                <c:pt idx="8">
                  <c:v>5.6358121421511784</c:v>
                </c:pt>
                <c:pt idx="9">
                  <c:v>7.5144161895349466</c:v>
                </c:pt>
                <c:pt idx="10">
                  <c:v>9.3930202369186464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6-4FA3-B9FC-AB6AD940501C}"/>
            </c:ext>
          </c:extLst>
        </c:ser>
        <c:ser>
          <c:idx val="4"/>
          <c:order val="3"/>
          <c:tx>
            <c:strRef>
              <c:f>Sensitivity!$S$34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Sensitivity!$S$35:$S$45</c:f>
              <c:numCache>
                <c:formatCode>0</c:formatCode>
                <c:ptCount val="11"/>
                <c:pt idx="0">
                  <c:v>-38.264803983506887</c:v>
                </c:pt>
                <c:pt idx="1">
                  <c:v>-30.611843186805523</c:v>
                </c:pt>
                <c:pt idx="2">
                  <c:v>-22.958882390104161</c:v>
                </c:pt>
                <c:pt idx="3">
                  <c:v>-15.305921593402761</c:v>
                </c:pt>
                <c:pt idx="4">
                  <c:v>-7.6529607967013913</c:v>
                </c:pt>
                <c:pt idx="5">
                  <c:v>0</c:v>
                </c:pt>
                <c:pt idx="6">
                  <c:v>7.6529607967013673</c:v>
                </c:pt>
                <c:pt idx="7">
                  <c:v>15.305921593402724</c:v>
                </c:pt>
                <c:pt idx="8">
                  <c:v>22.958882390104126</c:v>
                </c:pt>
                <c:pt idx="9">
                  <c:v>30.611843186805487</c:v>
                </c:pt>
                <c:pt idx="10">
                  <c:v>38.264803983506887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6-4FA3-B9FC-AB6AD940501C}"/>
            </c:ext>
          </c:extLst>
        </c:ser>
        <c:ser>
          <c:idx val="5"/>
          <c:order val="4"/>
          <c:tx>
            <c:strRef>
              <c:f>Sensitivity!$T$34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Sensitivity!$T$35:$T$45</c:f>
              <c:numCache>
                <c:formatCode>0</c:formatCode>
                <c:ptCount val="11"/>
                <c:pt idx="0">
                  <c:v>28.871783746588207</c:v>
                </c:pt>
                <c:pt idx="1">
                  <c:v>23.097426997270549</c:v>
                </c:pt>
                <c:pt idx="2">
                  <c:v>17.323070247952916</c:v>
                </c:pt>
                <c:pt idx="3">
                  <c:v>11.548713498635257</c:v>
                </c:pt>
                <c:pt idx="4">
                  <c:v>5.7743567493176462</c:v>
                </c:pt>
                <c:pt idx="5">
                  <c:v>0</c:v>
                </c:pt>
                <c:pt idx="6">
                  <c:v>-5.7743567493176231</c:v>
                </c:pt>
                <c:pt idx="7">
                  <c:v>-11.548713498635292</c:v>
                </c:pt>
                <c:pt idx="8">
                  <c:v>-17.323070247952938</c:v>
                </c:pt>
                <c:pt idx="9">
                  <c:v>-23.097426997270585</c:v>
                </c:pt>
                <c:pt idx="10">
                  <c:v>-28.871783746588232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6-4FA3-B9FC-AB6AD940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215807039974622"/>
              <c:y val="0.43965933631892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∆TCO (%)</a:t>
                </a:r>
              </a:p>
            </c:rich>
          </c:tx>
          <c:layout>
            <c:manualLayout>
              <c:xMode val="edge"/>
              <c:yMode val="edge"/>
              <c:x val="0.52920813154493507"/>
              <c:y val="6.38308157574638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182033803049384"/>
          <c:w val="0.94665685519593967"/>
          <c:h val="0.1352837259205838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667578916" name="Chart 1">
          <a:extLst>
            <a:ext uri="{FF2B5EF4-FFF2-40B4-BE49-F238E27FC236}">
              <a16:creationId xmlns:a16="http://schemas.microsoft.com/office/drawing/2014/main" id="{00000000-0008-0000-0000-00002472C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115145506" name="Chart 2">
          <a:extLst>
            <a:ext uri="{FF2B5EF4-FFF2-40B4-BE49-F238E27FC236}">
              <a16:creationId xmlns:a16="http://schemas.microsoft.com/office/drawing/2014/main" id="{00000000-0008-0000-0000-000022C57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113991110" name="Chart 4">
          <a:extLst>
            <a:ext uri="{FF2B5EF4-FFF2-40B4-BE49-F238E27FC236}">
              <a16:creationId xmlns:a16="http://schemas.microsoft.com/office/drawing/2014/main" id="{00000000-0008-0000-0100-0000C6276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936138102" name="Chart 5">
          <a:extLst>
            <a:ext uri="{FF2B5EF4-FFF2-40B4-BE49-F238E27FC236}">
              <a16:creationId xmlns:a16="http://schemas.microsoft.com/office/drawing/2014/main" id="{00000000-0008-0000-0100-00007655C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398209463" name="Chart 7">
          <a:extLst>
            <a:ext uri="{FF2B5EF4-FFF2-40B4-BE49-F238E27FC236}">
              <a16:creationId xmlns:a16="http://schemas.microsoft.com/office/drawing/2014/main" id="{00000000-0008-0000-0200-0000B7FB5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613512685" name="Chart 8">
          <a:extLst>
            <a:ext uri="{FF2B5EF4-FFF2-40B4-BE49-F238E27FC236}">
              <a16:creationId xmlns:a16="http://schemas.microsoft.com/office/drawing/2014/main" id="{00000000-0008-0000-0200-0000ED3F2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713068277" name="Chart 10">
          <a:extLst>
            <a:ext uri="{FF2B5EF4-FFF2-40B4-BE49-F238E27FC236}">
              <a16:creationId xmlns:a16="http://schemas.microsoft.com/office/drawing/2014/main" id="{00000000-0008-0000-0300-0000F5581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769036470" name="Chart 11">
          <a:extLst>
            <a:ext uri="{FF2B5EF4-FFF2-40B4-BE49-F238E27FC236}">
              <a16:creationId xmlns:a16="http://schemas.microsoft.com/office/drawing/2014/main" id="{00000000-0008-0000-0300-0000B65A7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134909310" name="Chart 13">
          <a:extLst>
            <a:ext uri="{FF2B5EF4-FFF2-40B4-BE49-F238E27FC236}">
              <a16:creationId xmlns:a16="http://schemas.microsoft.com/office/drawing/2014/main" id="{00000000-0008-0000-0400-00007E57A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741664887" name="Chart 14">
          <a:extLst>
            <a:ext uri="{FF2B5EF4-FFF2-40B4-BE49-F238E27FC236}">
              <a16:creationId xmlns:a16="http://schemas.microsoft.com/office/drawing/2014/main" id="{00000000-0008-0000-0400-000077B2C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021247936" name="Chart 16">
          <a:extLst>
            <a:ext uri="{FF2B5EF4-FFF2-40B4-BE49-F238E27FC236}">
              <a16:creationId xmlns:a16="http://schemas.microsoft.com/office/drawing/2014/main" id="{00000000-0008-0000-0500-0000C001D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161152767" name="Chart 17">
          <a:extLst>
            <a:ext uri="{FF2B5EF4-FFF2-40B4-BE49-F238E27FC236}">
              <a16:creationId xmlns:a16="http://schemas.microsoft.com/office/drawing/2014/main" id="{00000000-0008-0000-0500-0000FFC83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324149</xdr:colOff>
      <xdr:row>2</xdr:row>
      <xdr:rowOff>39895</xdr:rowOff>
    </xdr:from>
    <xdr:to>
      <xdr:col>13</xdr:col>
      <xdr:colOff>83532</xdr:colOff>
      <xdr:row>15</xdr:row>
      <xdr:rowOff>147078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2F407D-11B0-4B18-8699-348BC0FA2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264583</xdr:colOff>
      <xdr:row>17</xdr:row>
      <xdr:rowOff>63499</xdr:rowOff>
    </xdr:from>
    <xdr:to>
      <xdr:col>13</xdr:col>
      <xdr:colOff>21124</xdr:colOff>
      <xdr:row>30</xdr:row>
      <xdr:rowOff>170682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BA5228-E79E-4458-8C07-7D85C2D64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247650</xdr:colOff>
      <xdr:row>32</xdr:row>
      <xdr:rowOff>76200</xdr:rowOff>
    </xdr:from>
    <xdr:to>
      <xdr:col>13</xdr:col>
      <xdr:colOff>4191</xdr:colOff>
      <xdr:row>45</xdr:row>
      <xdr:rowOff>183384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635672C-A65E-4F0D-B7D9-2AF7DE1AA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611037</xdr:colOff>
      <xdr:row>1</xdr:row>
      <xdr:rowOff>242617</xdr:rowOff>
    </xdr:from>
    <xdr:to>
      <xdr:col>25</xdr:col>
      <xdr:colOff>432816</xdr:colOff>
      <xdr:row>15</xdr:row>
      <xdr:rowOff>107182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0EA192C-2512-4B4D-985D-99E6CD021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9525</xdr:colOff>
      <xdr:row>17</xdr:row>
      <xdr:rowOff>19049</xdr:rowOff>
    </xdr:from>
    <xdr:to>
      <xdr:col>25</xdr:col>
      <xdr:colOff>442341</xdr:colOff>
      <xdr:row>30</xdr:row>
      <xdr:rowOff>126232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0CCCC11-DDD1-464B-B191-DAE93F612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20</xdr:col>
      <xdr:colOff>611037</xdr:colOff>
      <xdr:row>32</xdr:row>
      <xdr:rowOff>85725</xdr:rowOff>
    </xdr:from>
    <xdr:to>
      <xdr:col>25</xdr:col>
      <xdr:colOff>432816</xdr:colOff>
      <xdr:row>46</xdr:row>
      <xdr:rowOff>4206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61F951C-C23C-4932-A4A1-D49273D6E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908e728f1b34df/Paper%20ERIA/Xls%20baru%2029092024/TCO_Vietnam%2025092024.xlsx" TargetMode="External"/><Relationship Id="rId1" Type="http://schemas.openxmlformats.org/officeDocument/2006/relationships/externalLinkPath" Target="TCO_Vietnam%202509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-Bus%20I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-Bus VN"/>
      <sheetName val="ICE-Bus VN"/>
      <sheetName val="E-Truck VN"/>
      <sheetName val="ICE-Truck VN"/>
      <sheetName val="E-Kargo VN"/>
      <sheetName val="ICE-Kargo VN"/>
      <sheetName val="Sensitivity"/>
      <sheetName val="Descrip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∆Parameter (%)</v>
          </cell>
          <cell r="C3" t="str">
            <v>∆TCO (%)</v>
          </cell>
          <cell r="O3" t="str">
            <v>∆Parameter (%)</v>
          </cell>
          <cell r="P3" t="str">
            <v>∆TCO (%)</v>
          </cell>
        </row>
        <row r="4">
          <cell r="C4" t="str">
            <v>Vehicle Price</v>
          </cell>
          <cell r="D4" t="str">
            <v>Electricity tarrif</v>
          </cell>
          <cell r="E4" t="str">
            <v>Battery cost</v>
          </cell>
          <cell r="F4" t="str">
            <v>AKT</v>
          </cell>
          <cell r="G4" t="str">
            <v>O&amp;M costs</v>
          </cell>
          <cell r="H4" t="str">
            <v>Energy Efficiency</v>
          </cell>
          <cell r="P4" t="str">
            <v>Vehicle Price</v>
          </cell>
          <cell r="Q4" t="str">
            <v>Fuel price</v>
          </cell>
          <cell r="R4" t="str">
            <v>O&amp;M costs</v>
          </cell>
          <cell r="S4" t="str">
            <v>AKT</v>
          </cell>
          <cell r="T4" t="str">
            <v>Energy Efficiency</v>
          </cell>
        </row>
        <row r="5">
          <cell r="B5">
            <v>-50</v>
          </cell>
          <cell r="C5">
            <v>-41.317219373008648</v>
          </cell>
          <cell r="D5">
            <v>-6.4774955115433617</v>
          </cell>
          <cell r="E5">
            <v>-4.6900500238037353</v>
          </cell>
          <cell r="F5">
            <v>-17.473472175419065</v>
          </cell>
          <cell r="G5">
            <v>-10.995976663875675</v>
          </cell>
          <cell r="H5">
            <v>6.4774955115434061</v>
          </cell>
          <cell r="O5">
            <v>-50</v>
          </cell>
          <cell r="P5">
            <v>-25.139178309761277</v>
          </cell>
          <cell r="Q5">
            <v>-18.553540899633468</v>
          </cell>
          <cell r="R5">
            <v>-8.7307936843104592</v>
          </cell>
          <cell r="S5">
            <v>-27.284334583943938</v>
          </cell>
          <cell r="T5">
            <v>18.553540899633475</v>
          </cell>
        </row>
        <row r="6">
          <cell r="B6">
            <v>-40</v>
          </cell>
          <cell r="C6">
            <v>-33.053775498406921</v>
          </cell>
          <cell r="D6">
            <v>-5.1819964092346948</v>
          </cell>
          <cell r="E6">
            <v>-3.7520400190429881</v>
          </cell>
          <cell r="F6">
            <v>-13.97877774033525</v>
          </cell>
          <cell r="G6">
            <v>-8.7967813311005258</v>
          </cell>
          <cell r="H6">
            <v>5.1819964092347393</v>
          </cell>
          <cell r="O6">
            <v>-40</v>
          </cell>
          <cell r="P6">
            <v>-20.111342647809028</v>
          </cell>
          <cell r="Q6">
            <v>-14.842832719706795</v>
          </cell>
          <cell r="R6">
            <v>-6.9846349474483596</v>
          </cell>
          <cell r="S6">
            <v>-21.827467667155155</v>
          </cell>
          <cell r="T6">
            <v>14.842832719706745</v>
          </cell>
        </row>
        <row r="7">
          <cell r="B7">
            <v>-30</v>
          </cell>
          <cell r="C7">
            <v>-24.790331623805191</v>
          </cell>
          <cell r="D7">
            <v>-3.8864973069260138</v>
          </cell>
          <cell r="E7">
            <v>-2.8140300142822561</v>
          </cell>
          <cell r="F7">
            <v>-10.484083305251449</v>
          </cell>
          <cell r="G7">
            <v>-6.5975859983253908</v>
          </cell>
          <cell r="H7">
            <v>3.8864973069260289</v>
          </cell>
          <cell r="O7">
            <v>-30</v>
          </cell>
          <cell r="P7">
            <v>-15.083506985856779</v>
          </cell>
          <cell r="Q7">
            <v>-11.132124539780113</v>
          </cell>
          <cell r="R7">
            <v>-5.238476210586299</v>
          </cell>
          <cell r="S7">
            <v>-16.370600750366343</v>
          </cell>
          <cell r="T7">
            <v>11.132124539780055</v>
          </cell>
        </row>
        <row r="8">
          <cell r="B8">
            <v>-20</v>
          </cell>
          <cell r="C8">
            <v>-16.526887749203453</v>
          </cell>
          <cell r="D8">
            <v>-2.5909982046173328</v>
          </cell>
          <cell r="E8">
            <v>-1.8760200095214792</v>
          </cell>
          <cell r="F8">
            <v>-6.9893888701676179</v>
          </cell>
          <cell r="G8">
            <v>-4.39839066555027</v>
          </cell>
          <cell r="H8">
            <v>2.5909982046173621</v>
          </cell>
          <cell r="O8">
            <v>-20</v>
          </cell>
          <cell r="P8">
            <v>-10.055671323904539</v>
          </cell>
          <cell r="Q8">
            <v>-7.4214163598534029</v>
          </cell>
          <cell r="R8">
            <v>-3.4923174737241998</v>
          </cell>
          <cell r="S8">
            <v>-10.913733833577561</v>
          </cell>
          <cell r="T8">
            <v>7.4214163598533816</v>
          </cell>
        </row>
        <row r="9">
          <cell r="B9">
            <v>-10</v>
          </cell>
          <cell r="C9">
            <v>-8.2634438746017036</v>
          </cell>
          <cell r="D9">
            <v>-1.2954991023086515</v>
          </cell>
          <cell r="E9">
            <v>-0.93801000476074703</v>
          </cell>
          <cell r="F9">
            <v>-3.4946944350837867</v>
          </cell>
          <cell r="G9">
            <v>-2.1991953327751204</v>
          </cell>
          <cell r="H9">
            <v>1.2954991023086959</v>
          </cell>
          <cell r="O9">
            <v>-10</v>
          </cell>
          <cell r="P9">
            <v>-5.02783566195225</v>
          </cell>
          <cell r="Q9">
            <v>-3.7107081799267112</v>
          </cell>
          <cell r="R9">
            <v>-1.7461587368620999</v>
          </cell>
          <cell r="S9">
            <v>-5.4568669167888109</v>
          </cell>
          <cell r="T9">
            <v>3.7107081799266717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1.4860012938056297E-14</v>
          </cell>
          <cell r="H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B11">
            <v>10</v>
          </cell>
          <cell r="C11">
            <v>8.263443874601748</v>
          </cell>
          <cell r="D11">
            <v>1.2954991023086959</v>
          </cell>
          <cell r="E11">
            <v>0.9380100047607618</v>
          </cell>
          <cell r="F11">
            <v>3.4946944350838458</v>
          </cell>
          <cell r="G11">
            <v>2.1991953327751794</v>
          </cell>
          <cell r="H11">
            <v>-1.2954991023086515</v>
          </cell>
          <cell r="O11">
            <v>10</v>
          </cell>
          <cell r="P11">
            <v>5.02783566195225</v>
          </cell>
          <cell r="Q11">
            <v>3.7107081799266717</v>
          </cell>
          <cell r="R11">
            <v>1.7461587368620599</v>
          </cell>
          <cell r="S11">
            <v>5.4568669167887913</v>
          </cell>
          <cell r="T11">
            <v>-3.7107081799267112</v>
          </cell>
        </row>
        <row r="12">
          <cell r="B12">
            <v>20</v>
          </cell>
          <cell r="C12">
            <v>16.526887749203453</v>
          </cell>
          <cell r="D12">
            <v>2.5909982046173621</v>
          </cell>
          <cell r="E12">
            <v>1.8760200095214941</v>
          </cell>
          <cell r="F12">
            <v>6.9893888701676179</v>
          </cell>
          <cell r="G12">
            <v>4.3983906655503002</v>
          </cell>
          <cell r="H12">
            <v>-2.5909982046173328</v>
          </cell>
          <cell r="O12">
            <v>20</v>
          </cell>
          <cell r="P12">
            <v>10.055671323904479</v>
          </cell>
          <cell r="Q12">
            <v>7.4214163598533816</v>
          </cell>
          <cell r="R12">
            <v>3.4923174737241593</v>
          </cell>
          <cell r="S12">
            <v>10.913733833577561</v>
          </cell>
          <cell r="T12">
            <v>-7.4214163598534029</v>
          </cell>
        </row>
        <row r="13">
          <cell r="B13">
            <v>30</v>
          </cell>
          <cell r="C13">
            <v>24.790331623805233</v>
          </cell>
          <cell r="D13">
            <v>3.8864973069260289</v>
          </cell>
          <cell r="E13">
            <v>2.8140300142822561</v>
          </cell>
          <cell r="F13">
            <v>10.484083305251449</v>
          </cell>
          <cell r="G13">
            <v>6.5975859983254352</v>
          </cell>
          <cell r="H13">
            <v>-3.8864973069260138</v>
          </cell>
          <cell r="O13">
            <v>30</v>
          </cell>
          <cell r="P13">
            <v>15.083506985856749</v>
          </cell>
          <cell r="Q13">
            <v>11.132124539780055</v>
          </cell>
          <cell r="R13">
            <v>5.2384762105862599</v>
          </cell>
          <cell r="S13">
            <v>16.370600750366311</v>
          </cell>
          <cell r="T13">
            <v>-11.132124539780113</v>
          </cell>
        </row>
        <row r="14">
          <cell r="B14">
            <v>40</v>
          </cell>
          <cell r="C14">
            <v>33.053775498406985</v>
          </cell>
          <cell r="D14">
            <v>5.1819964092347393</v>
          </cell>
          <cell r="E14">
            <v>3.7520400190429881</v>
          </cell>
          <cell r="F14">
            <v>13.97877774033528</v>
          </cell>
          <cell r="G14">
            <v>8.7967813311005845</v>
          </cell>
          <cell r="H14">
            <v>-5.1819964092346948</v>
          </cell>
          <cell r="O14">
            <v>40</v>
          </cell>
          <cell r="P14">
            <v>20.111342647809</v>
          </cell>
          <cell r="Q14">
            <v>14.842832719706745</v>
          </cell>
          <cell r="R14">
            <v>6.98463494744834</v>
          </cell>
          <cell r="S14">
            <v>21.827467667155144</v>
          </cell>
          <cell r="T14">
            <v>-14.842832719706795</v>
          </cell>
        </row>
        <row r="15">
          <cell r="B15">
            <v>50</v>
          </cell>
          <cell r="C15">
            <v>41.317219373008747</v>
          </cell>
          <cell r="D15">
            <v>6.4774955115434061</v>
          </cell>
          <cell r="E15">
            <v>4.6900500238037797</v>
          </cell>
          <cell r="F15">
            <v>17.473472175419094</v>
          </cell>
          <cell r="G15">
            <v>10.995976663875705</v>
          </cell>
          <cell r="H15">
            <v>-6.4774955115433617</v>
          </cell>
          <cell r="O15">
            <v>50</v>
          </cell>
          <cell r="P15">
            <v>25.139178309761267</v>
          </cell>
          <cell r="Q15">
            <v>18.553540899633475</v>
          </cell>
          <cell r="R15">
            <v>8.7307936843104397</v>
          </cell>
          <cell r="S15">
            <v>27.284334583943874</v>
          </cell>
          <cell r="T15">
            <v>-18.553540899633468</v>
          </cell>
        </row>
        <row r="19">
          <cell r="C19" t="str">
            <v>Vehicle Price</v>
          </cell>
          <cell r="D19" t="str">
            <v>Electricity tarrif</v>
          </cell>
          <cell r="E19" t="str">
            <v>Battery cost</v>
          </cell>
          <cell r="F19" t="str">
            <v>AKT</v>
          </cell>
          <cell r="G19" t="str">
            <v>O&amp;M costs</v>
          </cell>
          <cell r="H19" t="str">
            <v>Energy Efficiency</v>
          </cell>
          <cell r="P19" t="str">
            <v>Vehicle Price</v>
          </cell>
          <cell r="Q19" t="str">
            <v>Fuel price</v>
          </cell>
          <cell r="R19" t="str">
            <v>O&amp;M costs</v>
          </cell>
          <cell r="S19" t="str">
            <v>AKT</v>
          </cell>
          <cell r="T19" t="str">
            <v>Energy Efficiency</v>
          </cell>
        </row>
        <row r="20">
          <cell r="B20">
            <v>-50</v>
          </cell>
          <cell r="C20">
            <v>-36.957477823010329</v>
          </cell>
          <cell r="D20">
            <v>-5.3768514753835337</v>
          </cell>
          <cell r="E20">
            <v>-5.2306235180329699</v>
          </cell>
          <cell r="F20">
            <v>-26.97277957215795</v>
          </cell>
          <cell r="G20">
            <v>-8.1437320431647748</v>
          </cell>
          <cell r="H20">
            <v>5.3768514753835337</v>
          </cell>
          <cell r="O20">
            <v>-50</v>
          </cell>
          <cell r="P20">
            <v>-8.1868050173171163</v>
          </cell>
          <cell r="Q20">
            <v>-20.388210702551504</v>
          </cell>
          <cell r="R20">
            <v>-14.125986772679463</v>
          </cell>
          <cell r="S20">
            <v>-34.514197475230965</v>
          </cell>
          <cell r="T20">
            <v>20.388210702551504</v>
          </cell>
        </row>
        <row r="21">
          <cell r="B21">
            <v>-40</v>
          </cell>
          <cell r="C21">
            <v>-29.565982258408262</v>
          </cell>
          <cell r="D21">
            <v>-4.3014811803068298</v>
          </cell>
          <cell r="E21">
            <v>-4.1844988144263597</v>
          </cell>
          <cell r="F21">
            <v>-18.063452542544187</v>
          </cell>
          <cell r="G21">
            <v>-6.5149856345317936</v>
          </cell>
          <cell r="H21">
            <v>4.3014811803068467</v>
          </cell>
          <cell r="O21">
            <v>-40</v>
          </cell>
          <cell r="P21">
            <v>-6.5494440138536918</v>
          </cell>
          <cell r="Q21">
            <v>-16.310568562041205</v>
          </cell>
          <cell r="R21">
            <v>-11.300789418143566</v>
          </cell>
          <cell r="S21">
            <v>-27.611357980184771</v>
          </cell>
          <cell r="T21">
            <v>16.31056856204119</v>
          </cell>
        </row>
        <row r="22">
          <cell r="B22">
            <v>-30</v>
          </cell>
          <cell r="C22">
            <v>-22.174486693806195</v>
          </cell>
          <cell r="D22">
            <v>-3.2261108852301099</v>
          </cell>
          <cell r="E22">
            <v>-3.138374110819766</v>
          </cell>
          <cell r="F22">
            <v>-15.049075322539304</v>
          </cell>
          <cell r="G22">
            <v>-4.8862392258988621</v>
          </cell>
          <cell r="H22">
            <v>3.2261108852301437</v>
          </cell>
          <cell r="O22">
            <v>-30</v>
          </cell>
          <cell r="P22">
            <v>-4.9120830103902691</v>
          </cell>
          <cell r="Q22">
            <v>-12.232926421530891</v>
          </cell>
          <cell r="R22">
            <v>-8.4755920636076834</v>
          </cell>
          <cell r="S22">
            <v>-20.70851848513859</v>
          </cell>
          <cell r="T22">
            <v>12.232926421530909</v>
          </cell>
        </row>
        <row r="23">
          <cell r="B23">
            <v>-20</v>
          </cell>
          <cell r="C23">
            <v>-14.782991129204119</v>
          </cell>
          <cell r="D23">
            <v>-2.1507405901534069</v>
          </cell>
          <cell r="E23">
            <v>-2.0922494072131879</v>
          </cell>
          <cell r="F23">
            <v>-12.019185076719678</v>
          </cell>
          <cell r="G23">
            <v>-3.2574928172658968</v>
          </cell>
          <cell r="H23">
            <v>2.1507405901534562</v>
          </cell>
          <cell r="O23">
            <v>-20</v>
          </cell>
          <cell r="P23">
            <v>-3.2747220069268459</v>
          </cell>
          <cell r="Q23">
            <v>-8.1552842810205952</v>
          </cell>
          <cell r="R23">
            <v>-5.650394709071783</v>
          </cell>
          <cell r="S23">
            <v>-13.805678990092392</v>
          </cell>
          <cell r="T23">
            <v>8.1552842810206112</v>
          </cell>
        </row>
        <row r="24">
          <cell r="B24">
            <v>-10</v>
          </cell>
          <cell r="C24">
            <v>-7.3914955646020752</v>
          </cell>
          <cell r="D24">
            <v>-1.075370295076687</v>
          </cell>
          <cell r="E24">
            <v>-1.0461247036065939</v>
          </cell>
          <cell r="F24">
            <v>-8.973006153794568</v>
          </cell>
          <cell r="G24">
            <v>-1.6287464086329484</v>
          </cell>
          <cell r="H24">
            <v>1.075370295076687</v>
          </cell>
          <cell r="O24">
            <v>-10</v>
          </cell>
          <cell r="P24">
            <v>-1.6373610034634229</v>
          </cell>
          <cell r="Q24">
            <v>-4.0776421405102976</v>
          </cell>
          <cell r="R24">
            <v>-2.8251973545358826</v>
          </cell>
          <cell r="S24">
            <v>-6.9028394950461962</v>
          </cell>
          <cell r="T24">
            <v>4.0776421405103145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>
            <v>10</v>
          </cell>
          <cell r="C26">
            <v>7.3914955646020752</v>
          </cell>
          <cell r="D26">
            <v>1.075370295076687</v>
          </cell>
          <cell r="E26">
            <v>1.0461247036065775</v>
          </cell>
          <cell r="F26">
            <v>2.7041167037096683</v>
          </cell>
          <cell r="G26">
            <v>1.628746408632965</v>
          </cell>
          <cell r="H26">
            <v>-1.075370295076687</v>
          </cell>
          <cell r="O26">
            <v>10</v>
          </cell>
          <cell r="P26">
            <v>1.6373610034634229</v>
          </cell>
          <cell r="Q26">
            <v>4.0776421405103145</v>
          </cell>
          <cell r="R26">
            <v>2.8251973545359172</v>
          </cell>
          <cell r="S26">
            <v>6.9028394950462149</v>
          </cell>
          <cell r="T26">
            <v>-4.0776421405102976</v>
          </cell>
        </row>
        <row r="27">
          <cell r="B27">
            <v>20</v>
          </cell>
          <cell r="C27">
            <v>14.78299112920415</v>
          </cell>
          <cell r="D27">
            <v>2.1507405901534562</v>
          </cell>
          <cell r="E27">
            <v>2.0922494072131719</v>
          </cell>
          <cell r="F27">
            <v>6.3911037263950199</v>
          </cell>
          <cell r="G27">
            <v>3.2574928172658968</v>
          </cell>
          <cell r="H27">
            <v>-2.1507405901534069</v>
          </cell>
          <cell r="O27">
            <v>20</v>
          </cell>
          <cell r="P27">
            <v>3.2747220069268459</v>
          </cell>
          <cell r="Q27">
            <v>8.1552842810206112</v>
          </cell>
          <cell r="R27">
            <v>5.6503947090717999</v>
          </cell>
          <cell r="S27">
            <v>13.805678990092412</v>
          </cell>
          <cell r="T27">
            <v>-8.1552842810205952</v>
          </cell>
        </row>
        <row r="28">
          <cell r="B28">
            <v>30</v>
          </cell>
          <cell r="C28">
            <v>22.174486693806227</v>
          </cell>
          <cell r="D28">
            <v>3.2261108852301268</v>
          </cell>
          <cell r="E28">
            <v>3.1383741108197492</v>
          </cell>
          <cell r="F28">
            <v>9.0952204301046891</v>
          </cell>
          <cell r="G28">
            <v>4.8862392258988789</v>
          </cell>
          <cell r="H28">
            <v>-3.2261108852301099</v>
          </cell>
          <cell r="O28">
            <v>30</v>
          </cell>
          <cell r="P28">
            <v>4.9120830103902691</v>
          </cell>
          <cell r="Q28">
            <v>12.232926421530909</v>
          </cell>
          <cell r="R28">
            <v>8.4755920636076656</v>
          </cell>
          <cell r="S28">
            <v>20.708518485138576</v>
          </cell>
          <cell r="T28">
            <v>-12.232926421530891</v>
          </cell>
        </row>
        <row r="29">
          <cell r="B29">
            <v>40</v>
          </cell>
          <cell r="C29">
            <v>29.565982258408269</v>
          </cell>
          <cell r="D29">
            <v>4.3014811803068467</v>
          </cell>
          <cell r="E29">
            <v>4.1844988144263437</v>
          </cell>
          <cell r="F29">
            <v>11.79933713381434</v>
          </cell>
          <cell r="G29">
            <v>6.5149856345318096</v>
          </cell>
          <cell r="H29">
            <v>-4.3014811803068298</v>
          </cell>
          <cell r="O29">
            <v>40</v>
          </cell>
          <cell r="P29">
            <v>6.5494440138536918</v>
          </cell>
          <cell r="Q29">
            <v>16.31056856204119</v>
          </cell>
          <cell r="R29">
            <v>11.300789418143566</v>
          </cell>
          <cell r="S29">
            <v>27.611357980184771</v>
          </cell>
          <cell r="T29">
            <v>-16.310568562041205</v>
          </cell>
        </row>
        <row r="30">
          <cell r="B30">
            <v>50</v>
          </cell>
          <cell r="C30">
            <v>36.95747782301035</v>
          </cell>
          <cell r="D30">
            <v>5.3768514753835337</v>
          </cell>
          <cell r="E30">
            <v>5.230623518032937</v>
          </cell>
          <cell r="F30">
            <v>21.772479701272836</v>
          </cell>
          <cell r="G30">
            <v>8.1437320431647926</v>
          </cell>
          <cell r="H30">
            <v>-5.3768514753835337</v>
          </cell>
          <cell r="O30">
            <v>50</v>
          </cell>
          <cell r="P30">
            <v>8.1868050173171163</v>
          </cell>
          <cell r="Q30">
            <v>20.388210702551504</v>
          </cell>
          <cell r="R30">
            <v>14.125986772679463</v>
          </cell>
          <cell r="S30">
            <v>34.514197475230986</v>
          </cell>
          <cell r="T30">
            <v>-20.388210702551504</v>
          </cell>
        </row>
        <row r="33">
          <cell r="B33" t="str">
            <v>∆Parameter (%)</v>
          </cell>
          <cell r="C33" t="str">
            <v>∆TCO (%)</v>
          </cell>
          <cell r="O33" t="str">
            <v>∆Parameter (%)</v>
          </cell>
          <cell r="P33" t="str">
            <v>∆TCO (%)</v>
          </cell>
        </row>
        <row r="34">
          <cell r="C34" t="str">
            <v>Vehicle Price</v>
          </cell>
          <cell r="D34" t="str">
            <v>Electricity tarrif</v>
          </cell>
          <cell r="E34" t="str">
            <v>Battery cost</v>
          </cell>
          <cell r="F34" t="str">
            <v>AKT</v>
          </cell>
          <cell r="G34" t="str">
            <v>O&amp;M costs</v>
          </cell>
          <cell r="H34" t="str">
            <v>Energy Efficiency</v>
          </cell>
          <cell r="P34" t="str">
            <v>Vehicle Price</v>
          </cell>
          <cell r="Q34" t="str">
            <v>Fuel price</v>
          </cell>
          <cell r="R34" t="str">
            <v>O&amp;M costs</v>
          </cell>
          <cell r="S34" t="str">
            <v>AKT</v>
          </cell>
          <cell r="T34" t="str">
            <v>Energy Efficiency</v>
          </cell>
        </row>
        <row r="35">
          <cell r="B35">
            <v>-50</v>
          </cell>
          <cell r="C35">
            <v>-34.621341046062312</v>
          </cell>
          <cell r="D35">
            <v>-8.4204203170828844</v>
          </cell>
          <cell r="E35">
            <v>-8.0334263461467046</v>
          </cell>
          <cell r="F35">
            <v>-26.009292561326031</v>
          </cell>
          <cell r="G35">
            <v>-7.0817820879998754</v>
          </cell>
          <cell r="H35">
            <v>8.4204203170829093</v>
          </cell>
          <cell r="O35">
            <v>-50</v>
          </cell>
          <cell r="P35">
            <v>-12.688751706454045</v>
          </cell>
          <cell r="Q35">
            <v>-22.289270525075644</v>
          </cell>
          <cell r="R35">
            <v>-10.76972455712561</v>
          </cell>
          <cell r="S35">
            <v>-33.058995082201278</v>
          </cell>
          <cell r="T35">
            <v>22.289270525075676</v>
          </cell>
        </row>
        <row r="36">
          <cell r="B36">
            <v>-40</v>
          </cell>
          <cell r="C36">
            <v>-27.697072836849852</v>
          </cell>
          <cell r="D36">
            <v>-6.7363362536663072</v>
          </cell>
          <cell r="E36">
            <v>-6.4267410769173638</v>
          </cell>
          <cell r="F36">
            <v>-22.90885208030944</v>
          </cell>
          <cell r="G36">
            <v>-5.6654256703998858</v>
          </cell>
          <cell r="H36">
            <v>6.736336253666356</v>
          </cell>
          <cell r="O36">
            <v>-40</v>
          </cell>
          <cell r="P36">
            <v>-10.151001365163225</v>
          </cell>
          <cell r="Q36">
            <v>-17.831416420060524</v>
          </cell>
          <cell r="R36">
            <v>-8.6157796457004867</v>
          </cell>
          <cell r="S36">
            <v>-26.447196065761013</v>
          </cell>
          <cell r="T36">
            <v>17.831416420060552</v>
          </cell>
        </row>
        <row r="37">
          <cell r="B37">
            <v>-30</v>
          </cell>
          <cell r="C37">
            <v>-20.772804627637385</v>
          </cell>
          <cell r="D37">
            <v>-5.0522521902497308</v>
          </cell>
          <cell r="E37">
            <v>-4.8200558076880222</v>
          </cell>
          <cell r="F37">
            <v>-10.731992071170025</v>
          </cell>
          <cell r="G37">
            <v>-4.2490692527999201</v>
          </cell>
          <cell r="H37">
            <v>5.0522521902497921</v>
          </cell>
          <cell r="O37">
            <v>-30</v>
          </cell>
          <cell r="P37">
            <v>-7.6132510238724196</v>
          </cell>
          <cell r="Q37">
            <v>-13.373562315045403</v>
          </cell>
          <cell r="R37">
            <v>-6.4618347342753513</v>
          </cell>
          <cell r="S37">
            <v>-19.835397049320754</v>
          </cell>
          <cell r="T37">
            <v>13.373562315045417</v>
          </cell>
        </row>
        <row r="38">
          <cell r="B38">
            <v>-20</v>
          </cell>
          <cell r="C38">
            <v>-13.848536418424921</v>
          </cell>
          <cell r="D38">
            <v>-3.3681681268331416</v>
          </cell>
          <cell r="E38">
            <v>-3.2133705384586695</v>
          </cell>
          <cell r="F38">
            <v>-7.1777306137473351</v>
          </cell>
          <cell r="G38">
            <v>-2.8327128351999189</v>
          </cell>
          <cell r="H38">
            <v>3.368168126833202</v>
          </cell>
          <cell r="O38">
            <v>-20</v>
          </cell>
          <cell r="P38">
            <v>-5.0755006825816125</v>
          </cell>
          <cell r="Q38">
            <v>-8.9157082100302549</v>
          </cell>
          <cell r="R38">
            <v>-4.3078898228502434</v>
          </cell>
          <cell r="S38">
            <v>-13.223598032880499</v>
          </cell>
          <cell r="T38">
            <v>8.9157082100302691</v>
          </cell>
        </row>
        <row r="39">
          <cell r="B39">
            <v>-10</v>
          </cell>
          <cell r="C39">
            <v>-6.9242682092124532</v>
          </cell>
          <cell r="D39">
            <v>-1.6840840634165646</v>
          </cell>
          <cell r="E39">
            <v>-1.6066852692293285</v>
          </cell>
          <cell r="F39">
            <v>-3.6007781075043321</v>
          </cell>
          <cell r="G39">
            <v>-1.4163564175999654</v>
          </cell>
          <cell r="H39">
            <v>1.6840840634166137</v>
          </cell>
          <cell r="O39">
            <v>-10</v>
          </cell>
          <cell r="P39">
            <v>-2.5377503412908062</v>
          </cell>
          <cell r="Q39">
            <v>-4.4578541050151346</v>
          </cell>
          <cell r="R39">
            <v>-2.1539449114251217</v>
          </cell>
          <cell r="S39">
            <v>-6.6117990164402274</v>
          </cell>
          <cell r="T39">
            <v>4.4578541050151497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B41">
            <v>10</v>
          </cell>
          <cell r="C41">
            <v>6.9242682092125136</v>
          </cell>
          <cell r="D41">
            <v>1.6840840634166137</v>
          </cell>
          <cell r="E41">
            <v>1.606685269229341</v>
          </cell>
          <cell r="F41">
            <v>3.625794988828738</v>
          </cell>
          <cell r="G41">
            <v>1.4163564176000021</v>
          </cell>
          <cell r="H41">
            <v>-1.6840840634165646</v>
          </cell>
          <cell r="O41">
            <v>10</v>
          </cell>
          <cell r="P41">
            <v>2.5377503412908355</v>
          </cell>
          <cell r="Q41">
            <v>4.4578541050151497</v>
          </cell>
          <cell r="R41">
            <v>2.1539449114251363</v>
          </cell>
          <cell r="S41">
            <v>6.6117990164402718</v>
          </cell>
          <cell r="T41">
            <v>-4.4578541050151346</v>
          </cell>
        </row>
        <row r="42">
          <cell r="B42">
            <v>20</v>
          </cell>
          <cell r="C42">
            <v>13.848536418424931</v>
          </cell>
          <cell r="D42">
            <v>3.368168126833202</v>
          </cell>
          <cell r="E42">
            <v>3.2133705384587179</v>
          </cell>
          <cell r="F42">
            <v>6.7262354698452684</v>
          </cell>
          <cell r="G42">
            <v>2.8327128351999797</v>
          </cell>
          <cell r="H42">
            <v>-3.3681681268331416</v>
          </cell>
          <cell r="O42">
            <v>20</v>
          </cell>
          <cell r="P42">
            <v>5.0755006825816418</v>
          </cell>
          <cell r="Q42">
            <v>8.9157082100302691</v>
          </cell>
          <cell r="R42">
            <v>4.3078898228502291</v>
          </cell>
          <cell r="S42">
            <v>13.223598032880513</v>
          </cell>
          <cell r="T42">
            <v>-8.9157082100302549</v>
          </cell>
        </row>
        <row r="43">
          <cell r="B43">
            <v>30</v>
          </cell>
          <cell r="C43">
            <v>20.772804627637424</v>
          </cell>
          <cell r="D43">
            <v>5.0522521902497921</v>
          </cell>
          <cell r="E43">
            <v>4.8200558076880347</v>
          </cell>
          <cell r="F43">
            <v>19.45471771218747</v>
          </cell>
          <cell r="G43">
            <v>4.249069252799945</v>
          </cell>
          <cell r="H43">
            <v>-5.0522521902497308</v>
          </cell>
          <cell r="O43">
            <v>30</v>
          </cell>
          <cell r="P43">
            <v>7.6132510238724489</v>
          </cell>
          <cell r="Q43">
            <v>13.373562315045417</v>
          </cell>
          <cell r="R43">
            <v>6.4618347342753655</v>
          </cell>
          <cell r="S43">
            <v>19.8353970493208</v>
          </cell>
          <cell r="T43">
            <v>-13.373562315045403</v>
          </cell>
        </row>
        <row r="44">
          <cell r="B44">
            <v>40</v>
          </cell>
          <cell r="C44">
            <v>27.697072836849891</v>
          </cell>
          <cell r="D44">
            <v>6.736336253666356</v>
          </cell>
          <cell r="E44">
            <v>6.4267410769173754</v>
          </cell>
          <cell r="F44">
            <v>22.5551581932041</v>
          </cell>
          <cell r="G44">
            <v>5.6654256703999231</v>
          </cell>
          <cell r="H44">
            <v>-6.7363362536663072</v>
          </cell>
          <cell r="O44">
            <v>40</v>
          </cell>
          <cell r="P44">
            <v>10.151001365163255</v>
          </cell>
          <cell r="Q44">
            <v>17.831416420060524</v>
          </cell>
          <cell r="R44">
            <v>8.6157796457004867</v>
          </cell>
          <cell r="S44">
            <v>26.447196065760998</v>
          </cell>
          <cell r="T44">
            <v>-17.831416420060524</v>
          </cell>
        </row>
        <row r="45">
          <cell r="B45">
            <v>50</v>
          </cell>
          <cell r="C45">
            <v>34.621341046062327</v>
          </cell>
          <cell r="D45">
            <v>8.4204203170829199</v>
          </cell>
          <cell r="E45">
            <v>8.0334263461467046</v>
          </cell>
          <cell r="F45">
            <v>27.165135020716114</v>
          </cell>
          <cell r="G45">
            <v>7.0817820879999243</v>
          </cell>
          <cell r="H45">
            <v>-8.4204203170828844</v>
          </cell>
          <cell r="O45">
            <v>50</v>
          </cell>
          <cell r="P45">
            <v>12.688751706454063</v>
          </cell>
          <cell r="Q45">
            <v>22.28927052507569</v>
          </cell>
          <cell r="R45">
            <v>10.76972455712561</v>
          </cell>
          <cell r="S45">
            <v>33.058995082201257</v>
          </cell>
          <cell r="T45">
            <v>-22.289270525075644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-Bus I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Z1000"/>
  <sheetViews>
    <sheetView zoomScale="55" zoomScaleNormal="55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37.85546875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20" width="16.5703125" customWidth="1"/>
    <col min="21" max="21" width="11.140625" customWidth="1"/>
    <col min="22" max="23" width="31.28515625" customWidth="1"/>
    <col min="24" max="24" width="23.85546875" customWidth="1"/>
    <col min="25" max="26" width="13.42578125" customWidth="1"/>
    <col min="27" max="27" width="19.5703125" customWidth="1"/>
    <col min="28" max="28" width="12.28515625" customWidth="1"/>
    <col min="29" max="29" width="20.140625" customWidth="1"/>
    <col min="30" max="30" width="19.28515625" customWidth="1"/>
    <col min="31" max="31" width="12.85546875" customWidth="1"/>
    <col min="32" max="32" width="19" customWidth="1"/>
    <col min="33" max="33" width="4.7109375" customWidth="1"/>
    <col min="34" max="34" width="20.140625" customWidth="1"/>
    <col min="35" max="35" width="19.28515625" customWidth="1"/>
    <col min="36" max="36" width="11.28515625" customWidth="1"/>
    <col min="37" max="37" width="17.85546875" customWidth="1"/>
    <col min="38" max="39" width="8.85546875" customWidth="1"/>
    <col min="40" max="40" width="17.5703125" customWidth="1"/>
    <col min="41" max="41" width="9.7109375" customWidth="1"/>
    <col min="42" max="42" width="15.5703125" customWidth="1"/>
    <col min="43" max="43" width="8.85546875" customWidth="1"/>
    <col min="44" max="45" width="12.7109375" customWidth="1"/>
    <col min="46" max="52" width="8.85546875" customWidth="1"/>
  </cols>
  <sheetData>
    <row r="1" spans="1:52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" t="s">
        <v>2</v>
      </c>
      <c r="B2" s="3">
        <f>Y49</f>
        <v>745402.25895068271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2"/>
      <c r="B3" s="4">
        <f>B2/J34</f>
        <v>0.96482210120723122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 t="s">
        <v>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1" t="s">
        <v>22</v>
      </c>
      <c r="X7" s="11" t="s">
        <v>23</v>
      </c>
      <c r="Y7" s="12" t="s">
        <v>24</v>
      </c>
      <c r="Z7" s="1"/>
      <c r="AA7" s="2" t="s">
        <v>25</v>
      </c>
      <c r="AB7" s="2"/>
      <c r="AC7" s="2" t="s">
        <v>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183</v>
      </c>
      <c r="J8" s="6">
        <v>7797000</v>
      </c>
      <c r="K8" s="2" t="s">
        <v>30</v>
      </c>
      <c r="L8" s="15"/>
      <c r="M8" s="2"/>
      <c r="N8" s="11">
        <v>0</v>
      </c>
      <c r="O8" s="17">
        <f>F31</f>
        <v>145302.89391584854</v>
      </c>
      <c r="P8" s="11"/>
      <c r="Q8" s="11"/>
      <c r="R8" s="11"/>
      <c r="S8" s="11"/>
      <c r="T8" s="11"/>
      <c r="U8" s="11"/>
      <c r="V8" s="11"/>
      <c r="W8" s="11"/>
      <c r="X8" s="11"/>
      <c r="Y8" s="18">
        <f t="shared" ref="Y8:Y48" si="0">SUM(O8:X8)</f>
        <v>145302.89391584854</v>
      </c>
      <c r="Z8" s="3"/>
      <c r="AA8" s="6"/>
      <c r="AB8" s="2"/>
      <c r="AC8" s="2" t="s">
        <v>31</v>
      </c>
      <c r="AD8" s="19">
        <f>F36</f>
        <v>0.21037868162692849</v>
      </c>
      <c r="AE8" s="2" t="s">
        <v>32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x14ac:dyDescent="0.25">
      <c r="A9" s="13"/>
      <c r="B9" s="2"/>
      <c r="C9" s="2"/>
      <c r="D9" s="2"/>
      <c r="E9" s="2"/>
      <c r="F9" s="20"/>
      <c r="G9" s="2"/>
      <c r="H9" s="15"/>
      <c r="I9" s="16" t="s">
        <v>33</v>
      </c>
      <c r="J9" s="6">
        <v>105</v>
      </c>
      <c r="K9" s="2" t="s">
        <v>32</v>
      </c>
      <c r="L9" s="15"/>
      <c r="M9" s="2"/>
      <c r="N9" s="11">
        <v>1</v>
      </c>
      <c r="O9" s="11"/>
      <c r="P9" s="21">
        <f t="shared" ref="P9:P48" si="1">IF(N9&gt;0,IF(N9&lt;=$J$20,(($F$32+$F$33)/$J$20)/((1+($F$11/100))^N9),0),0)</f>
        <v>79270.801014090699</v>
      </c>
      <c r="Q9" s="22">
        <f t="shared" ref="Q9:Q48" si="2">IF(N9&gt;0,($F$41*((1+($F$14/100))^(N9-1)))/((1+($F$11/100))^N9),0)</f>
        <v>15324.668403125626</v>
      </c>
      <c r="R9" s="22">
        <f t="shared" ref="R9:R48" si="3">IF(N9&gt;0,$F$40/((1+($F$11/100))^N9),0)</f>
        <v>0</v>
      </c>
      <c r="S9" s="22">
        <f t="shared" ref="S9:S48" si="4">IF(N9&gt;0,$J$37/((1+($F$11/100))^N9),0)</f>
        <v>25806.141563614507</v>
      </c>
      <c r="T9" s="22">
        <f>$J$46/((1+($F$11/100))^N9)</f>
        <v>5.3429506444934214</v>
      </c>
      <c r="U9" s="22">
        <f t="shared" ref="U9:U48" si="5">IF(AND(N9&lt;=5,N9&gt;0),$J$45/((1+($F$11/100))^N9),IF(AND(N9&gt;5,N9&lt;=10),(((1-(N9-5)*10/100)*$J$45)/((1+($F$11/100))^N9)),IF(N9&gt;10,(((1-50/100)*$J$45)/((1+($F$11/100))^N9)),0)))</f>
        <v>38.736392172577304</v>
      </c>
      <c r="V9" s="22">
        <f t="shared" ref="V9:V48" si="6">IF(AND(MOD(N9,$J$31)=0,N9&gt;0),$B$46/((1+($F$11/100))^N9),0)</f>
        <v>0</v>
      </c>
      <c r="W9" s="22">
        <f t="shared" ref="W9:W48" si="7">IF(N9&gt;0,$J$32/((1+($F$11/100))^N9),0)</f>
        <v>0</v>
      </c>
      <c r="X9" s="21">
        <f t="shared" ref="X9:X18" si="8">IF(N9=$B$5,((((1-$J$15/100)^N9)*$B$47+((1-$J$16/100)^N9)*$B$48)/((1+($F$11/100))^N9))*-1,0)</f>
        <v>0</v>
      </c>
      <c r="Y9" s="18">
        <f t="shared" si="0"/>
        <v>120445.69032364791</v>
      </c>
      <c r="Z9" s="3"/>
      <c r="AA9" s="6">
        <f t="shared" ref="AA9:AA48" si="9">IF(N9&gt;0,((((1-$J$15/100)^N9)*$B$47+((1-$J$16/100)^N9)*$B$48)/((1+($F$11/100))^N9)),0)</f>
        <v>311087.90967741935</v>
      </c>
      <c r="AB9" s="2"/>
      <c r="AC9" s="2" t="s">
        <v>34</v>
      </c>
      <c r="AD9" s="5">
        <f>B48</f>
        <v>47334</v>
      </c>
      <c r="AE9" s="2" t="s">
        <v>3</v>
      </c>
      <c r="AF9" s="2"/>
      <c r="AG9" s="6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37</v>
      </c>
      <c r="J10" s="6">
        <v>322</v>
      </c>
      <c r="K10" s="2" t="s">
        <v>38</v>
      </c>
      <c r="L10" s="15"/>
      <c r="M10" s="2"/>
      <c r="N10" s="11">
        <f t="shared" ref="N10:N48" si="10">IF((N9+1)&gt;$B$5,,IF(N9=0,,N9+1))</f>
        <v>2</v>
      </c>
      <c r="O10" s="11"/>
      <c r="P10" s="21">
        <f t="shared" si="1"/>
        <v>75496.000965800675</v>
      </c>
      <c r="Q10" s="22">
        <f t="shared" si="2"/>
        <v>14740.871511577985</v>
      </c>
      <c r="R10" s="22">
        <f t="shared" si="3"/>
        <v>0</v>
      </c>
      <c r="S10" s="22">
        <f t="shared" si="4"/>
        <v>24577.277679632862</v>
      </c>
      <c r="T10" s="22">
        <f t="shared" ref="T10:T48" si="11">IF(N10&lt;=$F$25,0,$J$46/((1+($F$11/100))^N9))</f>
        <v>0</v>
      </c>
      <c r="U10" s="22">
        <f t="shared" si="5"/>
        <v>36.89180206912124</v>
      </c>
      <c r="V10" s="22">
        <f t="shared" si="6"/>
        <v>0</v>
      </c>
      <c r="W10" s="22">
        <f t="shared" si="7"/>
        <v>0</v>
      </c>
      <c r="X10" s="21">
        <f t="shared" si="8"/>
        <v>0</v>
      </c>
      <c r="Y10" s="18">
        <f t="shared" si="0"/>
        <v>114851.04195908064</v>
      </c>
      <c r="Z10" s="3"/>
      <c r="AA10" s="6">
        <f t="shared" si="9"/>
        <v>273800.12822119816</v>
      </c>
      <c r="AB10" s="2"/>
      <c r="AC10" s="16" t="s">
        <v>160</v>
      </c>
      <c r="AD10" s="24">
        <f>B52</f>
        <v>484342.97971949517</v>
      </c>
      <c r="AE10" s="2" t="s">
        <v>3</v>
      </c>
      <c r="AF10" s="2"/>
      <c r="AG10" s="6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25">
      <c r="A11" s="25" t="s">
        <v>158</v>
      </c>
      <c r="B11" s="26">
        <v>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41</v>
      </c>
      <c r="J11" s="6">
        <v>4000</v>
      </c>
      <c r="K11" s="2" t="s">
        <v>42</v>
      </c>
      <c r="L11" s="15"/>
      <c r="M11" s="2"/>
      <c r="N11" s="11">
        <f t="shared" si="10"/>
        <v>3</v>
      </c>
      <c r="O11" s="11"/>
      <c r="P11" s="21">
        <f t="shared" si="1"/>
        <v>71900.953300762543</v>
      </c>
      <c r="Q11" s="22">
        <f t="shared" si="2"/>
        <v>14179.314501613109</v>
      </c>
      <c r="R11" s="22">
        <f t="shared" si="3"/>
        <v>0</v>
      </c>
      <c r="S11" s="22">
        <f t="shared" si="4"/>
        <v>23406.931123459868</v>
      </c>
      <c r="T11" s="22">
        <f t="shared" si="11"/>
        <v>0</v>
      </c>
      <c r="U11" s="22">
        <f t="shared" si="5"/>
        <v>35.135049589639273</v>
      </c>
      <c r="V11" s="22">
        <f t="shared" si="6"/>
        <v>0</v>
      </c>
      <c r="W11" s="22">
        <f t="shared" si="7"/>
        <v>0</v>
      </c>
      <c r="X11" s="21">
        <f t="shared" si="8"/>
        <v>0</v>
      </c>
      <c r="Y11" s="18">
        <f t="shared" si="0"/>
        <v>109522.33397542516</v>
      </c>
      <c r="Z11" s="3"/>
      <c r="AA11" s="6">
        <f t="shared" si="9"/>
        <v>241030.46228997209</v>
      </c>
      <c r="AB11" s="2"/>
      <c r="AC11" s="2" t="s">
        <v>43</v>
      </c>
      <c r="AD11" s="6">
        <f>F12</f>
        <v>77258</v>
      </c>
      <c r="AE11" s="2" t="s">
        <v>44</v>
      </c>
      <c r="AF11" s="2"/>
      <c r="AG11" s="6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77258</v>
      </c>
      <c r="G12" s="2" t="s">
        <v>44</v>
      </c>
      <c r="H12" s="15"/>
      <c r="I12" s="16" t="s">
        <v>47</v>
      </c>
      <c r="J12" s="6">
        <v>235</v>
      </c>
      <c r="K12" s="2" t="s">
        <v>48</v>
      </c>
      <c r="L12" s="15"/>
      <c r="M12" s="2"/>
      <c r="N12" s="11">
        <f t="shared" si="10"/>
        <v>4</v>
      </c>
      <c r="O12" s="11"/>
      <c r="P12" s="21">
        <f t="shared" si="1"/>
        <v>68477.098381678617</v>
      </c>
      <c r="Q12" s="22">
        <f t="shared" si="2"/>
        <v>13639.150139646892</v>
      </c>
      <c r="R12" s="22">
        <f t="shared" si="3"/>
        <v>0</v>
      </c>
      <c r="S12" s="22">
        <f t="shared" si="4"/>
        <v>22292.315355676066</v>
      </c>
      <c r="T12" s="22">
        <f t="shared" si="11"/>
        <v>0</v>
      </c>
      <c r="U12" s="22">
        <f t="shared" si="5"/>
        <v>33.461951990132647</v>
      </c>
      <c r="V12" s="22">
        <f t="shared" si="6"/>
        <v>0</v>
      </c>
      <c r="W12" s="22">
        <f t="shared" si="7"/>
        <v>0</v>
      </c>
      <c r="X12" s="21">
        <f t="shared" si="8"/>
        <v>0</v>
      </c>
      <c r="Y12" s="18">
        <f t="shared" si="0"/>
        <v>104442.02582899171</v>
      </c>
      <c r="Z12" s="3"/>
      <c r="AA12" s="6">
        <f t="shared" si="9"/>
        <v>212224.33325208238</v>
      </c>
      <c r="AB12" s="2"/>
      <c r="AC12" s="16" t="s">
        <v>49</v>
      </c>
      <c r="AD12" s="24">
        <f>J40</f>
        <v>27071.2032</v>
      </c>
      <c r="AE12" s="2" t="s">
        <v>50</v>
      </c>
      <c r="AF12" s="2"/>
      <c r="AG12" s="6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x14ac:dyDescent="0.25">
      <c r="A13" s="25" t="s">
        <v>51</v>
      </c>
      <c r="B13" s="2">
        <v>7</v>
      </c>
      <c r="C13" s="2" t="s">
        <v>40</v>
      </c>
      <c r="D13" s="2"/>
      <c r="E13" s="16" t="s">
        <v>31</v>
      </c>
      <c r="F13" s="14">
        <v>7.5</v>
      </c>
      <c r="G13" s="2" t="s">
        <v>52</v>
      </c>
      <c r="H13" s="15"/>
      <c r="I13" s="16" t="s">
        <v>53</v>
      </c>
      <c r="J13" s="2">
        <v>30</v>
      </c>
      <c r="K13" s="2" t="s">
        <v>54</v>
      </c>
      <c r="L13" s="15"/>
      <c r="M13" s="2"/>
      <c r="N13" s="11">
        <f t="shared" si="10"/>
        <v>5</v>
      </c>
      <c r="O13" s="11"/>
      <c r="P13" s="21">
        <f t="shared" si="1"/>
        <v>65216.284173027241</v>
      </c>
      <c r="Q13" s="22">
        <f t="shared" si="2"/>
        <v>13119.563467660346</v>
      </c>
      <c r="R13" s="22">
        <f t="shared" si="3"/>
        <v>0</v>
      </c>
      <c r="S13" s="22">
        <f t="shared" si="4"/>
        <v>21230.776529215298</v>
      </c>
      <c r="T13" s="22">
        <f t="shared" si="11"/>
        <v>0</v>
      </c>
      <c r="U13" s="22">
        <f t="shared" si="5"/>
        <v>31.868525704888231</v>
      </c>
      <c r="V13" s="22">
        <f t="shared" si="6"/>
        <v>0</v>
      </c>
      <c r="W13" s="22">
        <f t="shared" si="7"/>
        <v>0</v>
      </c>
      <c r="X13" s="21">
        <f t="shared" si="8"/>
        <v>0</v>
      </c>
      <c r="Y13" s="18">
        <f t="shared" si="0"/>
        <v>99598.492695607769</v>
      </c>
      <c r="Z13" s="3"/>
      <c r="AA13" s="6">
        <f t="shared" si="9"/>
        <v>186896.26526670135</v>
      </c>
      <c r="AB13" s="2"/>
      <c r="AC13" s="2" t="s">
        <v>157</v>
      </c>
      <c r="AD13" s="6">
        <f>J26</f>
        <v>117.5</v>
      </c>
      <c r="AE13" s="2" t="s">
        <v>147</v>
      </c>
      <c r="AF13" s="2"/>
      <c r="AG13" s="6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x14ac:dyDescent="0.25">
      <c r="A14" s="25" t="s">
        <v>55</v>
      </c>
      <c r="B14" s="2">
        <v>20</v>
      </c>
      <c r="C14" s="2" t="s">
        <v>40</v>
      </c>
      <c r="D14" s="2"/>
      <c r="E14" s="16" t="s">
        <v>56</v>
      </c>
      <c r="F14" s="2">
        <v>1</v>
      </c>
      <c r="G14" s="2" t="s">
        <v>57</v>
      </c>
      <c r="H14" s="15"/>
      <c r="I14" s="16" t="s">
        <v>58</v>
      </c>
      <c r="J14" s="5">
        <v>20</v>
      </c>
      <c r="K14" s="2" t="s">
        <v>40</v>
      </c>
      <c r="L14" s="15"/>
      <c r="M14" s="2"/>
      <c r="N14" s="11">
        <f t="shared" si="10"/>
        <v>6</v>
      </c>
      <c r="O14" s="11"/>
      <c r="P14" s="21">
        <f t="shared" si="1"/>
        <v>0</v>
      </c>
      <c r="Q14" s="22">
        <f t="shared" si="2"/>
        <v>12619.770573654238</v>
      </c>
      <c r="R14" s="22">
        <f t="shared" si="3"/>
        <v>0</v>
      </c>
      <c r="S14" s="22">
        <f t="shared" si="4"/>
        <v>20219.78717068124</v>
      </c>
      <c r="T14" s="22">
        <f t="shared" si="11"/>
        <v>0</v>
      </c>
      <c r="U14" s="22">
        <f t="shared" si="5"/>
        <v>27.315879175618488</v>
      </c>
      <c r="V14" s="22">
        <f t="shared" si="6"/>
        <v>0</v>
      </c>
      <c r="W14" s="22">
        <f t="shared" si="7"/>
        <v>0</v>
      </c>
      <c r="X14" s="21">
        <f t="shared" si="8"/>
        <v>0</v>
      </c>
      <c r="Y14" s="18">
        <f t="shared" si="0"/>
        <v>32866.873623511099</v>
      </c>
      <c r="Z14" s="3"/>
      <c r="AA14" s="6">
        <f t="shared" si="9"/>
        <v>164621.12757765912</v>
      </c>
      <c r="AB14" s="2"/>
      <c r="AC14" s="2" t="s">
        <v>182</v>
      </c>
      <c r="AD14" s="14">
        <f>J17</f>
        <v>0.99</v>
      </c>
      <c r="AE14" s="2" t="s">
        <v>69</v>
      </c>
      <c r="AF14" s="2"/>
      <c r="AG14" s="6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A15" s="25" t="s">
        <v>59</v>
      </c>
      <c r="B15" s="2">
        <v>3</v>
      </c>
      <c r="C15" s="2" t="s">
        <v>54</v>
      </c>
      <c r="D15" s="2"/>
      <c r="E15" s="16" t="s">
        <v>60</v>
      </c>
      <c r="F15" s="2">
        <v>0</v>
      </c>
      <c r="G15" s="2" t="s">
        <v>61</v>
      </c>
      <c r="H15" s="15"/>
      <c r="I15" s="16" t="s">
        <v>62</v>
      </c>
      <c r="J15" s="2">
        <v>7.08</v>
      </c>
      <c r="K15" s="2" t="s">
        <v>63</v>
      </c>
      <c r="L15" s="15"/>
      <c r="M15" s="2"/>
      <c r="N15" s="11">
        <f t="shared" si="10"/>
        <v>7</v>
      </c>
      <c r="O15" s="11"/>
      <c r="P15" s="21">
        <f t="shared" si="1"/>
        <v>0</v>
      </c>
      <c r="Q15" s="22">
        <f t="shared" si="2"/>
        <v>12139.0174089436</v>
      </c>
      <c r="R15" s="22">
        <f t="shared" si="3"/>
        <v>0</v>
      </c>
      <c r="S15" s="22">
        <f t="shared" si="4"/>
        <v>19256.940162553557</v>
      </c>
      <c r="T15" s="22">
        <f t="shared" si="11"/>
        <v>0</v>
      </c>
      <c r="U15" s="22">
        <f t="shared" si="5"/>
        <v>23.124553799465385</v>
      </c>
      <c r="V15" s="22">
        <f t="shared" si="6"/>
        <v>0</v>
      </c>
      <c r="W15" s="22">
        <f t="shared" si="7"/>
        <v>0</v>
      </c>
      <c r="X15" s="21">
        <f t="shared" si="8"/>
        <v>0</v>
      </c>
      <c r="Y15" s="18">
        <f t="shared" si="0"/>
        <v>31419.082125296623</v>
      </c>
      <c r="Z15" s="3"/>
      <c r="AA15" s="6">
        <f t="shared" si="9"/>
        <v>145026.50742255102</v>
      </c>
      <c r="AB15" s="2"/>
      <c r="AC15" s="2"/>
      <c r="AD15" s="2"/>
      <c r="AE15" s="2"/>
      <c r="AF15" s="2"/>
      <c r="AG15" s="6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x14ac:dyDescent="0.25">
      <c r="A16" s="25" t="s">
        <v>64</v>
      </c>
      <c r="B16" s="2">
        <v>40</v>
      </c>
      <c r="C16" s="2" t="s">
        <v>40</v>
      </c>
      <c r="D16" s="2"/>
      <c r="E16" s="16" t="s">
        <v>65</v>
      </c>
      <c r="F16" s="2">
        <v>0</v>
      </c>
      <c r="G16" s="2" t="s">
        <v>61</v>
      </c>
      <c r="H16" s="15"/>
      <c r="I16" s="16" t="s">
        <v>66</v>
      </c>
      <c r="J16" s="2">
        <v>11</v>
      </c>
      <c r="K16" s="2" t="s">
        <v>63</v>
      </c>
      <c r="L16" s="15"/>
      <c r="M16" s="2"/>
      <c r="N16" s="11">
        <f t="shared" si="10"/>
        <v>8</v>
      </c>
      <c r="O16" s="11"/>
      <c r="P16" s="21">
        <f t="shared" si="1"/>
        <v>0</v>
      </c>
      <c r="Q16" s="22">
        <f t="shared" si="2"/>
        <v>11676.578650507652</v>
      </c>
      <c r="R16" s="22">
        <f t="shared" si="3"/>
        <v>0</v>
      </c>
      <c r="S16" s="22">
        <f t="shared" si="4"/>
        <v>18339.943011955773</v>
      </c>
      <c r="T16" s="22">
        <f t="shared" si="11"/>
        <v>3.9869920343905831</v>
      </c>
      <c r="U16" s="22">
        <f t="shared" si="5"/>
        <v>19.270461499554486</v>
      </c>
      <c r="V16" s="22">
        <f t="shared" si="6"/>
        <v>0</v>
      </c>
      <c r="W16" s="22">
        <f t="shared" si="7"/>
        <v>0</v>
      </c>
      <c r="X16" s="21">
        <f t="shared" si="8"/>
        <v>0</v>
      </c>
      <c r="Y16" s="18">
        <f t="shared" si="0"/>
        <v>30039.779115997371</v>
      </c>
      <c r="Z16" s="3"/>
      <c r="AA16" s="6">
        <f t="shared" si="9"/>
        <v>127786.06473021944</v>
      </c>
      <c r="AB16" s="2"/>
      <c r="AC16" s="2"/>
      <c r="AD16" s="2"/>
      <c r="AE16" s="2"/>
      <c r="AF16" s="2"/>
      <c r="AG16" s="6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5" t="s">
        <v>167</v>
      </c>
      <c r="B17" s="2">
        <v>365</v>
      </c>
      <c r="C17" s="2" t="s">
        <v>30</v>
      </c>
      <c r="D17" s="2"/>
      <c r="E17" s="16" t="s">
        <v>67</v>
      </c>
      <c r="F17" s="6">
        <v>2900</v>
      </c>
      <c r="G17" s="2" t="s">
        <v>61</v>
      </c>
      <c r="H17" s="15"/>
      <c r="I17" s="16" t="s">
        <v>68</v>
      </c>
      <c r="J17" s="14">
        <v>0.99</v>
      </c>
      <c r="K17" s="2" t="s">
        <v>69</v>
      </c>
      <c r="L17" s="15"/>
      <c r="M17" s="2"/>
      <c r="N17" s="11">
        <f t="shared" si="10"/>
        <v>9</v>
      </c>
      <c r="O17" s="11"/>
      <c r="P17" s="21">
        <f t="shared" si="1"/>
        <v>0</v>
      </c>
      <c r="Q17" s="22">
        <f t="shared" si="2"/>
        <v>11231.756606678791</v>
      </c>
      <c r="R17" s="22">
        <f t="shared" si="3"/>
        <v>0</v>
      </c>
      <c r="S17" s="22">
        <f t="shared" si="4"/>
        <v>17466.61239233883</v>
      </c>
      <c r="T17" s="22">
        <f t="shared" si="11"/>
        <v>3.7971352708481749</v>
      </c>
      <c r="U17" s="22">
        <f t="shared" si="5"/>
        <v>15.730988979228151</v>
      </c>
      <c r="V17" s="22">
        <f t="shared" si="6"/>
        <v>0</v>
      </c>
      <c r="W17" s="22">
        <f t="shared" si="7"/>
        <v>0</v>
      </c>
      <c r="X17" s="21">
        <f t="shared" si="8"/>
        <v>0</v>
      </c>
      <c r="Y17" s="18">
        <f t="shared" si="0"/>
        <v>28717.897123267696</v>
      </c>
      <c r="Z17" s="3"/>
      <c r="AA17" s="6">
        <f t="shared" si="9"/>
        <v>112613.73975937895</v>
      </c>
      <c r="AB17" s="2"/>
      <c r="AC17" s="2"/>
      <c r="AD17" s="2"/>
      <c r="AE17" s="2"/>
      <c r="AF17" s="2"/>
      <c r="AG17" s="6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x14ac:dyDescent="0.25">
      <c r="A18" s="25" t="s">
        <v>70</v>
      </c>
      <c r="B18" s="2">
        <v>0</v>
      </c>
      <c r="C18" s="2" t="s">
        <v>40</v>
      </c>
      <c r="D18" s="2"/>
      <c r="E18" s="16" t="s">
        <v>71</v>
      </c>
      <c r="F18" s="2">
        <v>50</v>
      </c>
      <c r="G18" s="2" t="s">
        <v>40</v>
      </c>
      <c r="H18" s="15"/>
      <c r="I18" s="2"/>
      <c r="J18" s="2"/>
      <c r="K18" s="2"/>
      <c r="L18" s="15"/>
      <c r="M18" s="2"/>
      <c r="N18" s="11">
        <f t="shared" si="10"/>
        <v>10</v>
      </c>
      <c r="O18" s="11"/>
      <c r="P18" s="21">
        <f t="shared" si="1"/>
        <v>0</v>
      </c>
      <c r="Q18" s="22">
        <f t="shared" si="2"/>
        <v>10803.8801645196</v>
      </c>
      <c r="R18" s="22">
        <f t="shared" si="3"/>
        <v>0</v>
      </c>
      <c r="S18" s="22">
        <f t="shared" si="4"/>
        <v>16634.8689450846</v>
      </c>
      <c r="T18" s="22">
        <f t="shared" si="11"/>
        <v>3.6163193055696903</v>
      </c>
      <c r="U18" s="22">
        <f t="shared" si="5"/>
        <v>12.484911888276311</v>
      </c>
      <c r="V18" s="22">
        <f t="shared" si="6"/>
        <v>0</v>
      </c>
      <c r="W18" s="22">
        <f t="shared" si="7"/>
        <v>0</v>
      </c>
      <c r="X18" s="21">
        <f t="shared" si="8"/>
        <v>-99258.70207678969</v>
      </c>
      <c r="Y18" s="18">
        <f t="shared" si="0"/>
        <v>-71803.851735991644</v>
      </c>
      <c r="Z18" s="3"/>
      <c r="AA18" s="6">
        <f t="shared" si="9"/>
        <v>99258.70207678969</v>
      </c>
      <c r="AB18" s="2"/>
      <c r="AC18" s="2"/>
      <c r="AD18" s="2"/>
      <c r="AE18" s="2"/>
      <c r="AF18" s="2"/>
      <c r="AG18" s="6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25" t="s">
        <v>72</v>
      </c>
      <c r="B19" s="2">
        <v>10</v>
      </c>
      <c r="C19" s="2" t="s">
        <v>40</v>
      </c>
      <c r="D19" s="2"/>
      <c r="E19" s="16" t="s">
        <v>73</v>
      </c>
      <c r="F19" s="6">
        <v>900</v>
      </c>
      <c r="G19" s="2" t="s">
        <v>61</v>
      </c>
      <c r="H19" s="15"/>
      <c r="I19" s="1" t="s">
        <v>78</v>
      </c>
      <c r="J19" s="2"/>
      <c r="K19" s="2"/>
      <c r="L19" s="15"/>
      <c r="M19" s="2"/>
      <c r="N19" s="11">
        <f t="shared" si="10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>
        <f t="shared" si="11"/>
        <v>0</v>
      </c>
      <c r="U19" s="22">
        <f t="shared" si="5"/>
        <v>0</v>
      </c>
      <c r="V19" s="22">
        <f t="shared" si="6"/>
        <v>0</v>
      </c>
      <c r="W19" s="22">
        <f t="shared" si="7"/>
        <v>0</v>
      </c>
      <c r="X19" s="21">
        <f t="shared" ref="X19:X48" si="12">IF(N19=$B$5,((((1-$J$15/100)^N19)*$B$52+((1-$J$16/100)^N19)*$B$48)/((1+($F$11/100))^N19))*-1,0)</f>
        <v>0</v>
      </c>
      <c r="Y19" s="18">
        <f t="shared" si="0"/>
        <v>0</v>
      </c>
      <c r="Z19" s="3"/>
      <c r="AA19" s="6">
        <f t="shared" si="9"/>
        <v>0</v>
      </c>
      <c r="AB19" s="2"/>
      <c r="AC19" s="2"/>
      <c r="AD19" s="2"/>
      <c r="AE19" s="2"/>
      <c r="AF19" s="2"/>
      <c r="AG19" s="6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x14ac:dyDescent="0.25">
      <c r="A20" s="25" t="s">
        <v>74</v>
      </c>
      <c r="B20" s="2">
        <v>0</v>
      </c>
      <c r="C20" s="2" t="s">
        <v>40</v>
      </c>
      <c r="D20" s="2"/>
      <c r="E20" s="16" t="s">
        <v>75</v>
      </c>
      <c r="F20" s="6">
        <v>0</v>
      </c>
      <c r="G20" s="2" t="s">
        <v>76</v>
      </c>
      <c r="H20" s="15"/>
      <c r="I20" s="16" t="s">
        <v>83</v>
      </c>
      <c r="J20" s="2">
        <v>5</v>
      </c>
      <c r="K20" s="2" t="s">
        <v>54</v>
      </c>
      <c r="L20" s="15"/>
      <c r="M20" s="2"/>
      <c r="N20" s="11">
        <f t="shared" si="10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>
        <f t="shared" si="11"/>
        <v>0</v>
      </c>
      <c r="U20" s="22">
        <f t="shared" si="5"/>
        <v>0</v>
      </c>
      <c r="V20" s="22">
        <f t="shared" si="6"/>
        <v>0</v>
      </c>
      <c r="W20" s="22">
        <f t="shared" si="7"/>
        <v>0</v>
      </c>
      <c r="X20" s="21">
        <f t="shared" si="12"/>
        <v>0</v>
      </c>
      <c r="Y20" s="18">
        <f t="shared" si="0"/>
        <v>0</v>
      </c>
      <c r="Z20" s="3"/>
      <c r="AA20" s="6">
        <f t="shared" si="9"/>
        <v>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.75" customHeight="1" x14ac:dyDescent="0.25">
      <c r="A21" s="2"/>
      <c r="B21" s="2"/>
      <c r="C21" s="2"/>
      <c r="D21" s="2"/>
      <c r="E21" s="16" t="s">
        <v>49</v>
      </c>
      <c r="F21" s="35">
        <v>12.491759999999999</v>
      </c>
      <c r="G21" s="2" t="s">
        <v>141</v>
      </c>
      <c r="H21" s="15"/>
      <c r="I21" s="16" t="s">
        <v>87</v>
      </c>
      <c r="J21" s="2">
        <v>30</v>
      </c>
      <c r="K21" s="2" t="s">
        <v>88</v>
      </c>
      <c r="L21" s="15"/>
      <c r="M21" s="2"/>
      <c r="N21" s="11">
        <f t="shared" si="10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>
        <f t="shared" si="11"/>
        <v>0</v>
      </c>
      <c r="U21" s="22">
        <f t="shared" si="5"/>
        <v>0</v>
      </c>
      <c r="V21" s="22">
        <f t="shared" si="6"/>
        <v>0</v>
      </c>
      <c r="W21" s="22">
        <f t="shared" si="7"/>
        <v>0</v>
      </c>
      <c r="X21" s="21">
        <f t="shared" si="12"/>
        <v>0</v>
      </c>
      <c r="Y21" s="18">
        <f t="shared" si="0"/>
        <v>0</v>
      </c>
      <c r="Z21" s="3"/>
      <c r="AA21" s="6">
        <f t="shared" si="9"/>
        <v>0</v>
      </c>
      <c r="AB21" s="2"/>
      <c r="AC21" s="27" t="s">
        <v>31</v>
      </c>
      <c r="AD21" s="28"/>
      <c r="AE21" s="28"/>
      <c r="AF21" s="28"/>
      <c r="AG21" s="2"/>
      <c r="AH21" s="27" t="s">
        <v>29</v>
      </c>
      <c r="AI21" s="28"/>
      <c r="AJ21" s="28"/>
      <c r="AK21" s="28"/>
      <c r="AL21" s="2"/>
      <c r="AM21" s="81" t="s">
        <v>171</v>
      </c>
      <c r="AN21" s="81" t="s">
        <v>172</v>
      </c>
      <c r="AO21" s="81" t="s">
        <v>173</v>
      </c>
      <c r="AP21" s="81" t="s">
        <v>34</v>
      </c>
      <c r="AQ21" s="81" t="s">
        <v>174</v>
      </c>
      <c r="AR21" s="81" t="s">
        <v>175</v>
      </c>
      <c r="AS21" s="88" t="str">
        <f>AC66</f>
        <v>Energy Efficiency</v>
      </c>
      <c r="AT21" s="2"/>
      <c r="AU21" s="2"/>
      <c r="AV21" s="2"/>
      <c r="AW21" s="2"/>
      <c r="AX21" s="2"/>
      <c r="AY21" s="2"/>
      <c r="AZ21" s="2"/>
    </row>
    <row r="22" spans="1:52" ht="15.75" customHeight="1" x14ac:dyDescent="0.25">
      <c r="A22" s="2"/>
      <c r="B22" s="2"/>
      <c r="C22" s="2"/>
      <c r="D22" s="2"/>
      <c r="E22" s="16" t="s">
        <v>77</v>
      </c>
      <c r="F22" s="2">
        <v>4.55</v>
      </c>
      <c r="G22" s="2" t="s">
        <v>63</v>
      </c>
      <c r="H22" s="15"/>
      <c r="I22" s="63"/>
      <c r="J22" s="63"/>
      <c r="K22" s="63"/>
      <c r="L22" s="15"/>
      <c r="M22" s="2"/>
      <c r="N22" s="11">
        <f t="shared" si="10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>
        <f t="shared" si="11"/>
        <v>0</v>
      </c>
      <c r="U22" s="22">
        <f t="shared" si="5"/>
        <v>0</v>
      </c>
      <c r="V22" s="22">
        <f t="shared" si="6"/>
        <v>0</v>
      </c>
      <c r="W22" s="22">
        <f t="shared" si="7"/>
        <v>0</v>
      </c>
      <c r="X22" s="21">
        <f t="shared" si="12"/>
        <v>0</v>
      </c>
      <c r="Y22" s="18">
        <f t="shared" si="0"/>
        <v>0</v>
      </c>
      <c r="Z22" s="3"/>
      <c r="AA22" s="6">
        <f t="shared" si="9"/>
        <v>0</v>
      </c>
      <c r="AB22" s="2"/>
      <c r="AC22" s="28" t="s">
        <v>79</v>
      </c>
      <c r="AD22" s="28" t="s">
        <v>80</v>
      </c>
      <c r="AE22" s="28" t="s">
        <v>24</v>
      </c>
      <c r="AF22" s="28" t="s">
        <v>81</v>
      </c>
      <c r="AG22" s="2"/>
      <c r="AH22" s="28" t="s">
        <v>79</v>
      </c>
      <c r="AI22" s="28" t="s">
        <v>82</v>
      </c>
      <c r="AJ22" s="28" t="s">
        <v>24</v>
      </c>
      <c r="AK22" s="28" t="s">
        <v>81</v>
      </c>
      <c r="AL22" s="2"/>
      <c r="AM22" s="82">
        <v>-50</v>
      </c>
      <c r="AN22" s="83">
        <f>AK24</f>
        <v>-33.91886901865854</v>
      </c>
      <c r="AO22" s="83">
        <f>AF24</f>
        <v>-8.6848791959787892</v>
      </c>
      <c r="AP22" s="84">
        <f t="shared" ref="AP22:AP32" si="13">AF39</f>
        <v>-3.9335217890154777</v>
      </c>
      <c r="AQ22" s="84">
        <f t="shared" ref="AQ22:AQ32" si="14">AK39</f>
        <v>-22.706613958277778</v>
      </c>
      <c r="AR22" s="84">
        <f>AF54</f>
        <v>-14.021734762298971</v>
      </c>
      <c r="AS22" s="53">
        <f>AF69</f>
        <v>8.6848791959788212</v>
      </c>
      <c r="AT22" s="2"/>
      <c r="AU22" s="2"/>
      <c r="AV22" s="2"/>
      <c r="AW22" s="2"/>
      <c r="AX22" s="2"/>
      <c r="AY22" s="2"/>
      <c r="AZ22" s="2"/>
    </row>
    <row r="23" spans="1:52" ht="15.75" customHeight="1" x14ac:dyDescent="0.25">
      <c r="A23" s="2"/>
      <c r="B23" s="2"/>
      <c r="C23" s="2"/>
      <c r="D23" s="2"/>
      <c r="E23" s="2"/>
      <c r="F23" s="2"/>
      <c r="G23" s="2"/>
      <c r="H23" s="15"/>
      <c r="I23" s="57" t="s">
        <v>142</v>
      </c>
      <c r="J23" s="58"/>
      <c r="K23" s="58"/>
      <c r="L23" s="59"/>
      <c r="M23" s="2"/>
      <c r="N23" s="11">
        <f t="shared" si="10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>
        <f t="shared" si="11"/>
        <v>0</v>
      </c>
      <c r="U23" s="22">
        <f t="shared" si="5"/>
        <v>0</v>
      </c>
      <c r="V23" s="22">
        <f t="shared" si="6"/>
        <v>0</v>
      </c>
      <c r="W23" s="22">
        <f t="shared" si="7"/>
        <v>0</v>
      </c>
      <c r="X23" s="21">
        <f t="shared" si="12"/>
        <v>0</v>
      </c>
      <c r="Y23" s="18">
        <f t="shared" si="0"/>
        <v>0</v>
      </c>
      <c r="Z23" s="3"/>
      <c r="AA23" s="6">
        <f t="shared" si="9"/>
        <v>0</v>
      </c>
      <c r="AB23" s="2"/>
      <c r="AC23" s="28" t="s">
        <v>84</v>
      </c>
      <c r="AD23" s="30">
        <v>0.21037868162692849</v>
      </c>
      <c r="AE23" s="31">
        <f>Y49</f>
        <v>745402.25895068271</v>
      </c>
      <c r="AF23" s="28"/>
      <c r="AG23" s="2"/>
      <c r="AH23" s="28" t="s">
        <v>85</v>
      </c>
      <c r="AI23" s="32">
        <v>484342.97971949517</v>
      </c>
      <c r="AJ23" s="31">
        <f>Y49</f>
        <v>745402.25895068271</v>
      </c>
      <c r="AK23" s="28"/>
      <c r="AL23" s="2"/>
      <c r="AM23" s="82">
        <v>-40</v>
      </c>
      <c r="AN23" s="83">
        <f>AK25</f>
        <v>-27.135095214926842</v>
      </c>
      <c r="AO23" s="83">
        <f t="shared" ref="AO23:AO32" si="15">AF25</f>
        <v>-6.9479033567830477</v>
      </c>
      <c r="AP23" s="84">
        <f t="shared" si="13"/>
        <v>-3.1468174312123667</v>
      </c>
      <c r="AQ23" s="84">
        <f t="shared" si="14"/>
        <v>-18.165291166622222</v>
      </c>
      <c r="AR23" s="84">
        <f t="shared" ref="AR23:AR32" si="16">AF55</f>
        <v>-11.217387809839174</v>
      </c>
      <c r="AS23" s="53">
        <f t="shared" ref="AS23:AS32" si="17">AF70</f>
        <v>6.9479033567830788</v>
      </c>
      <c r="AT23" s="35"/>
      <c r="AU23" s="35"/>
      <c r="AV23" s="35"/>
      <c r="AW23" s="35"/>
      <c r="AX23" s="35"/>
      <c r="AY23" s="35"/>
      <c r="AZ23" s="35"/>
    </row>
    <row r="24" spans="1:52" ht="15.75" customHeight="1" x14ac:dyDescent="0.25">
      <c r="A24" s="13"/>
      <c r="B24" s="2"/>
      <c r="C24" s="2"/>
      <c r="D24" s="2"/>
      <c r="E24" s="16" t="s">
        <v>86</v>
      </c>
      <c r="F24" s="6">
        <v>200</v>
      </c>
      <c r="G24" s="2" t="s">
        <v>61</v>
      </c>
      <c r="H24" s="15"/>
      <c r="I24" s="58" t="s">
        <v>143</v>
      </c>
      <c r="J24" s="60" t="s">
        <v>148</v>
      </c>
      <c r="K24" s="58"/>
      <c r="L24" s="59"/>
      <c r="M24" s="2"/>
      <c r="N24" s="11">
        <f t="shared" si="10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>
        <f t="shared" si="11"/>
        <v>0</v>
      </c>
      <c r="U24" s="22">
        <f t="shared" si="5"/>
        <v>0</v>
      </c>
      <c r="V24" s="22">
        <f t="shared" si="6"/>
        <v>0</v>
      </c>
      <c r="W24" s="22">
        <f t="shared" si="7"/>
        <v>0</v>
      </c>
      <c r="X24" s="21">
        <f t="shared" si="12"/>
        <v>0</v>
      </c>
      <c r="Y24" s="18">
        <f t="shared" si="0"/>
        <v>0</v>
      </c>
      <c r="Z24" s="3"/>
      <c r="AA24" s="6">
        <f t="shared" si="9"/>
        <v>0</v>
      </c>
      <c r="AB24" s="2"/>
      <c r="AC24" s="28">
        <f t="shared" ref="AC24:AC28" si="18">AC25-10</f>
        <v>-50</v>
      </c>
      <c r="AD24" s="30">
        <f t="shared" ref="AD24:AD34" si="19">$AD$23*(1+(AC24/100))</f>
        <v>0.10518934081346425</v>
      </c>
      <c r="AE24" s="31">
        <f t="dataTable" ref="AE24:AE34" dt2D="0" dtr="0" r1="F36" ca="1"/>
        <v>680664.97323671891</v>
      </c>
      <c r="AF24" s="36">
        <f t="shared" ref="AF24:AF34" si="20">100*((AE24-$AE$29)/$AE$29)</f>
        <v>-8.6848791959787892</v>
      </c>
      <c r="AG24" s="2"/>
      <c r="AH24" s="28">
        <f t="shared" ref="AH24:AH28" si="21">AH25-10</f>
        <v>-50</v>
      </c>
      <c r="AI24" s="32">
        <f t="shared" ref="AI24:AI34" si="22">$AI$23*(1+(AH24/100))</f>
        <v>242171.48985974758</v>
      </c>
      <c r="AJ24" s="31">
        <f t="dataTable" ref="AJ24:AJ34" dt2D="0" dtr="0" r1="B52"/>
        <v>492570.2430750787</v>
      </c>
      <c r="AK24" s="36">
        <f t="shared" ref="AK24:AK34" si="23">100*((AJ24-$AJ$29)/$AJ$29)</f>
        <v>-33.91886901865854</v>
      </c>
      <c r="AL24" s="2"/>
      <c r="AM24" s="82">
        <v>-30</v>
      </c>
      <c r="AN24" s="83">
        <f t="shared" ref="AN24:AN32" si="24">AK26</f>
        <v>-20.35132141119513</v>
      </c>
      <c r="AO24" s="83">
        <f t="shared" si="15"/>
        <v>-5.2109275175872742</v>
      </c>
      <c r="AP24" s="84">
        <f t="shared" si="13"/>
        <v>-2.3601130734092868</v>
      </c>
      <c r="AQ24" s="84">
        <f t="shared" si="14"/>
        <v>-13.623968374966635</v>
      </c>
      <c r="AR24" s="84">
        <f t="shared" si="16"/>
        <v>-8.4130408573793929</v>
      </c>
      <c r="AS24" s="53">
        <f t="shared" si="17"/>
        <v>5.2109275175873053</v>
      </c>
      <c r="AT24" s="35"/>
      <c r="AU24" s="35"/>
      <c r="AV24" s="35"/>
      <c r="AW24" s="35"/>
      <c r="AX24" s="35"/>
      <c r="AY24" s="35"/>
      <c r="AZ24" s="35"/>
    </row>
    <row r="25" spans="1:52" ht="15.75" customHeight="1" x14ac:dyDescent="0.25">
      <c r="A25" s="13"/>
      <c r="B25" s="2"/>
      <c r="C25" s="2"/>
      <c r="D25" s="2"/>
      <c r="E25" s="16" t="s">
        <v>89</v>
      </c>
      <c r="F25" s="2">
        <v>7</v>
      </c>
      <c r="G25" s="2" t="s">
        <v>54</v>
      </c>
      <c r="H25" s="15"/>
      <c r="I25" s="61" t="s">
        <v>144</v>
      </c>
      <c r="J25" s="61">
        <v>1.3</v>
      </c>
      <c r="K25" s="61" t="s">
        <v>145</v>
      </c>
      <c r="L25" s="59"/>
      <c r="M25" s="2"/>
      <c r="N25" s="11">
        <f t="shared" si="10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>
        <f t="shared" si="11"/>
        <v>0</v>
      </c>
      <c r="U25" s="22">
        <f t="shared" si="5"/>
        <v>0</v>
      </c>
      <c r="V25" s="22">
        <f t="shared" si="6"/>
        <v>0</v>
      </c>
      <c r="W25" s="22">
        <f t="shared" si="7"/>
        <v>0</v>
      </c>
      <c r="X25" s="21">
        <f t="shared" si="12"/>
        <v>0</v>
      </c>
      <c r="Y25" s="18">
        <f t="shared" si="0"/>
        <v>0</v>
      </c>
      <c r="Z25" s="3"/>
      <c r="AA25" s="6">
        <f t="shared" si="9"/>
        <v>0</v>
      </c>
      <c r="AB25" s="2"/>
      <c r="AC25" s="28">
        <f t="shared" si="18"/>
        <v>-40</v>
      </c>
      <c r="AD25" s="30">
        <f t="shared" si="19"/>
        <v>0.12622720897615708</v>
      </c>
      <c r="AE25" s="31">
        <v>693612.43037951156</v>
      </c>
      <c r="AF25" s="36">
        <f t="shared" si="20"/>
        <v>-6.9479033567830477</v>
      </c>
      <c r="AG25" s="2"/>
      <c r="AH25" s="28">
        <f t="shared" si="21"/>
        <v>-40</v>
      </c>
      <c r="AI25" s="32">
        <f t="shared" si="22"/>
        <v>290605.78783169709</v>
      </c>
      <c r="AJ25" s="31">
        <v>543136.64625019941</v>
      </c>
      <c r="AK25" s="36">
        <f t="shared" si="23"/>
        <v>-27.135095214926842</v>
      </c>
      <c r="AL25" s="2"/>
      <c r="AM25" s="82">
        <v>-20</v>
      </c>
      <c r="AN25" s="83">
        <f t="shared" si="24"/>
        <v>-13.567547607463407</v>
      </c>
      <c r="AO25" s="83">
        <f t="shared" si="15"/>
        <v>-3.4739516783915008</v>
      </c>
      <c r="AP25" s="84">
        <f t="shared" si="13"/>
        <v>-1.5734087156061911</v>
      </c>
      <c r="AQ25" s="84">
        <f t="shared" si="14"/>
        <v>-9.0826455833110806</v>
      </c>
      <c r="AR25" s="84">
        <f t="shared" si="16"/>
        <v>-5.6086939049195639</v>
      </c>
      <c r="AS25" s="53">
        <f t="shared" si="17"/>
        <v>3.4739516783915318</v>
      </c>
      <c r="AT25" s="35"/>
      <c r="AU25" s="35"/>
      <c r="AV25" s="35"/>
      <c r="AW25" s="35"/>
      <c r="AX25" s="35"/>
      <c r="AY25" s="35"/>
      <c r="AZ25" s="35"/>
    </row>
    <row r="26" spans="1:5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 t="s">
        <v>146</v>
      </c>
      <c r="J26" s="62">
        <f>J12/2</f>
        <v>117.5</v>
      </c>
      <c r="K26" s="39" t="s">
        <v>147</v>
      </c>
      <c r="L26" s="40"/>
      <c r="M26" s="2"/>
      <c r="N26" s="11">
        <f t="shared" si="10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>
        <f t="shared" si="11"/>
        <v>0</v>
      </c>
      <c r="U26" s="22">
        <f t="shared" si="5"/>
        <v>0</v>
      </c>
      <c r="V26" s="22">
        <f t="shared" si="6"/>
        <v>0</v>
      </c>
      <c r="W26" s="22">
        <f t="shared" si="7"/>
        <v>0</v>
      </c>
      <c r="X26" s="21">
        <f t="shared" si="12"/>
        <v>0</v>
      </c>
      <c r="Y26" s="18">
        <f t="shared" si="0"/>
        <v>0</v>
      </c>
      <c r="Z26" s="3"/>
      <c r="AA26" s="6">
        <f t="shared" si="9"/>
        <v>0</v>
      </c>
      <c r="AB26" s="2"/>
      <c r="AC26" s="28">
        <f t="shared" si="18"/>
        <v>-30</v>
      </c>
      <c r="AD26" s="30">
        <f t="shared" si="19"/>
        <v>0.14726507713884993</v>
      </c>
      <c r="AE26" s="31">
        <v>706559.88752230443</v>
      </c>
      <c r="AF26" s="36">
        <f t="shared" si="20"/>
        <v>-5.2109275175872742</v>
      </c>
      <c r="AG26" s="2"/>
      <c r="AH26" s="28">
        <f t="shared" si="21"/>
        <v>-30</v>
      </c>
      <c r="AI26" s="32">
        <f t="shared" si="22"/>
        <v>339040.08580364659</v>
      </c>
      <c r="AJ26" s="31">
        <v>593703.04942532023</v>
      </c>
      <c r="AK26" s="36">
        <f t="shared" si="23"/>
        <v>-20.35132141119513</v>
      </c>
      <c r="AL26" s="2"/>
      <c r="AM26" s="82">
        <v>-10</v>
      </c>
      <c r="AN26" s="83">
        <f t="shared" si="24"/>
        <v>-6.7837738037316946</v>
      </c>
      <c r="AO26" s="83">
        <f t="shared" si="15"/>
        <v>-1.7369758391957268</v>
      </c>
      <c r="AP26" s="84">
        <f t="shared" si="13"/>
        <v>-0.78670435780309556</v>
      </c>
      <c r="AQ26" s="84">
        <f t="shared" si="14"/>
        <v>-4.5413227916555243</v>
      </c>
      <c r="AR26" s="84">
        <f t="shared" si="16"/>
        <v>-2.8043469524597819</v>
      </c>
      <c r="AS26" s="53">
        <f t="shared" si="17"/>
        <v>1.7369758391957892</v>
      </c>
      <c r="AT26" s="35"/>
      <c r="AU26" s="35"/>
      <c r="AV26" s="35"/>
      <c r="AW26" s="35"/>
      <c r="AX26" s="35"/>
      <c r="AY26" s="35"/>
      <c r="AZ26" s="35"/>
    </row>
    <row r="27" spans="1:5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10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>
        <f t="shared" si="11"/>
        <v>0</v>
      </c>
      <c r="U27" s="22">
        <f t="shared" si="5"/>
        <v>0</v>
      </c>
      <c r="V27" s="22">
        <f t="shared" si="6"/>
        <v>0</v>
      </c>
      <c r="W27" s="22">
        <f t="shared" si="7"/>
        <v>0</v>
      </c>
      <c r="X27" s="21">
        <f t="shared" si="12"/>
        <v>0</v>
      </c>
      <c r="Y27" s="18">
        <f t="shared" si="0"/>
        <v>0</v>
      </c>
      <c r="Z27" s="3"/>
      <c r="AA27" s="6">
        <f t="shared" si="9"/>
        <v>0</v>
      </c>
      <c r="AB27" s="2"/>
      <c r="AC27" s="28">
        <f t="shared" si="18"/>
        <v>-20</v>
      </c>
      <c r="AD27" s="30">
        <f t="shared" si="19"/>
        <v>0.1683029453015428</v>
      </c>
      <c r="AE27" s="31">
        <v>719507.34466509731</v>
      </c>
      <c r="AF27" s="36">
        <f t="shared" si="20"/>
        <v>-3.4739516783915008</v>
      </c>
      <c r="AG27" s="2"/>
      <c r="AH27" s="28">
        <f t="shared" si="21"/>
        <v>-20</v>
      </c>
      <c r="AI27" s="32">
        <f t="shared" si="22"/>
        <v>387474.38377559616</v>
      </c>
      <c r="AJ27" s="31">
        <v>644269.45260044117</v>
      </c>
      <c r="AK27" s="36">
        <f t="shared" si="23"/>
        <v>-13.567547607463407</v>
      </c>
      <c r="AL27" s="2"/>
      <c r="AM27" s="82">
        <v>0</v>
      </c>
      <c r="AN27" s="83">
        <f t="shared" si="24"/>
        <v>0</v>
      </c>
      <c r="AO27" s="83">
        <f t="shared" si="15"/>
        <v>0</v>
      </c>
      <c r="AP27" s="84">
        <f t="shared" si="13"/>
        <v>0</v>
      </c>
      <c r="AQ27" s="84">
        <f t="shared" si="14"/>
        <v>0</v>
      </c>
      <c r="AR27" s="84">
        <f t="shared" si="16"/>
        <v>0</v>
      </c>
      <c r="AS27" s="53">
        <f t="shared" si="17"/>
        <v>0</v>
      </c>
      <c r="AT27" s="35"/>
      <c r="AU27" s="35"/>
      <c r="AV27" s="35"/>
      <c r="AW27" s="35"/>
      <c r="AX27" s="35"/>
      <c r="AY27" s="35"/>
      <c r="AZ27" s="35"/>
    </row>
    <row r="28" spans="1:52" ht="15.75" customHeight="1" x14ac:dyDescent="0.25">
      <c r="A28" s="1" t="s">
        <v>90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10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>
        <f t="shared" si="11"/>
        <v>0</v>
      </c>
      <c r="U28" s="22">
        <f t="shared" si="5"/>
        <v>0</v>
      </c>
      <c r="V28" s="22">
        <f t="shared" si="6"/>
        <v>0</v>
      </c>
      <c r="W28" s="22">
        <f t="shared" si="7"/>
        <v>0</v>
      </c>
      <c r="X28" s="21">
        <f t="shared" si="12"/>
        <v>0</v>
      </c>
      <c r="Y28" s="18">
        <f t="shared" si="0"/>
        <v>0</v>
      </c>
      <c r="Z28" s="3"/>
      <c r="AA28" s="6">
        <f t="shared" si="9"/>
        <v>0</v>
      </c>
      <c r="AB28" s="2"/>
      <c r="AC28" s="28">
        <f t="shared" si="18"/>
        <v>-10</v>
      </c>
      <c r="AD28" s="30">
        <f t="shared" si="19"/>
        <v>0.18934081346423565</v>
      </c>
      <c r="AE28" s="31">
        <v>732454.80180789018</v>
      </c>
      <c r="AF28" s="36">
        <f t="shared" si="20"/>
        <v>-1.7369758391957268</v>
      </c>
      <c r="AG28" s="2"/>
      <c r="AH28" s="28">
        <f t="shared" si="21"/>
        <v>-10</v>
      </c>
      <c r="AI28" s="32">
        <f t="shared" si="22"/>
        <v>435908.68174754566</v>
      </c>
      <c r="AJ28" s="31">
        <v>694835.855775562</v>
      </c>
      <c r="AK28" s="36">
        <f t="shared" si="23"/>
        <v>-6.7837738037316946</v>
      </c>
      <c r="AL28" s="2"/>
      <c r="AM28" s="82">
        <v>10</v>
      </c>
      <c r="AN28" s="83">
        <f t="shared" si="24"/>
        <v>6.7837738037317266</v>
      </c>
      <c r="AO28" s="83">
        <f t="shared" si="15"/>
        <v>1.7369758391957892</v>
      </c>
      <c r="AP28" s="84">
        <f t="shared" si="13"/>
        <v>0.78670435780309556</v>
      </c>
      <c r="AQ28" s="84">
        <f t="shared" si="14"/>
        <v>4.5413227916556025</v>
      </c>
      <c r="AR28" s="84">
        <f t="shared" si="16"/>
        <v>2.8043469524598286</v>
      </c>
      <c r="AS28" s="53">
        <f t="shared" si="17"/>
        <v>-1.7369758391957268</v>
      </c>
      <c r="AT28" s="35"/>
      <c r="AU28" s="35"/>
      <c r="AV28" s="35"/>
      <c r="AW28" s="35"/>
      <c r="AX28" s="35"/>
      <c r="AY28" s="35"/>
      <c r="AZ28" s="35"/>
    </row>
    <row r="29" spans="1:5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10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>
        <f t="shared" si="11"/>
        <v>0</v>
      </c>
      <c r="U29" s="22">
        <f t="shared" si="5"/>
        <v>0</v>
      </c>
      <c r="V29" s="22">
        <f t="shared" si="6"/>
        <v>0</v>
      </c>
      <c r="W29" s="22">
        <f t="shared" si="7"/>
        <v>0</v>
      </c>
      <c r="X29" s="21">
        <f t="shared" si="12"/>
        <v>0</v>
      </c>
      <c r="Y29" s="18">
        <f t="shared" si="0"/>
        <v>0</v>
      </c>
      <c r="Z29" s="3"/>
      <c r="AA29" s="6">
        <f t="shared" si="9"/>
        <v>0</v>
      </c>
      <c r="AB29" s="2"/>
      <c r="AC29" s="41">
        <v>0</v>
      </c>
      <c r="AD29" s="42">
        <f t="shared" si="19"/>
        <v>0.21037868162692849</v>
      </c>
      <c r="AE29" s="43">
        <v>745402.25895068271</v>
      </c>
      <c r="AF29" s="44">
        <f t="shared" si="20"/>
        <v>0</v>
      </c>
      <c r="AG29" s="2"/>
      <c r="AH29" s="41">
        <v>0</v>
      </c>
      <c r="AI29" s="45">
        <f t="shared" si="22"/>
        <v>484342.97971949517</v>
      </c>
      <c r="AJ29" s="43">
        <v>745402.25895068271</v>
      </c>
      <c r="AK29" s="44">
        <f t="shared" si="23"/>
        <v>0</v>
      </c>
      <c r="AL29" s="2"/>
      <c r="AM29" s="82">
        <v>20</v>
      </c>
      <c r="AN29" s="83">
        <f t="shared" si="24"/>
        <v>13.567547607463421</v>
      </c>
      <c r="AO29" s="83">
        <f t="shared" si="15"/>
        <v>3.4739516783915318</v>
      </c>
      <c r="AP29" s="84">
        <f t="shared" si="13"/>
        <v>1.5734087156062067</v>
      </c>
      <c r="AQ29" s="84">
        <f t="shared" si="14"/>
        <v>11.867236970441136</v>
      </c>
      <c r="AR29" s="84">
        <f t="shared" si="16"/>
        <v>5.608693904919611</v>
      </c>
      <c r="AS29" s="53">
        <f t="shared" si="17"/>
        <v>-3.4739516783915008</v>
      </c>
      <c r="AT29" s="35"/>
      <c r="AU29" s="35"/>
      <c r="AV29" s="35"/>
      <c r="AW29" s="35"/>
      <c r="AX29" s="35"/>
      <c r="AY29" s="35"/>
      <c r="AZ29" s="35"/>
    </row>
    <row r="30" spans="1:52" ht="15.75" customHeight="1" x14ac:dyDescent="0.25">
      <c r="A30" s="7" t="s">
        <v>91</v>
      </c>
      <c r="B30" s="8"/>
      <c r="C30" s="8"/>
      <c r="D30" s="8"/>
      <c r="E30" s="10" t="s">
        <v>92</v>
      </c>
      <c r="F30" s="8"/>
      <c r="G30" s="8"/>
      <c r="H30" s="8"/>
      <c r="I30" s="10" t="s">
        <v>93</v>
      </c>
      <c r="J30" s="46"/>
      <c r="K30" s="8"/>
      <c r="L30" s="9"/>
      <c r="M30" s="2"/>
      <c r="N30" s="11">
        <f t="shared" si="10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>
        <f t="shared" si="11"/>
        <v>0</v>
      </c>
      <c r="U30" s="22">
        <f t="shared" si="5"/>
        <v>0</v>
      </c>
      <c r="V30" s="22">
        <f t="shared" si="6"/>
        <v>0</v>
      </c>
      <c r="W30" s="22">
        <f t="shared" si="7"/>
        <v>0</v>
      </c>
      <c r="X30" s="21">
        <f t="shared" si="12"/>
        <v>0</v>
      </c>
      <c r="Y30" s="18">
        <f t="shared" si="0"/>
        <v>0</v>
      </c>
      <c r="Z30" s="3"/>
      <c r="AA30" s="6">
        <f t="shared" si="9"/>
        <v>0</v>
      </c>
      <c r="AB30" s="2"/>
      <c r="AC30" s="28">
        <f t="shared" ref="AC30:AC34" si="25">AC29+10</f>
        <v>10</v>
      </c>
      <c r="AD30" s="30">
        <f t="shared" si="19"/>
        <v>0.23141654978962137</v>
      </c>
      <c r="AE30" s="31">
        <v>758349.7160934757</v>
      </c>
      <c r="AF30" s="36">
        <f t="shared" si="20"/>
        <v>1.7369758391957892</v>
      </c>
      <c r="AG30" s="2"/>
      <c r="AH30" s="28">
        <f t="shared" ref="AH30:AH34" si="26">AH29+10</f>
        <v>10</v>
      </c>
      <c r="AI30" s="32">
        <f t="shared" si="22"/>
        <v>532777.27769144473</v>
      </c>
      <c r="AJ30" s="31">
        <v>795968.66212580365</v>
      </c>
      <c r="AK30" s="36">
        <f t="shared" si="23"/>
        <v>6.7837738037317266</v>
      </c>
      <c r="AL30" s="2"/>
      <c r="AM30" s="82">
        <v>30</v>
      </c>
      <c r="AN30" s="83">
        <f t="shared" si="24"/>
        <v>20.35132141119513</v>
      </c>
      <c r="AO30" s="83">
        <f t="shared" si="15"/>
        <v>5.2109275175873053</v>
      </c>
      <c r="AP30" s="84">
        <f t="shared" si="13"/>
        <v>2.3601130734093023</v>
      </c>
      <c r="AQ30" s="84">
        <f t="shared" si="14"/>
        <v>16.547789331453181</v>
      </c>
      <c r="AR30" s="84">
        <f t="shared" si="16"/>
        <v>8.4130408573794391</v>
      </c>
      <c r="AS30" s="53">
        <f t="shared" si="17"/>
        <v>-5.2109275175872742</v>
      </c>
      <c r="AT30" s="35"/>
      <c r="AU30" s="35"/>
      <c r="AV30" s="35"/>
      <c r="AW30" s="35"/>
      <c r="AX30" s="35"/>
      <c r="AY30" s="35"/>
      <c r="AZ30" s="35"/>
    </row>
    <row r="31" spans="1:52" ht="15.75" customHeight="1" x14ac:dyDescent="0.25">
      <c r="A31" s="25" t="s">
        <v>158</v>
      </c>
      <c r="B31" s="6">
        <f>IF(B11=0,0,-B11/B8)</f>
        <v>0</v>
      </c>
      <c r="C31" s="2" t="s">
        <v>3</v>
      </c>
      <c r="D31" s="2"/>
      <c r="E31" s="16" t="s">
        <v>94</v>
      </c>
      <c r="F31" s="24">
        <f>(J21/100)*B52</f>
        <v>145302.89391584854</v>
      </c>
      <c r="G31" s="2" t="s">
        <v>3</v>
      </c>
      <c r="H31" s="2"/>
      <c r="I31" s="16" t="s">
        <v>95</v>
      </c>
      <c r="J31" s="35">
        <f>ROUNDDOWN(J11/(F12/J12),0)</f>
        <v>12</v>
      </c>
      <c r="K31" s="2" t="s">
        <v>54</v>
      </c>
      <c r="L31" s="15"/>
      <c r="M31" s="2"/>
      <c r="N31" s="11">
        <f t="shared" si="10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>
        <f t="shared" si="11"/>
        <v>0</v>
      </c>
      <c r="U31" s="22">
        <f t="shared" si="5"/>
        <v>0</v>
      </c>
      <c r="V31" s="22">
        <f t="shared" si="6"/>
        <v>0</v>
      </c>
      <c r="W31" s="22">
        <f t="shared" si="7"/>
        <v>0</v>
      </c>
      <c r="X31" s="21">
        <f t="shared" si="12"/>
        <v>0</v>
      </c>
      <c r="Y31" s="18">
        <f t="shared" si="0"/>
        <v>0</v>
      </c>
      <c r="Z31" s="3"/>
      <c r="AA31" s="6">
        <f t="shared" si="9"/>
        <v>0</v>
      </c>
      <c r="AB31" s="2"/>
      <c r="AC31" s="28">
        <f t="shared" si="25"/>
        <v>20</v>
      </c>
      <c r="AD31" s="30">
        <f t="shared" si="19"/>
        <v>0.25245441795231416</v>
      </c>
      <c r="AE31" s="31">
        <v>771297.17323626834</v>
      </c>
      <c r="AF31" s="36">
        <f t="shared" si="20"/>
        <v>3.4739516783915318</v>
      </c>
      <c r="AG31" s="2"/>
      <c r="AH31" s="28">
        <f t="shared" si="26"/>
        <v>20</v>
      </c>
      <c r="AI31" s="32">
        <f t="shared" si="22"/>
        <v>581211.57566339418</v>
      </c>
      <c r="AJ31" s="31">
        <v>846535.06530092435</v>
      </c>
      <c r="AK31" s="36">
        <f t="shared" si="23"/>
        <v>13.567547607463421</v>
      </c>
      <c r="AL31" s="2"/>
      <c r="AM31" s="82">
        <v>40</v>
      </c>
      <c r="AN31" s="83">
        <f t="shared" si="24"/>
        <v>27.135095214926842</v>
      </c>
      <c r="AO31" s="83">
        <f t="shared" si="15"/>
        <v>6.9479033567830788</v>
      </c>
      <c r="AP31" s="84">
        <f t="shared" si="13"/>
        <v>3.1468174312123667</v>
      </c>
      <c r="AQ31" s="84">
        <f t="shared" si="14"/>
        <v>21.23530317093309</v>
      </c>
      <c r="AR31" s="84">
        <f t="shared" si="16"/>
        <v>11.217387809839236</v>
      </c>
      <c r="AS31" s="53">
        <f t="shared" si="17"/>
        <v>-6.9479033567830477</v>
      </c>
      <c r="AT31" s="35"/>
      <c r="AU31" s="35"/>
      <c r="AV31" s="35"/>
      <c r="AW31" s="35"/>
      <c r="AX31" s="35"/>
      <c r="AY31" s="35"/>
      <c r="AZ31" s="35"/>
    </row>
    <row r="32" spans="1:52" ht="15.75" customHeight="1" x14ac:dyDescent="0.25">
      <c r="A32" s="25" t="s">
        <v>45</v>
      </c>
      <c r="B32" s="6">
        <f>IF(B12=0,0,-(B12/100)*$B$50)</f>
        <v>0</v>
      </c>
      <c r="C32" s="2" t="s">
        <v>3</v>
      </c>
      <c r="D32" s="2"/>
      <c r="E32" s="16" t="s">
        <v>96</v>
      </c>
      <c r="F32" s="6">
        <f>B52-F31</f>
        <v>339040.08580364659</v>
      </c>
      <c r="G32" s="2" t="s">
        <v>3</v>
      </c>
      <c r="H32" s="2"/>
      <c r="I32" s="16" t="s">
        <v>60</v>
      </c>
      <c r="J32" s="14">
        <f>IF(J24="Yes",SUM(F50:F51),0)</f>
        <v>0</v>
      </c>
      <c r="K32" s="2" t="s">
        <v>50</v>
      </c>
      <c r="L32" s="15"/>
      <c r="M32" s="2"/>
      <c r="N32" s="11">
        <f t="shared" si="10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>
        <f t="shared" si="11"/>
        <v>0</v>
      </c>
      <c r="U32" s="22">
        <f t="shared" si="5"/>
        <v>0</v>
      </c>
      <c r="V32" s="22">
        <f t="shared" si="6"/>
        <v>0</v>
      </c>
      <c r="W32" s="22">
        <f t="shared" si="7"/>
        <v>0</v>
      </c>
      <c r="X32" s="21">
        <f t="shared" si="12"/>
        <v>0</v>
      </c>
      <c r="Y32" s="18">
        <f t="shared" si="0"/>
        <v>0</v>
      </c>
      <c r="Z32" s="3"/>
      <c r="AA32" s="6">
        <f t="shared" si="9"/>
        <v>0</v>
      </c>
      <c r="AB32" s="2"/>
      <c r="AC32" s="28">
        <f t="shared" si="25"/>
        <v>30</v>
      </c>
      <c r="AD32" s="30">
        <f t="shared" si="19"/>
        <v>0.27349228611500703</v>
      </c>
      <c r="AE32" s="31">
        <v>784244.63037906121</v>
      </c>
      <c r="AF32" s="36">
        <f t="shared" si="20"/>
        <v>5.2109275175873053</v>
      </c>
      <c r="AG32" s="2"/>
      <c r="AH32" s="28">
        <f t="shared" si="26"/>
        <v>30</v>
      </c>
      <c r="AI32" s="32">
        <f t="shared" si="22"/>
        <v>629645.87363534374</v>
      </c>
      <c r="AJ32" s="31">
        <v>897101.46847604518</v>
      </c>
      <c r="AK32" s="36">
        <f t="shared" si="23"/>
        <v>20.35132141119513</v>
      </c>
      <c r="AL32" s="2"/>
      <c r="AM32" s="82">
        <v>50</v>
      </c>
      <c r="AN32" s="83">
        <f t="shared" si="24"/>
        <v>33.918869018658555</v>
      </c>
      <c r="AO32" s="83">
        <f t="shared" si="15"/>
        <v>8.6848791959788212</v>
      </c>
      <c r="AP32" s="84">
        <f t="shared" si="13"/>
        <v>3.9335217890154621</v>
      </c>
      <c r="AQ32" s="84">
        <f t="shared" si="14"/>
        <v>25.776625962588611</v>
      </c>
      <c r="AR32" s="84">
        <f t="shared" si="16"/>
        <v>14.021734762298987</v>
      </c>
      <c r="AS32" s="53">
        <f t="shared" si="17"/>
        <v>-8.6848791959787892</v>
      </c>
      <c r="AT32" s="35"/>
      <c r="AU32" s="35"/>
      <c r="AV32" s="35"/>
      <c r="AW32" s="35"/>
      <c r="AX32" s="35"/>
      <c r="AY32" s="35"/>
      <c r="AZ32" s="35"/>
    </row>
    <row r="33" spans="1:52" ht="15.75" customHeight="1" x14ac:dyDescent="0.25">
      <c r="A33" s="25" t="s">
        <v>51</v>
      </c>
      <c r="B33" s="6">
        <f>IF(B13=0,0,(B13/100)*($B$49))</f>
        <v>24746.928387096777</v>
      </c>
      <c r="C33" s="2" t="s">
        <v>3</v>
      </c>
      <c r="D33" s="2"/>
      <c r="E33" s="16" t="s">
        <v>97</v>
      </c>
      <c r="F33" s="24">
        <f>F32*(F22/100)*J20</f>
        <v>77131.619520329594</v>
      </c>
      <c r="G33" s="2" t="s">
        <v>3</v>
      </c>
      <c r="H33" s="2"/>
      <c r="I33" s="2"/>
      <c r="J33" s="2"/>
      <c r="K33" s="2"/>
      <c r="L33" s="15"/>
      <c r="M33" s="2"/>
      <c r="N33" s="11">
        <f t="shared" si="10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>
        <f t="shared" si="11"/>
        <v>0</v>
      </c>
      <c r="U33" s="22">
        <f t="shared" si="5"/>
        <v>0</v>
      </c>
      <c r="V33" s="22">
        <f t="shared" si="6"/>
        <v>0</v>
      </c>
      <c r="W33" s="22">
        <f t="shared" si="7"/>
        <v>0</v>
      </c>
      <c r="X33" s="21">
        <f t="shared" si="12"/>
        <v>0</v>
      </c>
      <c r="Y33" s="18">
        <f t="shared" si="0"/>
        <v>0</v>
      </c>
      <c r="Z33" s="3"/>
      <c r="AA33" s="6">
        <f t="shared" si="9"/>
        <v>0</v>
      </c>
      <c r="AB33" s="2"/>
      <c r="AC33" s="28">
        <f t="shared" si="25"/>
        <v>40</v>
      </c>
      <c r="AD33" s="30">
        <f t="shared" si="19"/>
        <v>0.29453015427769985</v>
      </c>
      <c r="AE33" s="31">
        <v>797192.08752185409</v>
      </c>
      <c r="AF33" s="36">
        <f t="shared" si="20"/>
        <v>6.9479033567830788</v>
      </c>
      <c r="AG33" s="2"/>
      <c r="AH33" s="28">
        <f t="shared" si="26"/>
        <v>40</v>
      </c>
      <c r="AI33" s="32">
        <f t="shared" si="22"/>
        <v>678080.17160729319</v>
      </c>
      <c r="AJ33" s="31">
        <v>947667.871651166</v>
      </c>
      <c r="AK33" s="36">
        <f t="shared" si="23"/>
        <v>27.135095214926842</v>
      </c>
      <c r="AL33" s="2"/>
      <c r="AM33" s="29"/>
      <c r="AN33" s="33"/>
      <c r="AO33" s="34"/>
      <c r="AP33" s="37"/>
      <c r="AQ33" s="2"/>
      <c r="AR33" s="35"/>
      <c r="AS33" s="35"/>
      <c r="AT33" s="35"/>
      <c r="AU33" s="35"/>
      <c r="AV33" s="35"/>
      <c r="AW33" s="35"/>
      <c r="AX33" s="35"/>
      <c r="AY33" s="35"/>
      <c r="AZ33" s="35"/>
    </row>
    <row r="34" spans="1:52" ht="15.75" customHeight="1" x14ac:dyDescent="0.25">
      <c r="A34" s="25" t="s">
        <v>55</v>
      </c>
      <c r="B34" s="6">
        <f>IF(B14=0,0,(B14/100)*$B$49)</f>
        <v>70705.509677419366</v>
      </c>
      <c r="C34" s="2" t="s">
        <v>3</v>
      </c>
      <c r="D34" s="2"/>
      <c r="E34" s="2"/>
      <c r="F34" s="35"/>
      <c r="G34" s="2"/>
      <c r="H34" s="2"/>
      <c r="I34" s="16" t="s">
        <v>98</v>
      </c>
      <c r="J34" s="6">
        <f>F12*B5</f>
        <v>772580</v>
      </c>
      <c r="K34" s="2" t="s">
        <v>99</v>
      </c>
      <c r="L34" s="15"/>
      <c r="M34" s="2"/>
      <c r="N34" s="11">
        <f t="shared" si="10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>
        <f t="shared" si="11"/>
        <v>0</v>
      </c>
      <c r="U34" s="22">
        <f t="shared" si="5"/>
        <v>0</v>
      </c>
      <c r="V34" s="22">
        <f t="shared" si="6"/>
        <v>0</v>
      </c>
      <c r="W34" s="22">
        <f t="shared" si="7"/>
        <v>0</v>
      </c>
      <c r="X34" s="21">
        <f t="shared" si="12"/>
        <v>0</v>
      </c>
      <c r="Y34" s="18">
        <f t="shared" si="0"/>
        <v>0</v>
      </c>
      <c r="Z34" s="3"/>
      <c r="AA34" s="6">
        <f t="shared" si="9"/>
        <v>0</v>
      </c>
      <c r="AB34" s="2"/>
      <c r="AC34" s="28">
        <f t="shared" si="25"/>
        <v>50</v>
      </c>
      <c r="AD34" s="30">
        <f t="shared" si="19"/>
        <v>0.31556802244039273</v>
      </c>
      <c r="AE34" s="31">
        <v>810139.54466464673</v>
      </c>
      <c r="AF34" s="36">
        <f t="shared" si="20"/>
        <v>8.6848791959788212</v>
      </c>
      <c r="AG34" s="2"/>
      <c r="AH34" s="28">
        <f t="shared" si="26"/>
        <v>50</v>
      </c>
      <c r="AI34" s="32">
        <f t="shared" si="22"/>
        <v>726514.46957924275</v>
      </c>
      <c r="AJ34" s="31">
        <v>998234.27482628683</v>
      </c>
      <c r="AK34" s="36">
        <f t="shared" si="23"/>
        <v>33.918869018658555</v>
      </c>
      <c r="AL34" s="2"/>
      <c r="AM34" s="29"/>
      <c r="AN34" s="33"/>
      <c r="AO34" s="34"/>
      <c r="AP34" s="37"/>
      <c r="AQ34" s="2"/>
      <c r="AR34" s="35"/>
      <c r="AS34" s="35"/>
      <c r="AT34" s="35"/>
      <c r="AU34" s="35"/>
      <c r="AV34" s="35"/>
      <c r="AW34" s="35"/>
      <c r="AX34" s="35"/>
      <c r="AY34" s="35"/>
      <c r="AZ34" s="35"/>
    </row>
    <row r="35" spans="1:52" ht="15.75" customHeight="1" x14ac:dyDescent="0.25">
      <c r="A35" s="16" t="s">
        <v>70</v>
      </c>
      <c r="B35" s="6">
        <f>IF(B18=0,0,(B18/100)*$B$49)</f>
        <v>0</v>
      </c>
      <c r="C35" s="2" t="s">
        <v>3</v>
      </c>
      <c r="D35" s="2"/>
      <c r="E35" s="1" t="s">
        <v>100</v>
      </c>
      <c r="F35" s="2"/>
      <c r="G35" s="2"/>
      <c r="H35" s="2"/>
      <c r="I35" s="2"/>
      <c r="J35" s="2"/>
      <c r="K35" s="2"/>
      <c r="L35" s="15"/>
      <c r="M35" s="2"/>
      <c r="N35" s="11">
        <f t="shared" si="10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>
        <f t="shared" si="11"/>
        <v>0</v>
      </c>
      <c r="U35" s="22">
        <f t="shared" si="5"/>
        <v>0</v>
      </c>
      <c r="V35" s="22">
        <f t="shared" si="6"/>
        <v>0</v>
      </c>
      <c r="W35" s="22">
        <f t="shared" si="7"/>
        <v>0</v>
      </c>
      <c r="X35" s="21">
        <f t="shared" si="12"/>
        <v>0</v>
      </c>
      <c r="Y35" s="18">
        <f t="shared" si="0"/>
        <v>0</v>
      </c>
      <c r="Z35" s="3"/>
      <c r="AA35" s="6">
        <f t="shared" si="9"/>
        <v>0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5.75" customHeight="1" x14ac:dyDescent="0.25">
      <c r="A36" s="25" t="s">
        <v>72</v>
      </c>
      <c r="B36" s="6">
        <f>IF(B19=0,0,(B19/100)*$B$49)</f>
        <v>35352.754838709683</v>
      </c>
      <c r="C36" s="2" t="s">
        <v>3</v>
      </c>
      <c r="D36" s="2"/>
      <c r="E36" s="16" t="s">
        <v>31</v>
      </c>
      <c r="F36" s="14">
        <f>F13/$B$8</f>
        <v>0.21037868162692849</v>
      </c>
      <c r="G36" s="2" t="s">
        <v>32</v>
      </c>
      <c r="H36" s="2"/>
      <c r="I36" s="2"/>
      <c r="J36" s="2"/>
      <c r="K36" s="2"/>
      <c r="L36" s="15"/>
      <c r="M36" s="2"/>
      <c r="N36" s="11">
        <f t="shared" si="10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>
        <f t="shared" si="11"/>
        <v>0</v>
      </c>
      <c r="U36" s="22">
        <f t="shared" si="5"/>
        <v>0</v>
      </c>
      <c r="V36" s="22">
        <f t="shared" si="6"/>
        <v>0</v>
      </c>
      <c r="W36" s="22">
        <f t="shared" si="7"/>
        <v>0</v>
      </c>
      <c r="X36" s="21">
        <f t="shared" si="12"/>
        <v>0</v>
      </c>
      <c r="Y36" s="18">
        <f t="shared" si="0"/>
        <v>0</v>
      </c>
      <c r="Z36" s="3"/>
      <c r="AA36" s="6">
        <f t="shared" si="9"/>
        <v>0</v>
      </c>
      <c r="AB36" s="2"/>
      <c r="AC36" s="27" t="s">
        <v>34</v>
      </c>
      <c r="AD36" s="28"/>
      <c r="AE36" s="28"/>
      <c r="AF36" s="28"/>
      <c r="AG36" s="2"/>
      <c r="AH36" s="27" t="s">
        <v>101</v>
      </c>
      <c r="AI36" s="28"/>
      <c r="AJ36" s="28"/>
      <c r="AK36" s="28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5.75" customHeight="1" x14ac:dyDescent="0.25">
      <c r="A37" s="25" t="s">
        <v>74</v>
      </c>
      <c r="B37" s="6">
        <f>IF(B20=0,0,(B20/100)*$B$49)</f>
        <v>0</v>
      </c>
      <c r="C37" s="2" t="s">
        <v>3</v>
      </c>
      <c r="D37" s="2"/>
      <c r="E37" s="16" t="s">
        <v>102</v>
      </c>
      <c r="F37" s="6">
        <f>(F20/((1-J14%)*J10))/B8</f>
        <v>0</v>
      </c>
      <c r="G37" s="2" t="s">
        <v>32</v>
      </c>
      <c r="H37" s="2"/>
      <c r="I37" s="1" t="s">
        <v>103</v>
      </c>
      <c r="J37" s="47">
        <f>SUM(J38:J40)</f>
        <v>27096.448641795232</v>
      </c>
      <c r="K37" s="1" t="s">
        <v>50</v>
      </c>
      <c r="L37" s="15"/>
      <c r="M37" s="2"/>
      <c r="N37" s="11">
        <f t="shared" si="10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>
        <f t="shared" si="11"/>
        <v>0</v>
      </c>
      <c r="U37" s="22">
        <f t="shared" si="5"/>
        <v>0</v>
      </c>
      <c r="V37" s="22">
        <f t="shared" si="6"/>
        <v>0</v>
      </c>
      <c r="W37" s="22">
        <f t="shared" si="7"/>
        <v>0</v>
      </c>
      <c r="X37" s="21">
        <f t="shared" si="12"/>
        <v>0</v>
      </c>
      <c r="Y37" s="18">
        <f t="shared" si="0"/>
        <v>0</v>
      </c>
      <c r="Z37" s="3"/>
      <c r="AA37" s="6">
        <f t="shared" si="9"/>
        <v>0</v>
      </c>
      <c r="AB37" s="2"/>
      <c r="AC37" s="28" t="s">
        <v>79</v>
      </c>
      <c r="AD37" s="28" t="s">
        <v>104</v>
      </c>
      <c r="AE37" s="28" t="s">
        <v>24</v>
      </c>
      <c r="AF37" s="28" t="s">
        <v>81</v>
      </c>
      <c r="AG37" s="2"/>
      <c r="AH37" s="28" t="s">
        <v>79</v>
      </c>
      <c r="AI37" s="28" t="s">
        <v>105</v>
      </c>
      <c r="AJ37" s="28" t="s">
        <v>24</v>
      </c>
      <c r="AK37" s="28" t="s">
        <v>81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5.75" customHeight="1" x14ac:dyDescent="0.25">
      <c r="A38" s="25" t="s">
        <v>167</v>
      </c>
      <c r="B38" s="14">
        <f>IF(B17=0,0,(B17/B8))</f>
        <v>10.23842917251052</v>
      </c>
      <c r="C38" s="2" t="s">
        <v>3</v>
      </c>
      <c r="D38" s="2"/>
      <c r="E38" s="16" t="s">
        <v>106</v>
      </c>
      <c r="F38" s="48">
        <f>F36*J17</f>
        <v>0.20827489481065919</v>
      </c>
      <c r="G38" s="2" t="s">
        <v>4</v>
      </c>
      <c r="H38" s="2"/>
      <c r="I38" s="16" t="s">
        <v>73</v>
      </c>
      <c r="J38" s="14">
        <f>F19/$B$8</f>
        <v>25.245441795231418</v>
      </c>
      <c r="K38" s="2" t="s">
        <v>50</v>
      </c>
      <c r="L38" s="15"/>
      <c r="M38" s="2"/>
      <c r="N38" s="11">
        <f t="shared" si="10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>
        <f t="shared" si="11"/>
        <v>0</v>
      </c>
      <c r="U38" s="22">
        <f t="shared" si="5"/>
        <v>0</v>
      </c>
      <c r="V38" s="22">
        <f t="shared" si="6"/>
        <v>0</v>
      </c>
      <c r="W38" s="22">
        <f t="shared" si="7"/>
        <v>0</v>
      </c>
      <c r="X38" s="21">
        <f t="shared" si="12"/>
        <v>0</v>
      </c>
      <c r="Y38" s="18">
        <f t="shared" si="0"/>
        <v>0</v>
      </c>
      <c r="Z38" s="3"/>
      <c r="AA38" s="6">
        <f t="shared" si="9"/>
        <v>0</v>
      </c>
      <c r="AB38" s="2"/>
      <c r="AC38" s="28" t="s">
        <v>84</v>
      </c>
      <c r="AD38" s="32">
        <v>47334</v>
      </c>
      <c r="AE38" s="31">
        <f>Y49</f>
        <v>745402.25895068271</v>
      </c>
      <c r="AF38" s="28"/>
      <c r="AG38" s="2"/>
      <c r="AH38" s="28" t="s">
        <v>84</v>
      </c>
      <c r="AI38" s="32">
        <v>77258</v>
      </c>
      <c r="AJ38" s="31">
        <f>Y49</f>
        <v>745402.25895068271</v>
      </c>
      <c r="AK38" s="28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5.75" customHeight="1" x14ac:dyDescent="0.25">
      <c r="A39" s="2"/>
      <c r="B39" s="2"/>
      <c r="C39" s="2"/>
      <c r="D39" s="2"/>
      <c r="E39" s="2"/>
      <c r="F39" s="2"/>
      <c r="G39" s="2"/>
      <c r="H39" s="2"/>
      <c r="I39" s="16" t="s">
        <v>65</v>
      </c>
      <c r="J39" s="14">
        <f>F16/$B$8</f>
        <v>0</v>
      </c>
      <c r="K39" s="2" t="s">
        <v>50</v>
      </c>
      <c r="L39" s="15"/>
      <c r="M39" s="2"/>
      <c r="N39" s="11">
        <f t="shared" si="10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>
        <f t="shared" si="11"/>
        <v>0</v>
      </c>
      <c r="U39" s="22">
        <f t="shared" si="5"/>
        <v>0</v>
      </c>
      <c r="V39" s="22">
        <f t="shared" si="6"/>
        <v>0</v>
      </c>
      <c r="W39" s="22">
        <f t="shared" si="7"/>
        <v>0</v>
      </c>
      <c r="X39" s="21">
        <f t="shared" si="12"/>
        <v>0</v>
      </c>
      <c r="Y39" s="18">
        <f t="shared" si="0"/>
        <v>0</v>
      </c>
      <c r="Z39" s="3"/>
      <c r="AA39" s="6">
        <f t="shared" si="9"/>
        <v>0</v>
      </c>
      <c r="AB39" s="2"/>
      <c r="AC39" s="28">
        <f t="shared" ref="AC39:AC43" si="27">AC40-10</f>
        <v>-50</v>
      </c>
      <c r="AD39" s="32">
        <f t="shared" ref="AD39:AD49" si="28">$AD$38*(1+(AC39/100))</f>
        <v>23667</v>
      </c>
      <c r="AE39" s="31">
        <f t="dataTable" ref="AE39:AE49" dt2D="0" dtr="0" r1="B48" ca="1"/>
        <v>716081.69867904403</v>
      </c>
      <c r="AF39" s="36">
        <f>100*((AE39-$AE$44)/$AE$44)</f>
        <v>-3.9335217890154777</v>
      </c>
      <c r="AG39" s="2"/>
      <c r="AH39" s="28">
        <f t="shared" ref="AH39:AH43" si="29">AH40-10</f>
        <v>-50</v>
      </c>
      <c r="AI39" s="32">
        <f t="shared" ref="AI39:AI49" si="30">$AI$38*(1+(AH39/100))</f>
        <v>38629</v>
      </c>
      <c r="AJ39" s="31">
        <f t="dataTable" ref="AJ39:AJ49" dt2D="0" dtr="0" r1="F12" ca="1"/>
        <v>576146.64557446912</v>
      </c>
      <c r="AK39" s="36">
        <f t="shared" ref="AK39:AK49" si="31">100*((AJ39-$AJ$44)/$AJ$44)</f>
        <v>-22.706613958277778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5.75" customHeight="1" x14ac:dyDescent="0.25">
      <c r="A40" s="16" t="s">
        <v>107</v>
      </c>
      <c r="B40" s="6">
        <f>-B34*B15</f>
        <v>-212116.52903225808</v>
      </c>
      <c r="C40" s="2" t="s">
        <v>3</v>
      </c>
      <c r="D40" s="2"/>
      <c r="E40" s="16" t="s">
        <v>108</v>
      </c>
      <c r="F40" s="14">
        <f>F37*F12*J17</f>
        <v>0</v>
      </c>
      <c r="G40" s="2" t="s">
        <v>50</v>
      </c>
      <c r="H40" s="2"/>
      <c r="I40" s="16" t="s">
        <v>49</v>
      </c>
      <c r="J40" s="20">
        <f>F21*F12/$B$8</f>
        <v>27071.2032</v>
      </c>
      <c r="K40" s="2" t="s">
        <v>50</v>
      </c>
      <c r="L40" s="15"/>
      <c r="M40" s="2"/>
      <c r="N40" s="11">
        <f t="shared" si="10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>
        <f t="shared" si="11"/>
        <v>0</v>
      </c>
      <c r="U40" s="22">
        <f t="shared" si="5"/>
        <v>0</v>
      </c>
      <c r="V40" s="22">
        <f t="shared" si="6"/>
        <v>0</v>
      </c>
      <c r="W40" s="22">
        <f t="shared" si="7"/>
        <v>0</v>
      </c>
      <c r="X40" s="21">
        <f t="shared" si="12"/>
        <v>0</v>
      </c>
      <c r="Y40" s="18">
        <f t="shared" si="0"/>
        <v>0</v>
      </c>
      <c r="Z40" s="3"/>
      <c r="AA40" s="6">
        <f t="shared" si="9"/>
        <v>0</v>
      </c>
      <c r="AB40" s="2"/>
      <c r="AC40" s="28">
        <f t="shared" si="27"/>
        <v>-40</v>
      </c>
      <c r="AD40" s="32">
        <f t="shared" si="28"/>
        <v>28400.399999999998</v>
      </c>
      <c r="AE40" s="31">
        <v>721945.81073337188</v>
      </c>
      <c r="AF40" s="36">
        <f t="shared" ref="AF40:AF49" si="32">100*((AE40-$AE$29)/$AE$29)</f>
        <v>-3.1468174312123667</v>
      </c>
      <c r="AG40" s="2"/>
      <c r="AH40" s="28">
        <f t="shared" si="29"/>
        <v>-40</v>
      </c>
      <c r="AI40" s="32">
        <f t="shared" si="30"/>
        <v>46354.799999999996</v>
      </c>
      <c r="AJ40" s="31">
        <v>609997.76824971184</v>
      </c>
      <c r="AK40" s="36">
        <f t="shared" si="31"/>
        <v>-18.165291166622222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5.75" customHeight="1" x14ac:dyDescent="0.25">
      <c r="A41" s="2"/>
      <c r="B41" s="2"/>
      <c r="C41" s="2"/>
      <c r="D41" s="2"/>
      <c r="E41" s="16" t="s">
        <v>109</v>
      </c>
      <c r="F41" s="35">
        <f>F38*F12</f>
        <v>16090.901823281909</v>
      </c>
      <c r="G41" s="26" t="s">
        <v>50</v>
      </c>
      <c r="H41" s="2"/>
      <c r="I41" s="2"/>
      <c r="J41" s="2"/>
      <c r="K41" s="2"/>
      <c r="L41" s="15"/>
      <c r="M41" s="2"/>
      <c r="N41" s="11">
        <f t="shared" si="10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>
        <f t="shared" si="11"/>
        <v>0</v>
      </c>
      <c r="U41" s="22">
        <f t="shared" si="5"/>
        <v>0</v>
      </c>
      <c r="V41" s="22">
        <f t="shared" si="6"/>
        <v>0</v>
      </c>
      <c r="W41" s="22">
        <f t="shared" si="7"/>
        <v>0</v>
      </c>
      <c r="X41" s="21">
        <f t="shared" si="12"/>
        <v>0</v>
      </c>
      <c r="Y41" s="18">
        <f t="shared" si="0"/>
        <v>0</v>
      </c>
      <c r="Z41" s="3"/>
      <c r="AA41" s="6">
        <f t="shared" si="9"/>
        <v>0</v>
      </c>
      <c r="AB41" s="2"/>
      <c r="AC41" s="28">
        <f t="shared" si="27"/>
        <v>-30</v>
      </c>
      <c r="AD41" s="32">
        <f t="shared" si="28"/>
        <v>33133.799999999996</v>
      </c>
      <c r="AE41" s="31">
        <v>727809.9227876995</v>
      </c>
      <c r="AF41" s="36">
        <f t="shared" si="32"/>
        <v>-2.3601130734092868</v>
      </c>
      <c r="AG41" s="2"/>
      <c r="AH41" s="28">
        <f t="shared" si="29"/>
        <v>-30</v>
      </c>
      <c r="AI41" s="32">
        <f t="shared" si="30"/>
        <v>54080.6</v>
      </c>
      <c r="AJ41" s="31">
        <v>643848.89092495479</v>
      </c>
      <c r="AK41" s="36">
        <f t="shared" si="31"/>
        <v>-13.623968374966635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5"/>
      <c r="M42" s="2"/>
      <c r="N42" s="11">
        <f t="shared" si="10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>
        <f t="shared" si="11"/>
        <v>0</v>
      </c>
      <c r="U42" s="22">
        <f t="shared" si="5"/>
        <v>0</v>
      </c>
      <c r="V42" s="22">
        <f t="shared" si="6"/>
        <v>0</v>
      </c>
      <c r="W42" s="22">
        <f t="shared" si="7"/>
        <v>0</v>
      </c>
      <c r="X42" s="21">
        <f t="shared" si="12"/>
        <v>0</v>
      </c>
      <c r="Y42" s="18">
        <f t="shared" si="0"/>
        <v>0</v>
      </c>
      <c r="Z42" s="3"/>
      <c r="AA42" s="6">
        <f t="shared" si="9"/>
        <v>0</v>
      </c>
      <c r="AB42" s="2"/>
      <c r="AC42" s="28">
        <f t="shared" si="27"/>
        <v>-20</v>
      </c>
      <c r="AD42" s="32">
        <f t="shared" si="28"/>
        <v>37867.200000000004</v>
      </c>
      <c r="AE42" s="31">
        <v>733674.03484202723</v>
      </c>
      <c r="AF42" s="36">
        <f t="shared" si="32"/>
        <v>-1.5734087156061911</v>
      </c>
      <c r="AG42" s="2"/>
      <c r="AH42" s="28">
        <f t="shared" si="29"/>
        <v>-20</v>
      </c>
      <c r="AI42" s="32">
        <f t="shared" si="30"/>
        <v>61806.400000000001</v>
      </c>
      <c r="AJ42" s="31">
        <v>677700.0136001975</v>
      </c>
      <c r="AK42" s="36">
        <f t="shared" si="31"/>
        <v>-9.0826455833110806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2"/>
      <c r="N43" s="11">
        <f t="shared" si="10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>
        <f t="shared" si="11"/>
        <v>0</v>
      </c>
      <c r="U43" s="22">
        <f t="shared" si="5"/>
        <v>0</v>
      </c>
      <c r="V43" s="22">
        <f t="shared" si="6"/>
        <v>0</v>
      </c>
      <c r="W43" s="22">
        <f t="shared" si="7"/>
        <v>0</v>
      </c>
      <c r="X43" s="21">
        <f t="shared" si="12"/>
        <v>0</v>
      </c>
      <c r="Y43" s="18">
        <f t="shared" si="0"/>
        <v>0</v>
      </c>
      <c r="Z43" s="3"/>
      <c r="AA43" s="6">
        <f t="shared" si="9"/>
        <v>0</v>
      </c>
      <c r="AB43" s="2"/>
      <c r="AC43" s="28">
        <f t="shared" si="27"/>
        <v>-10</v>
      </c>
      <c r="AD43" s="32">
        <f t="shared" si="28"/>
        <v>42600.6</v>
      </c>
      <c r="AE43" s="31">
        <v>739538.14689635497</v>
      </c>
      <c r="AF43" s="36">
        <f t="shared" si="32"/>
        <v>-0.78670435780309556</v>
      </c>
      <c r="AG43" s="2"/>
      <c r="AH43" s="28">
        <f t="shared" si="29"/>
        <v>-10</v>
      </c>
      <c r="AI43" s="32">
        <f t="shared" si="30"/>
        <v>69532.2</v>
      </c>
      <c r="AJ43" s="31">
        <v>711551.13627544022</v>
      </c>
      <c r="AK43" s="36">
        <f t="shared" si="31"/>
        <v>-4.5413227916555243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5.75" customHeight="1" x14ac:dyDescent="0.25">
      <c r="A44" s="23" t="s">
        <v>110</v>
      </c>
      <c r="B44" s="3"/>
      <c r="C44" s="1"/>
      <c r="D44" s="2"/>
      <c r="E44" s="1" t="s">
        <v>149</v>
      </c>
      <c r="F44" s="2"/>
      <c r="G44" s="2"/>
      <c r="H44" s="2"/>
      <c r="I44" s="1" t="s">
        <v>111</v>
      </c>
      <c r="J44" s="2"/>
      <c r="K44" s="2"/>
      <c r="L44" s="15"/>
      <c r="M44" s="2"/>
      <c r="N44" s="11">
        <f t="shared" si="10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>
        <f t="shared" si="11"/>
        <v>0</v>
      </c>
      <c r="U44" s="22">
        <f t="shared" si="5"/>
        <v>0</v>
      </c>
      <c r="V44" s="22">
        <f t="shared" si="6"/>
        <v>0</v>
      </c>
      <c r="W44" s="22">
        <f t="shared" si="7"/>
        <v>0</v>
      </c>
      <c r="X44" s="21">
        <f t="shared" si="12"/>
        <v>0</v>
      </c>
      <c r="Y44" s="18">
        <f t="shared" si="0"/>
        <v>0</v>
      </c>
      <c r="Z44" s="3"/>
      <c r="AA44" s="6">
        <f t="shared" si="9"/>
        <v>0</v>
      </c>
      <c r="AB44" s="2"/>
      <c r="AC44" s="41">
        <v>0</v>
      </c>
      <c r="AD44" s="45">
        <f t="shared" si="28"/>
        <v>47334</v>
      </c>
      <c r="AE44" s="43">
        <v>745402.25895068271</v>
      </c>
      <c r="AF44" s="44">
        <f t="shared" si="32"/>
        <v>0</v>
      </c>
      <c r="AG44" s="2"/>
      <c r="AH44" s="41">
        <v>0</v>
      </c>
      <c r="AI44" s="45">
        <f t="shared" si="30"/>
        <v>77258</v>
      </c>
      <c r="AJ44" s="43">
        <v>745402.25895068271</v>
      </c>
      <c r="AK44" s="44">
        <f t="shared" si="31"/>
        <v>0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5.75" customHeight="1" x14ac:dyDescent="0.25">
      <c r="A45" s="16" t="s">
        <v>183</v>
      </c>
      <c r="B45" s="6">
        <f>J8/B8</f>
        <v>218709.67741935485</v>
      </c>
      <c r="C45" s="2" t="s">
        <v>3</v>
      </c>
      <c r="D45" s="2"/>
      <c r="E45" s="16" t="s">
        <v>150</v>
      </c>
      <c r="F45" s="64">
        <f>((1+(B16/100))*J9*J10)*(1+(B13%+B19%))</f>
        <v>55380.78</v>
      </c>
      <c r="G45" s="2" t="s">
        <v>3</v>
      </c>
      <c r="H45" s="2"/>
      <c r="I45" s="16" t="s">
        <v>112</v>
      </c>
      <c r="J45" s="48">
        <f>(F18%*F17)/B8</f>
        <v>40.67321178120617</v>
      </c>
      <c r="K45" s="2" t="s">
        <v>50</v>
      </c>
      <c r="L45" s="15"/>
      <c r="M45" s="2"/>
      <c r="N45" s="11">
        <f t="shared" si="10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>
        <f t="shared" si="11"/>
        <v>0</v>
      </c>
      <c r="U45" s="22">
        <f t="shared" si="5"/>
        <v>0</v>
      </c>
      <c r="V45" s="22">
        <f t="shared" si="6"/>
        <v>0</v>
      </c>
      <c r="W45" s="22">
        <f t="shared" si="7"/>
        <v>0</v>
      </c>
      <c r="X45" s="21">
        <f t="shared" si="12"/>
        <v>0</v>
      </c>
      <c r="Y45" s="18">
        <f t="shared" si="0"/>
        <v>0</v>
      </c>
      <c r="Z45" s="3"/>
      <c r="AA45" s="6">
        <f t="shared" si="9"/>
        <v>0</v>
      </c>
      <c r="AB45" s="2"/>
      <c r="AC45" s="28">
        <f t="shared" ref="AC45:AC49" si="33">AC44+10</f>
        <v>10</v>
      </c>
      <c r="AD45" s="32">
        <f t="shared" si="28"/>
        <v>52067.4</v>
      </c>
      <c r="AE45" s="31">
        <v>751266.37100501044</v>
      </c>
      <c r="AF45" s="36">
        <f t="shared" si="32"/>
        <v>0.78670435780309556</v>
      </c>
      <c r="AG45" s="2"/>
      <c r="AH45" s="28">
        <f t="shared" ref="AH45:AH49" si="34">AH44+10</f>
        <v>10</v>
      </c>
      <c r="AI45" s="32">
        <f t="shared" si="30"/>
        <v>84983.8</v>
      </c>
      <c r="AJ45" s="31">
        <v>779253.38162592577</v>
      </c>
      <c r="AK45" s="36">
        <f t="shared" si="31"/>
        <v>4.5413227916556025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5.75" customHeight="1" x14ac:dyDescent="0.25">
      <c r="A46" s="16" t="s">
        <v>113</v>
      </c>
      <c r="B46" s="6">
        <f>IF(J24="No",J9*J10,0)</f>
        <v>33810</v>
      </c>
      <c r="C46" s="2" t="s">
        <v>3</v>
      </c>
      <c r="D46" s="2"/>
      <c r="E46" s="2" t="s">
        <v>151</v>
      </c>
      <c r="F46" s="64">
        <f>((J21%)*F45)+(((1-J21%)*F45)*(1+(F22%*J20)))</f>
        <v>64200.169215000002</v>
      </c>
      <c r="G46" s="2" t="s">
        <v>3</v>
      </c>
      <c r="H46" s="2"/>
      <c r="I46" s="16" t="s">
        <v>114</v>
      </c>
      <c r="J46" s="14">
        <f>F24/$B$8</f>
        <v>5.6100981767180924</v>
      </c>
      <c r="K46" s="2" t="s">
        <v>50</v>
      </c>
      <c r="L46" s="15"/>
      <c r="M46" s="2"/>
      <c r="N46" s="11">
        <f t="shared" si="10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>
        <f t="shared" si="11"/>
        <v>0</v>
      </c>
      <c r="U46" s="22">
        <f t="shared" si="5"/>
        <v>0</v>
      </c>
      <c r="V46" s="22">
        <f t="shared" si="6"/>
        <v>0</v>
      </c>
      <c r="W46" s="22">
        <f t="shared" si="7"/>
        <v>0</v>
      </c>
      <c r="X46" s="21">
        <f t="shared" si="12"/>
        <v>0</v>
      </c>
      <c r="Y46" s="18">
        <f t="shared" si="0"/>
        <v>0</v>
      </c>
      <c r="Z46" s="3"/>
      <c r="AA46" s="6">
        <f t="shared" si="9"/>
        <v>0</v>
      </c>
      <c r="AB46" s="2"/>
      <c r="AC46" s="28">
        <f t="shared" si="33"/>
        <v>20</v>
      </c>
      <c r="AD46" s="32">
        <f t="shared" si="28"/>
        <v>56800.799999999996</v>
      </c>
      <c r="AE46" s="31">
        <v>757130.48305933829</v>
      </c>
      <c r="AF46" s="36">
        <f t="shared" si="32"/>
        <v>1.5734087156062067</v>
      </c>
      <c r="AG46" s="2"/>
      <c r="AH46" s="28">
        <f t="shared" si="34"/>
        <v>20</v>
      </c>
      <c r="AI46" s="32">
        <f t="shared" si="30"/>
        <v>92709.599999999991</v>
      </c>
      <c r="AJ46" s="31">
        <v>833860.9114033815</v>
      </c>
      <c r="AK46" s="36">
        <f t="shared" si="31"/>
        <v>11.867236970441136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5.75" customHeight="1" x14ac:dyDescent="0.25">
      <c r="A47" s="25" t="s">
        <v>115</v>
      </c>
      <c r="B47" s="24">
        <f>(1+(B16/100))*B45</f>
        <v>306193.54838709679</v>
      </c>
      <c r="C47" s="2" t="s">
        <v>3</v>
      </c>
      <c r="D47" s="2"/>
      <c r="E47" s="2" t="s">
        <v>95</v>
      </c>
      <c r="F47" s="64">
        <f>J12*J11</f>
        <v>940000</v>
      </c>
      <c r="G47" s="2" t="s">
        <v>99</v>
      </c>
      <c r="H47" s="2"/>
      <c r="I47" s="2"/>
      <c r="J47" s="2"/>
      <c r="K47" s="2"/>
      <c r="L47" s="15"/>
      <c r="M47" s="2"/>
      <c r="N47" s="11">
        <f t="shared" si="10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>
        <f t="shared" si="11"/>
        <v>0</v>
      </c>
      <c r="U47" s="22">
        <f t="shared" si="5"/>
        <v>0</v>
      </c>
      <c r="V47" s="22">
        <f t="shared" si="6"/>
        <v>0</v>
      </c>
      <c r="W47" s="22">
        <f t="shared" si="7"/>
        <v>0</v>
      </c>
      <c r="X47" s="21">
        <f t="shared" si="12"/>
        <v>0</v>
      </c>
      <c r="Y47" s="18">
        <f t="shared" si="0"/>
        <v>0</v>
      </c>
      <c r="Z47" s="3"/>
      <c r="AA47" s="6">
        <f t="shared" si="9"/>
        <v>0</v>
      </c>
      <c r="AB47" s="2"/>
      <c r="AC47" s="28">
        <f t="shared" si="33"/>
        <v>30</v>
      </c>
      <c r="AD47" s="32">
        <f t="shared" si="28"/>
        <v>61534.200000000004</v>
      </c>
      <c r="AE47" s="31">
        <v>762994.59511366603</v>
      </c>
      <c r="AF47" s="36">
        <f t="shared" si="32"/>
        <v>2.3601130734093023</v>
      </c>
      <c r="AG47" s="2"/>
      <c r="AH47" s="28">
        <f t="shared" si="34"/>
        <v>30</v>
      </c>
      <c r="AI47" s="32">
        <f t="shared" si="30"/>
        <v>100435.40000000001</v>
      </c>
      <c r="AJ47" s="31">
        <v>868749.85443373478</v>
      </c>
      <c r="AK47" s="36">
        <f t="shared" si="31"/>
        <v>16.547789331453181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5.75" customHeight="1" x14ac:dyDescent="0.25">
      <c r="A48" s="25" t="s">
        <v>116</v>
      </c>
      <c r="B48" s="5">
        <f>(1+(B16/100))*B46</f>
        <v>47334</v>
      </c>
      <c r="C48" s="2" t="s">
        <v>3</v>
      </c>
      <c r="D48" s="2"/>
      <c r="E48" s="2" t="s">
        <v>152</v>
      </c>
      <c r="F48" s="65">
        <f>(F46/F47)*J25</f>
        <v>8.8787468063297875E-2</v>
      </c>
      <c r="G48" s="2" t="s">
        <v>4</v>
      </c>
      <c r="H48" s="2"/>
      <c r="I48" s="2"/>
      <c r="J48" s="2"/>
      <c r="K48" s="2"/>
      <c r="L48" s="15"/>
      <c r="M48" s="2"/>
      <c r="N48" s="11">
        <f t="shared" si="10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>
        <f t="shared" si="11"/>
        <v>0</v>
      </c>
      <c r="U48" s="22">
        <f t="shared" si="5"/>
        <v>0</v>
      </c>
      <c r="V48" s="22">
        <f t="shared" si="6"/>
        <v>0</v>
      </c>
      <c r="W48" s="22">
        <f t="shared" si="7"/>
        <v>0</v>
      </c>
      <c r="X48" s="21">
        <f t="shared" si="12"/>
        <v>0</v>
      </c>
      <c r="Y48" s="18">
        <f t="shared" si="0"/>
        <v>0</v>
      </c>
      <c r="Z48" s="3"/>
      <c r="AA48" s="6">
        <f t="shared" si="9"/>
        <v>0</v>
      </c>
      <c r="AB48" s="2"/>
      <c r="AC48" s="28">
        <f t="shared" si="33"/>
        <v>40</v>
      </c>
      <c r="AD48" s="32">
        <f t="shared" si="28"/>
        <v>66267.599999999991</v>
      </c>
      <c r="AE48" s="31">
        <v>768858.70716799353</v>
      </c>
      <c r="AF48" s="36">
        <f t="shared" si="32"/>
        <v>3.1468174312123667</v>
      </c>
      <c r="AG48" s="2"/>
      <c r="AH48" s="28">
        <f t="shared" si="34"/>
        <v>40</v>
      </c>
      <c r="AI48" s="32">
        <f t="shared" si="30"/>
        <v>108161.2</v>
      </c>
      <c r="AJ48" s="31">
        <v>903690.68848184391</v>
      </c>
      <c r="AK48" s="36">
        <f t="shared" si="31"/>
        <v>21.23530317093309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5.75" customHeight="1" x14ac:dyDescent="0.25">
      <c r="A49" s="2" t="s">
        <v>117</v>
      </c>
      <c r="B49" s="24">
        <f>B47+B48</f>
        <v>353527.54838709679</v>
      </c>
      <c r="C49" s="2" t="s">
        <v>3</v>
      </c>
      <c r="D49" s="2"/>
      <c r="E49" s="2" t="s">
        <v>153</v>
      </c>
      <c r="F49" s="6">
        <f>J26*365</f>
        <v>42887.5</v>
      </c>
      <c r="G49" s="2" t="s">
        <v>44</v>
      </c>
      <c r="H49" s="2"/>
      <c r="I49" s="2"/>
      <c r="J49" s="2"/>
      <c r="K49" s="2"/>
      <c r="L49" s="15"/>
      <c r="M49" s="2"/>
      <c r="N49" s="12" t="s">
        <v>118</v>
      </c>
      <c r="O49" s="18">
        <f t="shared" ref="O49:Y49" si="35">SUM(O8:O48)</f>
        <v>145302.89391584854</v>
      </c>
      <c r="P49" s="18">
        <f t="shared" si="35"/>
        <v>360361.13783535978</v>
      </c>
      <c r="Q49" s="18">
        <f t="shared" si="35"/>
        <v>129474.57142792785</v>
      </c>
      <c r="R49" s="18">
        <f t="shared" si="35"/>
        <v>0</v>
      </c>
      <c r="S49" s="18">
        <f t="shared" si="35"/>
        <v>209231.59393421261</v>
      </c>
      <c r="T49" s="18">
        <f t="shared" si="35"/>
        <v>16.743397255301868</v>
      </c>
      <c r="U49" s="18">
        <f t="shared" si="35"/>
        <v>274.02051686850149</v>
      </c>
      <c r="V49" s="18">
        <f t="shared" si="35"/>
        <v>0</v>
      </c>
      <c r="W49" s="18">
        <f t="shared" si="35"/>
        <v>0</v>
      </c>
      <c r="X49" s="18">
        <f t="shared" si="35"/>
        <v>-99258.70207678969</v>
      </c>
      <c r="Y49" s="18">
        <f t="shared" si="35"/>
        <v>745402.25895068271</v>
      </c>
      <c r="Z49" s="3"/>
      <c r="AA49" s="3"/>
      <c r="AB49" s="2"/>
      <c r="AC49" s="28">
        <f t="shared" si="33"/>
        <v>50</v>
      </c>
      <c r="AD49" s="32">
        <f t="shared" si="28"/>
        <v>71001</v>
      </c>
      <c r="AE49" s="31">
        <v>774722.81922232127</v>
      </c>
      <c r="AF49" s="36">
        <f t="shared" si="32"/>
        <v>3.9335217890154621</v>
      </c>
      <c r="AG49" s="2"/>
      <c r="AH49" s="28">
        <f t="shared" si="34"/>
        <v>50</v>
      </c>
      <c r="AI49" s="32">
        <f t="shared" si="30"/>
        <v>115887</v>
      </c>
      <c r="AJ49" s="31">
        <v>937541.8111570864</v>
      </c>
      <c r="AK49" s="36">
        <f t="shared" si="31"/>
        <v>25.776625962588611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5.75" customHeight="1" x14ac:dyDescent="0.25">
      <c r="A50" s="25" t="s">
        <v>119</v>
      </c>
      <c r="B50" s="6">
        <f>SUM(B33:B38)+SUM(B49)</f>
        <v>484342.97971949517</v>
      </c>
      <c r="C50" s="2" t="s">
        <v>3</v>
      </c>
      <c r="D50" s="2"/>
      <c r="E50" s="2" t="s">
        <v>154</v>
      </c>
      <c r="F50" s="5">
        <f>F48*F49</f>
        <v>3807.8725365646878</v>
      </c>
      <c r="G50" s="66" t="s">
        <v>50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24">
        <f>SUM(S49:U49)</f>
        <v>209522.35784833643</v>
      </c>
      <c r="T50" s="2"/>
      <c r="U50" s="2"/>
      <c r="V50" s="2"/>
      <c r="W50" s="2"/>
      <c r="X50" s="2"/>
      <c r="Y50" s="24"/>
      <c r="Z50" s="2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5.75" customHeight="1" x14ac:dyDescent="0.25">
      <c r="A51" s="25" t="s">
        <v>159</v>
      </c>
      <c r="B51" s="6">
        <f>SUM(B31:B32)</f>
        <v>0</v>
      </c>
      <c r="C51" s="2" t="s">
        <v>3</v>
      </c>
      <c r="D51" s="2"/>
      <c r="E51" s="2" t="s">
        <v>155</v>
      </c>
      <c r="F51" s="67">
        <f>IF(F12&gt;F49,(F12-F49)*F48,0)</f>
        <v>3051.6696710695796</v>
      </c>
      <c r="G51" s="66" t="s">
        <v>50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7" t="s">
        <v>49</v>
      </c>
      <c r="AD51" s="28"/>
      <c r="AE51" s="28"/>
      <c r="AF51" s="28"/>
      <c r="AG51" s="2"/>
      <c r="AH51" s="27" t="s">
        <v>146</v>
      </c>
      <c r="AI51" s="28"/>
      <c r="AJ51" s="28"/>
      <c r="AK51" s="28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5.75" customHeight="1" x14ac:dyDescent="0.25">
      <c r="A52" s="25" t="s">
        <v>160</v>
      </c>
      <c r="B52" s="6">
        <f>B50+B51</f>
        <v>484342.97971949517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8" t="s">
        <v>79</v>
      </c>
      <c r="AD52" s="28" t="s">
        <v>82</v>
      </c>
      <c r="AE52" s="28" t="s">
        <v>24</v>
      </c>
      <c r="AF52" s="28" t="s">
        <v>81</v>
      </c>
      <c r="AG52" s="2"/>
      <c r="AH52" s="28" t="s">
        <v>79</v>
      </c>
      <c r="AI52" s="28" t="s">
        <v>156</v>
      </c>
      <c r="AJ52" s="28" t="s">
        <v>24</v>
      </c>
      <c r="AK52" s="28" t="s">
        <v>81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 t="s">
        <v>120</v>
      </c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8" t="s">
        <v>84</v>
      </c>
      <c r="AD53" s="32">
        <v>27071.2032</v>
      </c>
      <c r="AE53" s="31">
        <f>Y49</f>
        <v>745402.25895068271</v>
      </c>
      <c r="AF53" s="28"/>
      <c r="AG53" s="2"/>
      <c r="AH53" s="28" t="s">
        <v>84</v>
      </c>
      <c r="AI53" s="32">
        <v>118</v>
      </c>
      <c r="AJ53" s="31">
        <f>Y49</f>
        <v>745402.25895068271</v>
      </c>
      <c r="AK53" s="28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121</v>
      </c>
      <c r="P54" s="51" t="str">
        <f>B1</f>
        <v>Thailand</v>
      </c>
      <c r="Q54" s="49"/>
      <c r="R54" s="49"/>
      <c r="S54" s="49"/>
      <c r="T54" s="49"/>
      <c r="U54" s="49"/>
      <c r="V54" s="49"/>
      <c r="W54" s="52"/>
      <c r="X54" s="2"/>
      <c r="Y54" s="35"/>
      <c r="Z54" s="35"/>
      <c r="AA54" s="52"/>
      <c r="AB54" s="35"/>
      <c r="AC54" s="28">
        <f t="shared" ref="AC54:AC58" si="36">AC55-10</f>
        <v>-50</v>
      </c>
      <c r="AD54" s="32">
        <f t="shared" ref="AD54:AD64" si="37">$AD$53*(1+(AC54/100))</f>
        <v>13535.6016</v>
      </c>
      <c r="AE54" s="31">
        <f t="dataTable" ref="AE54:AE64" dt2D="0" dtr="0" r1="J40" ca="1"/>
        <v>640883.93128843303</v>
      </c>
      <c r="AF54" s="36">
        <f t="shared" ref="AF54:AF64" si="38">100*((AE54-$AE$59)/$AE$59)</f>
        <v>-14.021734762298971</v>
      </c>
      <c r="AG54" s="2"/>
      <c r="AH54" s="28">
        <f t="shared" ref="AH54:AH56" si="39">AH55-20</f>
        <v>-100</v>
      </c>
      <c r="AI54" s="32">
        <f>$AI$53*(1+(AH54/100))</f>
        <v>0</v>
      </c>
      <c r="AJ54" s="31">
        <f t="dataTable" ref="AJ54:AJ64" dt2D="0" dtr="0" r1="J26" ca="1"/>
        <v>745402.25895068271</v>
      </c>
      <c r="AK54" s="36">
        <f>100*((AJ54-$AJ$59)/$AJ$59)</f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122</v>
      </c>
      <c r="P55" s="24">
        <f>SUM(O49:P49)</f>
        <v>505664.03175120836</v>
      </c>
      <c r="Q55" s="2" t="s">
        <v>3</v>
      </c>
      <c r="R55" s="48">
        <f t="shared" ref="R55:R59" si="40">P55/$J$34</f>
        <v>0.65451348954310018</v>
      </c>
      <c r="S55" s="2" t="s">
        <v>4</v>
      </c>
      <c r="T55" s="2"/>
      <c r="U55" s="2"/>
      <c r="V55" s="2"/>
      <c r="W55" s="52"/>
      <c r="X55" s="2"/>
      <c r="Y55" s="35"/>
      <c r="Z55" s="35"/>
      <c r="AA55" s="52"/>
      <c r="AB55" s="35"/>
      <c r="AC55" s="28">
        <f t="shared" si="36"/>
        <v>-40</v>
      </c>
      <c r="AD55" s="32">
        <f t="shared" si="37"/>
        <v>16242.72192</v>
      </c>
      <c r="AE55" s="31">
        <v>661787.59682088299</v>
      </c>
      <c r="AF55" s="36">
        <f t="shared" si="38"/>
        <v>-11.217387809839174</v>
      </c>
      <c r="AG55" s="2"/>
      <c r="AH55" s="28">
        <f t="shared" si="39"/>
        <v>-80</v>
      </c>
      <c r="AI55" s="32">
        <f t="shared" ref="AI55:AI64" si="41">$AI$53*(1+(AH55/100))</f>
        <v>23.599999999999994</v>
      </c>
      <c r="AJ55" s="31">
        <v>745402.25895068271</v>
      </c>
      <c r="AK55" s="36">
        <f t="shared" ref="AK55:AK64" si="42">100*((AJ55-$AJ$59)/$AJ$59)</f>
        <v>0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100</v>
      </c>
      <c r="P56" s="24">
        <f>SUM(Q49:R49)</f>
        <v>129474.57142792785</v>
      </c>
      <c r="Q56" s="2" t="s">
        <v>3</v>
      </c>
      <c r="R56" s="48">
        <f t="shared" si="40"/>
        <v>0.16758726789190484</v>
      </c>
      <c r="S56" s="2" t="s">
        <v>4</v>
      </c>
      <c r="T56" s="2"/>
      <c r="U56" s="2"/>
      <c r="V56" s="2"/>
      <c r="W56" s="52"/>
      <c r="X56" s="2"/>
      <c r="Y56" s="35"/>
      <c r="Z56" s="35"/>
      <c r="AA56" s="52"/>
      <c r="AB56" s="35"/>
      <c r="AC56" s="28">
        <f t="shared" si="36"/>
        <v>-30</v>
      </c>
      <c r="AD56" s="32">
        <f t="shared" si="37"/>
        <v>18949.842239999998</v>
      </c>
      <c r="AE56" s="31">
        <v>682691.26235333283</v>
      </c>
      <c r="AF56" s="36">
        <f t="shared" si="38"/>
        <v>-8.4130408573793929</v>
      </c>
      <c r="AG56" s="2"/>
      <c r="AH56" s="28">
        <f t="shared" si="39"/>
        <v>-60</v>
      </c>
      <c r="AI56" s="32">
        <f t="shared" si="41"/>
        <v>47.2</v>
      </c>
      <c r="AJ56" s="31">
        <v>745402.25895068271</v>
      </c>
      <c r="AK56" s="36">
        <f t="shared" si="42"/>
        <v>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123</v>
      </c>
      <c r="P57" s="24">
        <f>SUM(S49:U49)</f>
        <v>209522.35784833643</v>
      </c>
      <c r="Q57" s="2" t="s">
        <v>3</v>
      </c>
      <c r="R57" s="48">
        <f t="shared" si="40"/>
        <v>0.27119826794420826</v>
      </c>
      <c r="S57" s="2" t="s">
        <v>4</v>
      </c>
      <c r="T57" s="2"/>
      <c r="U57" s="2"/>
      <c r="V57" s="2"/>
      <c r="W57" s="52"/>
      <c r="X57" s="2"/>
      <c r="Y57" s="35"/>
      <c r="Z57" s="35"/>
      <c r="AA57" s="52"/>
      <c r="AB57" s="35"/>
      <c r="AC57" s="28">
        <f t="shared" si="36"/>
        <v>-20</v>
      </c>
      <c r="AD57" s="32">
        <f t="shared" si="37"/>
        <v>21656.96256</v>
      </c>
      <c r="AE57" s="31">
        <v>703594.92788578302</v>
      </c>
      <c r="AF57" s="36">
        <f t="shared" si="38"/>
        <v>-5.6086939049195639</v>
      </c>
      <c r="AG57" s="2"/>
      <c r="AH57" s="28">
        <f>AH58-20</f>
        <v>-40</v>
      </c>
      <c r="AI57" s="32">
        <f t="shared" si="41"/>
        <v>70.8</v>
      </c>
      <c r="AJ57" s="31">
        <v>745402.25895068271</v>
      </c>
      <c r="AK57" s="36">
        <f t="shared" si="42"/>
        <v>0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124</v>
      </c>
      <c r="P58" s="24">
        <f>SUM(V49:W49)</f>
        <v>0</v>
      </c>
      <c r="Q58" s="2" t="s">
        <v>3</v>
      </c>
      <c r="R58" s="48">
        <f t="shared" si="40"/>
        <v>0</v>
      </c>
      <c r="S58" s="2" t="s">
        <v>4</v>
      </c>
      <c r="T58" s="2"/>
      <c r="U58" s="2"/>
      <c r="V58" s="2"/>
      <c r="W58" s="52"/>
      <c r="X58" s="2"/>
      <c r="Y58" s="35"/>
      <c r="Z58" s="35"/>
      <c r="AA58" s="52"/>
      <c r="AB58" s="35"/>
      <c r="AC58" s="28">
        <f t="shared" si="36"/>
        <v>-10</v>
      </c>
      <c r="AD58" s="32">
        <f t="shared" si="37"/>
        <v>24364.082880000002</v>
      </c>
      <c r="AE58" s="31">
        <v>724498.59341823286</v>
      </c>
      <c r="AF58" s="36">
        <f t="shared" si="38"/>
        <v>-2.8043469524597819</v>
      </c>
      <c r="AG58" s="2"/>
      <c r="AH58" s="28">
        <f>AH59-20</f>
        <v>-20</v>
      </c>
      <c r="AI58" s="32">
        <f t="shared" si="41"/>
        <v>94.4</v>
      </c>
      <c r="AJ58" s="31">
        <v>745402.25895068271</v>
      </c>
      <c r="AK58" s="36">
        <f t="shared" si="42"/>
        <v>0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125</v>
      </c>
      <c r="P59" s="24">
        <f>X49</f>
        <v>-99258.70207678969</v>
      </c>
      <c r="Q59" s="2" t="s">
        <v>3</v>
      </c>
      <c r="R59" s="48">
        <f t="shared" si="40"/>
        <v>-0.12847692417198178</v>
      </c>
      <c r="S59" s="2" t="s">
        <v>4</v>
      </c>
      <c r="T59" s="2"/>
      <c r="U59" s="2"/>
      <c r="V59" s="2"/>
      <c r="W59" s="52"/>
      <c r="X59" s="2"/>
      <c r="Y59" s="35"/>
      <c r="Z59" s="35"/>
      <c r="AA59" s="52"/>
      <c r="AB59" s="35"/>
      <c r="AC59" s="41">
        <v>0</v>
      </c>
      <c r="AD59" s="45">
        <f t="shared" si="37"/>
        <v>27071.2032</v>
      </c>
      <c r="AE59" s="43">
        <v>745402.25895068271</v>
      </c>
      <c r="AF59" s="44">
        <f t="shared" si="38"/>
        <v>0</v>
      </c>
      <c r="AG59" s="2"/>
      <c r="AH59" s="41">
        <v>0</v>
      </c>
      <c r="AI59" s="68">
        <f t="shared" si="41"/>
        <v>118</v>
      </c>
      <c r="AJ59" s="43">
        <v>745402.25895068271</v>
      </c>
      <c r="AK59" s="69">
        <f t="shared" si="42"/>
        <v>0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745402.25895068294</v>
      </c>
      <c r="Q60" s="1" t="s">
        <v>3</v>
      </c>
      <c r="R60" s="54">
        <f>SUM(R55:R59)</f>
        <v>0.96482210120723144</v>
      </c>
      <c r="S60" s="1" t="s">
        <v>4</v>
      </c>
      <c r="T60" s="1"/>
      <c r="U60" s="1"/>
      <c r="V60" s="2"/>
      <c r="W60" s="52"/>
      <c r="X60" s="2"/>
      <c r="Y60" s="35"/>
      <c r="Z60" s="35"/>
      <c r="AA60" s="52"/>
      <c r="AB60" s="35"/>
      <c r="AC60" s="28">
        <f t="shared" ref="AC60:AC64" si="43">AC59+10</f>
        <v>10</v>
      </c>
      <c r="AD60" s="32">
        <f t="shared" si="37"/>
        <v>29778.323520000002</v>
      </c>
      <c r="AE60" s="31">
        <v>766305.9244831329</v>
      </c>
      <c r="AF60" s="36">
        <f t="shared" si="38"/>
        <v>2.8043469524598286</v>
      </c>
      <c r="AG60" s="2"/>
      <c r="AH60" s="28">
        <f>AH59+20</f>
        <v>20</v>
      </c>
      <c r="AI60" s="32">
        <f t="shared" si="41"/>
        <v>141.6</v>
      </c>
      <c r="AJ60" s="31">
        <v>745402.25895068271</v>
      </c>
      <c r="AK60" s="36">
        <f t="shared" si="42"/>
        <v>0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52"/>
      <c r="X61" s="2"/>
      <c r="Y61" s="35"/>
      <c r="Z61" s="35"/>
      <c r="AA61" s="52"/>
      <c r="AB61" s="35"/>
      <c r="AC61" s="28">
        <f t="shared" si="43"/>
        <v>20</v>
      </c>
      <c r="AD61" s="32">
        <f t="shared" si="37"/>
        <v>32485.44384</v>
      </c>
      <c r="AE61" s="31">
        <v>787209.59001558274</v>
      </c>
      <c r="AF61" s="36">
        <f t="shared" si="38"/>
        <v>5.608693904919611</v>
      </c>
      <c r="AG61" s="2"/>
      <c r="AH61" s="28">
        <f t="shared" ref="AH61:AH64" si="44">AH60+20</f>
        <v>40</v>
      </c>
      <c r="AI61" s="32">
        <f t="shared" si="41"/>
        <v>165.2</v>
      </c>
      <c r="AJ61" s="31">
        <v>745402.25895068271</v>
      </c>
      <c r="AK61" s="36">
        <f t="shared" si="42"/>
        <v>0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52"/>
      <c r="X62" s="2"/>
      <c r="Y62" s="35"/>
      <c r="Z62" s="35"/>
      <c r="AA62" s="52"/>
      <c r="AB62" s="35"/>
      <c r="AC62" s="28">
        <f t="shared" si="43"/>
        <v>30</v>
      </c>
      <c r="AD62" s="32">
        <f t="shared" si="37"/>
        <v>35192.564160000002</v>
      </c>
      <c r="AE62" s="31">
        <v>808113.25554803293</v>
      </c>
      <c r="AF62" s="36">
        <f t="shared" si="38"/>
        <v>8.4130408573794391</v>
      </c>
      <c r="AG62" s="2"/>
      <c r="AH62" s="28">
        <f t="shared" si="44"/>
        <v>60</v>
      </c>
      <c r="AI62" s="32">
        <f t="shared" si="41"/>
        <v>188.8</v>
      </c>
      <c r="AJ62" s="31">
        <v>745402.25895068271</v>
      </c>
      <c r="AK62" s="36">
        <f t="shared" si="42"/>
        <v>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52"/>
      <c r="X63" s="2"/>
      <c r="Y63" s="35"/>
      <c r="Z63" s="35"/>
      <c r="AA63" s="52"/>
      <c r="AB63" s="35"/>
      <c r="AC63" s="28">
        <f t="shared" si="43"/>
        <v>40</v>
      </c>
      <c r="AD63" s="32">
        <f t="shared" si="37"/>
        <v>37899.684479999996</v>
      </c>
      <c r="AE63" s="31">
        <v>829016.92108048289</v>
      </c>
      <c r="AF63" s="36">
        <f t="shared" si="38"/>
        <v>11.217387809839236</v>
      </c>
      <c r="AG63" s="2"/>
      <c r="AH63" s="28">
        <f t="shared" si="44"/>
        <v>80</v>
      </c>
      <c r="AI63" s="32">
        <f t="shared" si="41"/>
        <v>212.4</v>
      </c>
      <c r="AJ63" s="31">
        <v>745402.25895068271</v>
      </c>
      <c r="AK63" s="36">
        <f t="shared" si="42"/>
        <v>0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52"/>
      <c r="X64" s="2"/>
      <c r="Y64" s="35"/>
      <c r="Z64" s="35"/>
      <c r="AA64" s="52"/>
      <c r="AB64" s="35"/>
      <c r="AC64" s="28">
        <f t="shared" si="43"/>
        <v>50</v>
      </c>
      <c r="AD64" s="32">
        <f t="shared" si="37"/>
        <v>40606.804799999998</v>
      </c>
      <c r="AE64" s="31">
        <v>849920.5866129325</v>
      </c>
      <c r="AF64" s="36">
        <f t="shared" si="38"/>
        <v>14.021734762298987</v>
      </c>
      <c r="AG64" s="2"/>
      <c r="AH64" s="28">
        <f t="shared" si="44"/>
        <v>100</v>
      </c>
      <c r="AI64" s="32">
        <f t="shared" si="41"/>
        <v>236</v>
      </c>
      <c r="AJ64" s="31">
        <v>745402.25895068271</v>
      </c>
      <c r="AK64" s="36">
        <f t="shared" si="42"/>
        <v>0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52"/>
      <c r="X65" s="2"/>
      <c r="Y65" s="35"/>
      <c r="Z65" s="35"/>
      <c r="AA65" s="52"/>
      <c r="AB65" s="35"/>
      <c r="AC65" s="2"/>
      <c r="AD65" s="2"/>
      <c r="AE65" s="2"/>
      <c r="AF65" s="2"/>
      <c r="AG65" s="2"/>
      <c r="AH65" s="2"/>
      <c r="AI65" s="20"/>
      <c r="AJ65" s="6"/>
      <c r="AK65" s="53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52"/>
      <c r="X66" s="2"/>
      <c r="Y66" s="35"/>
      <c r="Z66" s="35"/>
      <c r="AA66" s="52"/>
      <c r="AB66" s="35"/>
      <c r="AC66" s="27" t="s">
        <v>182</v>
      </c>
      <c r="AD66" s="28"/>
      <c r="AE66" s="28"/>
      <c r="AF66" s="28"/>
      <c r="AG66" s="2"/>
      <c r="AH66" s="2"/>
      <c r="AI66" s="20"/>
      <c r="AJ66" s="6"/>
      <c r="AK66" s="53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52"/>
      <c r="X67" s="2"/>
      <c r="Y67" s="35"/>
      <c r="Z67" s="35"/>
      <c r="AA67" s="52"/>
      <c r="AB67" s="35"/>
      <c r="AC67" s="28" t="s">
        <v>79</v>
      </c>
      <c r="AD67" s="28" t="s">
        <v>182</v>
      </c>
      <c r="AE67" s="28" t="s">
        <v>24</v>
      </c>
      <c r="AF67" s="28" t="s">
        <v>81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52"/>
      <c r="X68" s="2"/>
      <c r="Y68" s="35"/>
      <c r="Z68" s="35"/>
      <c r="AA68" s="52"/>
      <c r="AB68" s="35"/>
      <c r="AC68" s="28" t="s">
        <v>84</v>
      </c>
      <c r="AD68" s="30">
        <v>0.99</v>
      </c>
      <c r="AE68" s="31">
        <f>Y49</f>
        <v>745402.25895068271</v>
      </c>
      <c r="AF68" s="28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5"/>
      <c r="Z69" s="55"/>
      <c r="AA69" s="2"/>
      <c r="AB69" s="55"/>
      <c r="AC69" s="28">
        <f t="shared" ref="AC69:AC73" si="45">AC70-10</f>
        <v>-50</v>
      </c>
      <c r="AD69" s="30">
        <f>$AD$68*(1+(-AC69/100))</f>
        <v>1.4849999999999999</v>
      </c>
      <c r="AE69" s="31">
        <f t="dataTable" ref="AE69:AE79" dt2D="0" dtr="0" r1="J17" ca="1"/>
        <v>810139.54466464673</v>
      </c>
      <c r="AF69" s="36">
        <f>100*((AE69-$AE$74)/$AE$74)</f>
        <v>8.6848791959788212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8">
        <f t="shared" si="45"/>
        <v>-40</v>
      </c>
      <c r="AD70" s="30">
        <f t="shared" ref="AD70:AD79" si="46">$AD$68*(1+(-AC70/100))</f>
        <v>1.3859999999999999</v>
      </c>
      <c r="AE70" s="31">
        <v>797192.08752185409</v>
      </c>
      <c r="AF70" s="36">
        <f t="shared" ref="AF70:AF79" si="47">100*((AE70-$AE$74)/$AE$74)</f>
        <v>6.9479033567830788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8">
        <f t="shared" si="45"/>
        <v>-30</v>
      </c>
      <c r="AD71" s="30">
        <f t="shared" si="46"/>
        <v>1.2869999999999999</v>
      </c>
      <c r="AE71" s="31">
        <v>784244.63037906121</v>
      </c>
      <c r="AF71" s="36">
        <f t="shared" si="47"/>
        <v>5.2109275175873053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8">
        <f t="shared" si="45"/>
        <v>-20</v>
      </c>
      <c r="AD72" s="30">
        <f t="shared" si="46"/>
        <v>1.1879999999999999</v>
      </c>
      <c r="AE72" s="31">
        <v>771297.17323626834</v>
      </c>
      <c r="AF72" s="36">
        <f t="shared" si="47"/>
        <v>3.4739516783915318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8">
        <f t="shared" si="45"/>
        <v>-10</v>
      </c>
      <c r="AD73" s="30">
        <f t="shared" si="46"/>
        <v>1.089</v>
      </c>
      <c r="AE73" s="31">
        <v>758349.7160934757</v>
      </c>
      <c r="AF73" s="36">
        <f t="shared" si="47"/>
        <v>1.7369758391957892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41">
        <v>0</v>
      </c>
      <c r="AD74" s="86">
        <f t="shared" si="46"/>
        <v>0.99</v>
      </c>
      <c r="AE74" s="87">
        <v>745402.25895068271</v>
      </c>
      <c r="AF74" s="69">
        <f t="shared" si="47"/>
        <v>0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8">
        <f t="shared" ref="AC75:AC79" si="48">AC74+10</f>
        <v>10</v>
      </c>
      <c r="AD75" s="30">
        <f t="shared" si="46"/>
        <v>0.89100000000000001</v>
      </c>
      <c r="AE75" s="31">
        <v>732454.80180789018</v>
      </c>
      <c r="AF75" s="36">
        <f t="shared" si="47"/>
        <v>-1.7369758391957268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8">
        <f t="shared" si="48"/>
        <v>20</v>
      </c>
      <c r="AD76" s="30">
        <f t="shared" si="46"/>
        <v>0.79200000000000004</v>
      </c>
      <c r="AE76" s="31">
        <v>719507.34466509731</v>
      </c>
      <c r="AF76" s="36">
        <f t="shared" si="47"/>
        <v>-3.4739516783915008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8">
        <f t="shared" si="48"/>
        <v>30</v>
      </c>
      <c r="AD77" s="30">
        <f t="shared" si="46"/>
        <v>0.69299999999999995</v>
      </c>
      <c r="AE77" s="31">
        <v>706559.88752230443</v>
      </c>
      <c r="AF77" s="36">
        <f t="shared" si="47"/>
        <v>-5.2109275175872742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8">
        <f t="shared" si="48"/>
        <v>40</v>
      </c>
      <c r="AD78" s="30">
        <f t="shared" si="46"/>
        <v>0.59399999999999997</v>
      </c>
      <c r="AE78" s="31">
        <v>693612.43037951156</v>
      </c>
      <c r="AF78" s="36">
        <f t="shared" si="47"/>
        <v>-6.9479033567830477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8">
        <f t="shared" si="48"/>
        <v>50</v>
      </c>
      <c r="AD79" s="30">
        <f t="shared" si="46"/>
        <v>0.495</v>
      </c>
      <c r="AE79" s="31">
        <v>680664.97323671891</v>
      </c>
      <c r="AF79" s="36">
        <f t="shared" si="47"/>
        <v>-8.6848791959787892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dataValidations count="1">
    <dataValidation type="list" allowBlank="1" showInputMessage="1" showErrorMessage="1" sqref="J24" xr:uid="{EAAADCFF-4C24-48CC-8C61-6FC99F96CFFB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AP1000"/>
  <sheetViews>
    <sheetView topLeftCell="B1" zoomScale="85" zoomScaleNormal="85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31.7109375" customWidth="1"/>
    <col min="20" max="20" width="12.7109375" customWidth="1"/>
    <col min="21" max="21" width="22" customWidth="1"/>
    <col min="22" max="22" width="23.85546875" customWidth="1"/>
    <col min="23" max="23" width="12.7109375" customWidth="1"/>
    <col min="24" max="24" width="19.42578125" customWidth="1"/>
    <col min="25" max="25" width="13.42578125" customWidth="1"/>
    <col min="26" max="26" width="8.85546875" customWidth="1"/>
    <col min="27" max="27" width="20.140625" customWidth="1"/>
    <col min="28" max="28" width="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</cols>
  <sheetData>
    <row r="1" spans="1:35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1" t="s">
        <v>2</v>
      </c>
      <c r="B2" s="3">
        <f>V49</f>
        <v>670531.36281092954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2"/>
      <c r="B3" s="4">
        <f>B2/F41</f>
        <v>0.86791188331425817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126</v>
      </c>
      <c r="R7" s="11" t="s">
        <v>127</v>
      </c>
      <c r="S7" s="11" t="s">
        <v>19</v>
      </c>
      <c r="T7" s="11" t="s">
        <v>20</v>
      </c>
      <c r="U7" s="11" t="s">
        <v>23</v>
      </c>
      <c r="V7" s="12" t="s">
        <v>24</v>
      </c>
      <c r="W7" s="1"/>
      <c r="X7" s="2" t="s">
        <v>25</v>
      </c>
      <c r="Y7" s="2"/>
      <c r="Z7" s="2"/>
      <c r="AA7" s="2" t="s">
        <v>26</v>
      </c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183</v>
      </c>
      <c r="J8" s="6">
        <v>3634000</v>
      </c>
      <c r="K8" s="2" t="s">
        <v>30</v>
      </c>
      <c r="L8" s="15"/>
      <c r="M8" s="2"/>
      <c r="N8" s="11">
        <v>0</v>
      </c>
      <c r="O8" s="17">
        <f>F31</f>
        <v>61095.641300408141</v>
      </c>
      <c r="P8" s="11"/>
      <c r="Q8" s="11"/>
      <c r="R8" s="11"/>
      <c r="S8" s="11"/>
      <c r="T8" s="11"/>
      <c r="U8" s="11"/>
      <c r="V8" s="18">
        <f t="shared" ref="V8:V48" si="0">SUM(O8:U8)</f>
        <v>61095.641300408141</v>
      </c>
      <c r="W8" s="3"/>
      <c r="X8" s="6"/>
      <c r="Y8" s="2"/>
      <c r="Z8" s="2"/>
      <c r="AA8" s="2" t="s">
        <v>161</v>
      </c>
      <c r="AB8" s="19">
        <f>F36</f>
        <v>1.2856661991584855</v>
      </c>
      <c r="AC8" s="2" t="s">
        <v>129</v>
      </c>
      <c r="AD8" s="2"/>
      <c r="AE8" s="2"/>
      <c r="AF8" s="2"/>
      <c r="AG8" s="2"/>
      <c r="AH8" s="2"/>
      <c r="AI8" s="2"/>
    </row>
    <row r="9" spans="1:35" x14ac:dyDescent="0.25">
      <c r="A9" s="13"/>
      <c r="B9" s="2"/>
      <c r="C9" s="2"/>
      <c r="D9" s="2"/>
      <c r="E9" s="2"/>
      <c r="F9" s="20"/>
      <c r="G9" s="2"/>
      <c r="H9" s="15"/>
      <c r="I9" s="2"/>
      <c r="J9" s="2"/>
      <c r="K9" s="2"/>
      <c r="L9" s="15"/>
      <c r="M9" s="2"/>
      <c r="N9" s="11">
        <v>1</v>
      </c>
      <c r="O9" s="11"/>
      <c r="P9" s="21">
        <f t="shared" ref="P9:P48" si="1">IF(N9&gt;0,IF(N9&lt;=$J$15,(($F$32+$F$33)/$J$15)/((1+($F$11/100))^N9),0),0)</f>
        <v>33331.066531667107</v>
      </c>
      <c r="Q9" s="22">
        <f t="shared" ref="Q9:Q48" si="2">IF(N9&gt;0,($F$38*((1+($F$14/100))^(N9-1)))/((1+($F$11/100))^N9),0)</f>
        <v>46353.066300140257</v>
      </c>
      <c r="R9" s="22">
        <f t="shared" ref="R9:R48" si="3">IF(N9&gt;0,$J$31/((1+($F$11/100))^N9),0)</f>
        <v>15505.336848994857</v>
      </c>
      <c r="S9" s="22">
        <f>$J$40/((1+($F$11/100))^N9)</f>
        <v>5.3429506444934214</v>
      </c>
      <c r="T9" s="22">
        <f t="shared" ref="T9:T48" si="4">IF(AND(N9&lt;=5,N9&gt;0),$J$41/((1+($F$11/100))^N9),IF(AND(N9&gt;5,N9&lt;=10),(((1-(N9-5)*10/100)*$J$41)/((1+($F$11/100))^N9)),IF(N9&gt;10,(((1-50/100)*$J$41)/((1+($F$11/100))^N9)),0)))</f>
        <v>77.472784345154608</v>
      </c>
      <c r="U9" s="21">
        <f t="shared" ref="U9:U48" si="5">IF(N9=$B$5,((((1-$J$12/100)^N9)*$B$45)/((1+($F$11/100))^N9))*-1,0)</f>
        <v>0</v>
      </c>
      <c r="V9" s="18">
        <f t="shared" si="0"/>
        <v>95272.285415791877</v>
      </c>
      <c r="W9" s="3"/>
      <c r="X9" s="6">
        <f t="shared" ref="X9:X48" si="6">IF(N9&gt;0,((((1-$J$12/100)^N9)*$B$44/((1+($F$11/100))^N9))),0)</f>
        <v>126291.26881720428</v>
      </c>
      <c r="Y9" s="2"/>
      <c r="Z9" s="2"/>
      <c r="AA9" s="16" t="s">
        <v>160</v>
      </c>
      <c r="AB9" s="24">
        <f>B47</f>
        <v>203652.13766802714</v>
      </c>
      <c r="AC9" s="2" t="s">
        <v>3</v>
      </c>
      <c r="AD9" s="2"/>
      <c r="AE9" s="6"/>
      <c r="AF9" s="2"/>
      <c r="AG9" s="2"/>
      <c r="AH9" s="2"/>
      <c r="AI9" s="2"/>
    </row>
    <row r="10" spans="1:35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130</v>
      </c>
      <c r="J10" s="14">
        <v>0.49</v>
      </c>
      <c r="K10" s="2" t="s">
        <v>131</v>
      </c>
      <c r="L10" s="15"/>
      <c r="M10" s="2"/>
      <c r="N10" s="11">
        <f t="shared" ref="N10:N48" si="7">IF((N9+1)&gt;$B$5,,IF(N9=0,,N9+1))</f>
        <v>2</v>
      </c>
      <c r="O10" s="11"/>
      <c r="P10" s="21">
        <f t="shared" si="1"/>
        <v>31743.872887302008</v>
      </c>
      <c r="Q10" s="22">
        <f t="shared" si="2"/>
        <v>44587.235202992058</v>
      </c>
      <c r="R10" s="22">
        <f t="shared" si="3"/>
        <v>14766.987475233198</v>
      </c>
      <c r="S10" s="22">
        <f t="shared" ref="S10:S48" si="8">IF(N10&lt;=$F$24,0,$J$40/((1+($F$11/100))^N9))</f>
        <v>0</v>
      </c>
      <c r="T10" s="22">
        <f t="shared" si="4"/>
        <v>73.783604138242481</v>
      </c>
      <c r="U10" s="21">
        <f t="shared" si="5"/>
        <v>0</v>
      </c>
      <c r="V10" s="18">
        <f t="shared" si="0"/>
        <v>91171.879169665495</v>
      </c>
      <c r="W10" s="3"/>
      <c r="X10" s="6">
        <f t="shared" si="6"/>
        <v>111761.75903328213</v>
      </c>
      <c r="Y10" s="2"/>
      <c r="Z10" s="2"/>
      <c r="AA10" s="2" t="s">
        <v>43</v>
      </c>
      <c r="AB10" s="6">
        <f>F12</f>
        <v>77258</v>
      </c>
      <c r="AC10" s="2" t="s">
        <v>44</v>
      </c>
      <c r="AD10" s="2"/>
      <c r="AE10" s="6"/>
      <c r="AF10" s="2"/>
      <c r="AG10" s="2"/>
      <c r="AH10" s="2"/>
      <c r="AI10" s="2"/>
    </row>
    <row r="11" spans="1:35" x14ac:dyDescent="0.25">
      <c r="A11" s="25" t="s">
        <v>158</v>
      </c>
      <c r="B11" s="2">
        <v>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53</v>
      </c>
      <c r="J11" s="2">
        <v>30</v>
      </c>
      <c r="K11" s="2" t="s">
        <v>54</v>
      </c>
      <c r="L11" s="15"/>
      <c r="M11" s="2"/>
      <c r="N11" s="11">
        <f t="shared" si="7"/>
        <v>3</v>
      </c>
      <c r="O11" s="11"/>
      <c r="P11" s="21">
        <f t="shared" si="1"/>
        <v>30232.259892668579</v>
      </c>
      <c r="Q11" s="22">
        <f t="shared" si="2"/>
        <v>42888.673861925694</v>
      </c>
      <c r="R11" s="22">
        <f t="shared" si="3"/>
        <v>14063.797595460188</v>
      </c>
      <c r="S11" s="22">
        <f t="shared" si="8"/>
        <v>0</v>
      </c>
      <c r="T11" s="22">
        <f t="shared" si="4"/>
        <v>70.270099179278546</v>
      </c>
      <c r="U11" s="21">
        <f t="shared" si="5"/>
        <v>0</v>
      </c>
      <c r="V11" s="18">
        <f t="shared" si="0"/>
        <v>87255.001449233736</v>
      </c>
      <c r="W11" s="3"/>
      <c r="X11" s="6">
        <f t="shared" si="6"/>
        <v>98903.834755929289</v>
      </c>
      <c r="Y11" s="2"/>
      <c r="Z11" s="2"/>
      <c r="AA11" s="16" t="s">
        <v>49</v>
      </c>
      <c r="AB11" s="6">
        <f>J34</f>
        <v>16069.664000000001</v>
      </c>
      <c r="AC11" s="2" t="s">
        <v>50</v>
      </c>
      <c r="AD11" s="2"/>
      <c r="AE11" s="6"/>
      <c r="AF11" s="2"/>
      <c r="AG11" s="2"/>
      <c r="AH11" s="2"/>
      <c r="AI11" s="2"/>
    </row>
    <row r="12" spans="1:35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77258</v>
      </c>
      <c r="G12" s="2" t="s">
        <v>44</v>
      </c>
      <c r="H12" s="15"/>
      <c r="I12" s="16" t="s">
        <v>62</v>
      </c>
      <c r="J12" s="2">
        <v>7.08</v>
      </c>
      <c r="K12" s="2" t="s">
        <v>63</v>
      </c>
      <c r="L12" s="15"/>
      <c r="M12" s="2"/>
      <c r="N12" s="11">
        <f t="shared" si="7"/>
        <v>4</v>
      </c>
      <c r="O12" s="11"/>
      <c r="P12" s="21">
        <f t="shared" si="1"/>
        <v>28792.628469208172</v>
      </c>
      <c r="Q12" s="22">
        <f t="shared" si="2"/>
        <v>41254.819619566617</v>
      </c>
      <c r="R12" s="22">
        <f t="shared" si="3"/>
        <v>13394.092948057323</v>
      </c>
      <c r="S12" s="22">
        <f t="shared" si="8"/>
        <v>0</v>
      </c>
      <c r="T12" s="22">
        <f t="shared" si="4"/>
        <v>66.923903980265294</v>
      </c>
      <c r="U12" s="21">
        <f t="shared" si="5"/>
        <v>0</v>
      </c>
      <c r="V12" s="18">
        <f t="shared" si="0"/>
        <v>83508.464940812381</v>
      </c>
      <c r="W12" s="3"/>
      <c r="X12" s="6">
        <f t="shared" si="6"/>
        <v>87525.184052580473</v>
      </c>
      <c r="Y12" s="2"/>
      <c r="Z12" s="2"/>
      <c r="AA12" s="89" t="s">
        <v>182</v>
      </c>
      <c r="AB12" s="90">
        <f>J10</f>
        <v>0.49</v>
      </c>
      <c r="AC12" s="89" t="s">
        <v>131</v>
      </c>
      <c r="AD12" s="2"/>
      <c r="AE12" s="6"/>
      <c r="AF12" s="2"/>
      <c r="AG12" s="2"/>
      <c r="AH12" s="2"/>
      <c r="AI12" s="2"/>
    </row>
    <row r="13" spans="1:35" x14ac:dyDescent="0.25">
      <c r="A13" s="25" t="s">
        <v>51</v>
      </c>
      <c r="B13" s="2">
        <v>7</v>
      </c>
      <c r="C13" s="2" t="s">
        <v>40</v>
      </c>
      <c r="D13" s="2"/>
      <c r="E13" s="16" t="s">
        <v>128</v>
      </c>
      <c r="F13" s="14">
        <v>45.834000000000003</v>
      </c>
      <c r="G13" s="14" t="s">
        <v>132</v>
      </c>
      <c r="H13" s="15"/>
      <c r="I13" s="16"/>
      <c r="J13" s="6"/>
      <c r="K13" s="2"/>
      <c r="L13" s="15"/>
      <c r="M13" s="2"/>
      <c r="N13" s="11">
        <f t="shared" si="7"/>
        <v>5</v>
      </c>
      <c r="O13" s="11"/>
      <c r="P13" s="21">
        <f t="shared" si="1"/>
        <v>27421.550923055398</v>
      </c>
      <c r="Q13" s="22">
        <f t="shared" si="2"/>
        <v>39683.207443583131</v>
      </c>
      <c r="R13" s="22">
        <f t="shared" si="3"/>
        <v>12756.27899814983</v>
      </c>
      <c r="S13" s="22">
        <f t="shared" si="8"/>
        <v>0</v>
      </c>
      <c r="T13" s="22">
        <f t="shared" si="4"/>
        <v>63.737051409776463</v>
      </c>
      <c r="U13" s="21">
        <f t="shared" si="5"/>
        <v>0</v>
      </c>
      <c r="V13" s="18">
        <f t="shared" si="0"/>
        <v>79924.774416198139</v>
      </c>
      <c r="W13" s="3"/>
      <c r="X13" s="6">
        <f t="shared" si="6"/>
        <v>77455.620020626448</v>
      </c>
      <c r="Y13" s="2"/>
      <c r="Z13" s="2"/>
      <c r="AA13" s="2"/>
      <c r="AB13" s="2"/>
      <c r="AC13" s="2"/>
      <c r="AD13" s="2"/>
      <c r="AE13" s="6"/>
      <c r="AF13" s="2"/>
      <c r="AG13" s="2"/>
      <c r="AH13" s="2"/>
      <c r="AI13" s="2"/>
    </row>
    <row r="14" spans="1:35" x14ac:dyDescent="0.25">
      <c r="A14" s="25" t="s">
        <v>55</v>
      </c>
      <c r="B14" s="2">
        <v>20</v>
      </c>
      <c r="C14" s="2" t="s">
        <v>40</v>
      </c>
      <c r="D14" s="2"/>
      <c r="E14" s="16" t="s">
        <v>133</v>
      </c>
      <c r="F14" s="2">
        <v>1</v>
      </c>
      <c r="G14" s="2" t="s">
        <v>57</v>
      </c>
      <c r="H14" s="15"/>
      <c r="I14" s="1" t="s">
        <v>78</v>
      </c>
      <c r="J14" s="2"/>
      <c r="K14" s="2"/>
      <c r="L14" s="15"/>
      <c r="M14" s="2"/>
      <c r="N14" s="11">
        <f t="shared" si="7"/>
        <v>6</v>
      </c>
      <c r="O14" s="11"/>
      <c r="P14" s="21">
        <f t="shared" si="1"/>
        <v>0</v>
      </c>
      <c r="Q14" s="22">
        <f t="shared" si="2"/>
        <v>38171.46620763711</v>
      </c>
      <c r="R14" s="22">
        <f t="shared" si="3"/>
        <v>12148.837141095079</v>
      </c>
      <c r="S14" s="22">
        <f t="shared" si="8"/>
        <v>0</v>
      </c>
      <c r="T14" s="22">
        <f t="shared" si="4"/>
        <v>54.631758351236975</v>
      </c>
      <c r="U14" s="21">
        <f t="shared" si="5"/>
        <v>0</v>
      </c>
      <c r="V14" s="18">
        <f t="shared" si="0"/>
        <v>50374.935107083424</v>
      </c>
      <c r="W14" s="3"/>
      <c r="X14" s="6">
        <f t="shared" si="6"/>
        <v>68544.535355396292</v>
      </c>
      <c r="Y14" s="2"/>
      <c r="Z14" s="2"/>
      <c r="AA14" s="2"/>
      <c r="AB14" s="2"/>
      <c r="AC14" s="2"/>
      <c r="AD14" s="2"/>
      <c r="AE14" s="6"/>
      <c r="AF14" s="2"/>
      <c r="AG14" s="2"/>
      <c r="AH14" s="2"/>
      <c r="AI14" s="2"/>
    </row>
    <row r="15" spans="1:35" x14ac:dyDescent="0.25">
      <c r="A15" s="25" t="s">
        <v>59</v>
      </c>
      <c r="B15" s="2">
        <v>0</v>
      </c>
      <c r="C15" s="2" t="s">
        <v>54</v>
      </c>
      <c r="D15" s="2"/>
      <c r="E15" s="16" t="s">
        <v>65</v>
      </c>
      <c r="F15" s="2">
        <v>0</v>
      </c>
      <c r="G15" s="2" t="s">
        <v>61</v>
      </c>
      <c r="H15" s="15"/>
      <c r="I15" s="16" t="s">
        <v>83</v>
      </c>
      <c r="J15" s="2">
        <v>5</v>
      </c>
      <c r="K15" s="2" t="s">
        <v>54</v>
      </c>
      <c r="L15" s="15"/>
      <c r="M15" s="2"/>
      <c r="N15" s="11">
        <f t="shared" si="7"/>
        <v>7</v>
      </c>
      <c r="O15" s="11"/>
      <c r="P15" s="21">
        <f t="shared" si="1"/>
        <v>0</v>
      </c>
      <c r="Q15" s="22">
        <f t="shared" si="2"/>
        <v>36717.315114012832</v>
      </c>
      <c r="R15" s="22">
        <f t="shared" si="3"/>
        <v>11570.321086757214</v>
      </c>
      <c r="S15" s="22">
        <f t="shared" si="8"/>
        <v>0</v>
      </c>
      <c r="T15" s="22">
        <f t="shared" si="4"/>
        <v>46.24910759893077</v>
      </c>
      <c r="U15" s="21">
        <f t="shared" si="5"/>
        <v>0</v>
      </c>
      <c r="V15" s="18">
        <f t="shared" si="0"/>
        <v>48333.885308368976</v>
      </c>
      <c r="W15" s="3"/>
      <c r="X15" s="6">
        <f t="shared" si="6"/>
        <v>60658.649764032591</v>
      </c>
      <c r="Y15" s="2"/>
      <c r="Z15" s="2"/>
      <c r="AA15" s="2"/>
      <c r="AB15" s="2"/>
      <c r="AC15" s="2"/>
      <c r="AD15" s="2"/>
      <c r="AE15" s="6"/>
      <c r="AF15" s="2"/>
      <c r="AG15" s="2"/>
      <c r="AH15" s="2"/>
      <c r="AI15" s="2"/>
    </row>
    <row r="16" spans="1:35" x14ac:dyDescent="0.25">
      <c r="A16" s="25" t="s">
        <v>64</v>
      </c>
      <c r="B16" s="2">
        <v>40</v>
      </c>
      <c r="C16" s="2" t="s">
        <v>40</v>
      </c>
      <c r="D16" s="2"/>
      <c r="E16" s="16" t="s">
        <v>67</v>
      </c>
      <c r="F16" s="6">
        <v>2900</v>
      </c>
      <c r="G16" s="2" t="s">
        <v>61</v>
      </c>
      <c r="H16" s="15"/>
      <c r="I16" s="16" t="s">
        <v>87</v>
      </c>
      <c r="J16" s="2">
        <v>30</v>
      </c>
      <c r="K16" s="2" t="s">
        <v>88</v>
      </c>
      <c r="L16" s="15"/>
      <c r="M16" s="2"/>
      <c r="N16" s="11">
        <f t="shared" si="7"/>
        <v>8</v>
      </c>
      <c r="O16" s="11"/>
      <c r="P16" s="21">
        <f t="shared" si="1"/>
        <v>0</v>
      </c>
      <c r="Q16" s="22">
        <f t="shared" si="2"/>
        <v>35318.560252526629</v>
      </c>
      <c r="R16" s="22">
        <f t="shared" si="3"/>
        <v>11019.353415959253</v>
      </c>
      <c r="S16" s="22">
        <f t="shared" si="8"/>
        <v>3.9869920343905831</v>
      </c>
      <c r="T16" s="22">
        <f t="shared" si="4"/>
        <v>38.540922999108972</v>
      </c>
      <c r="U16" s="21">
        <f t="shared" si="5"/>
        <v>0</v>
      </c>
      <c r="V16" s="18">
        <f t="shared" si="0"/>
        <v>46380.441583519379</v>
      </c>
      <c r="W16" s="3"/>
      <c r="X16" s="6">
        <f t="shared" si="6"/>
        <v>53680.01653403724</v>
      </c>
      <c r="Y16" s="2"/>
      <c r="Z16" s="2"/>
      <c r="AA16" s="2"/>
      <c r="AB16" s="2"/>
      <c r="AC16" s="2"/>
      <c r="AD16" s="2"/>
      <c r="AE16" s="6"/>
      <c r="AF16" s="2"/>
      <c r="AG16" s="2"/>
      <c r="AH16" s="2"/>
      <c r="AI16" s="2"/>
    </row>
    <row r="17" spans="1:42" x14ac:dyDescent="0.25">
      <c r="A17" s="25" t="s">
        <v>167</v>
      </c>
      <c r="B17" s="2">
        <v>365</v>
      </c>
      <c r="C17" s="2" t="s">
        <v>30</v>
      </c>
      <c r="D17" s="2"/>
      <c r="E17" s="16" t="s">
        <v>71</v>
      </c>
      <c r="F17" s="2">
        <v>100</v>
      </c>
      <c r="G17" s="2" t="s">
        <v>40</v>
      </c>
      <c r="H17" s="15"/>
      <c r="I17" s="2"/>
      <c r="J17" s="2"/>
      <c r="K17" s="2"/>
      <c r="L17" s="15"/>
      <c r="M17" s="2"/>
      <c r="N17" s="11">
        <f t="shared" si="7"/>
        <v>9</v>
      </c>
      <c r="O17" s="11"/>
      <c r="P17" s="21">
        <f t="shared" si="1"/>
        <v>0</v>
      </c>
      <c r="Q17" s="22">
        <f t="shared" si="2"/>
        <v>33973.091290525619</v>
      </c>
      <c r="R17" s="22">
        <f t="shared" si="3"/>
        <v>10494.622300913574</v>
      </c>
      <c r="S17" s="22">
        <f t="shared" si="8"/>
        <v>3.7971352708481749</v>
      </c>
      <c r="T17" s="22">
        <f t="shared" si="4"/>
        <v>31.461977958456302</v>
      </c>
      <c r="U17" s="21">
        <f t="shared" si="5"/>
        <v>0</v>
      </c>
      <c r="V17" s="18">
        <f t="shared" si="0"/>
        <v>44502.972704668493</v>
      </c>
      <c r="W17" s="3"/>
      <c r="X17" s="6">
        <f t="shared" si="6"/>
        <v>47504.258441359423</v>
      </c>
      <c r="Y17" s="2"/>
      <c r="Z17" s="2"/>
      <c r="AA17" s="2"/>
      <c r="AB17" s="2"/>
      <c r="AC17" s="2"/>
      <c r="AD17" s="2"/>
      <c r="AE17" s="6"/>
      <c r="AF17" s="2"/>
      <c r="AG17" s="2"/>
      <c r="AH17" s="2"/>
      <c r="AI17" s="2"/>
    </row>
    <row r="18" spans="1:42" x14ac:dyDescent="0.25">
      <c r="A18" s="16" t="s">
        <v>70</v>
      </c>
      <c r="B18" s="2">
        <v>10</v>
      </c>
      <c r="C18" s="2" t="s">
        <v>40</v>
      </c>
      <c r="D18" s="2"/>
      <c r="E18" s="16" t="s">
        <v>73</v>
      </c>
      <c r="F18" s="6">
        <v>7520</v>
      </c>
      <c r="G18" s="2" t="s">
        <v>61</v>
      </c>
      <c r="H18" s="15"/>
      <c r="I18" s="16"/>
      <c r="J18" s="2"/>
      <c r="K18" s="2"/>
      <c r="L18" s="15"/>
      <c r="M18" s="2"/>
      <c r="N18" s="11">
        <f t="shared" si="7"/>
        <v>10</v>
      </c>
      <c r="O18" s="11"/>
      <c r="P18" s="21">
        <f t="shared" si="1"/>
        <v>0</v>
      </c>
      <c r="Q18" s="22">
        <f t="shared" si="2"/>
        <v>32678.878288981789</v>
      </c>
      <c r="R18" s="22">
        <f t="shared" si="3"/>
        <v>9994.878381822451</v>
      </c>
      <c r="S18" s="22">
        <f t="shared" si="8"/>
        <v>3.6163193055696903</v>
      </c>
      <c r="T18" s="22">
        <f t="shared" si="4"/>
        <v>24.969823776552623</v>
      </c>
      <c r="U18" s="21">
        <f t="shared" si="5"/>
        <v>-59991.26139870684</v>
      </c>
      <c r="V18" s="18">
        <f t="shared" si="0"/>
        <v>-17288.918584820472</v>
      </c>
      <c r="W18" s="3"/>
      <c r="X18" s="6">
        <f t="shared" si="6"/>
        <v>42039.006613058264</v>
      </c>
      <c r="Y18" s="2"/>
      <c r="Z18" s="2"/>
      <c r="AA18" s="2"/>
      <c r="AB18" s="2"/>
      <c r="AC18" s="2"/>
      <c r="AD18" s="2"/>
      <c r="AE18" s="6"/>
      <c r="AF18" s="2"/>
      <c r="AG18" s="2"/>
      <c r="AH18" s="2"/>
      <c r="AI18" s="2"/>
    </row>
    <row r="19" spans="1:42" x14ac:dyDescent="0.25">
      <c r="A19" s="25" t="s">
        <v>134</v>
      </c>
      <c r="B19" s="2">
        <v>10</v>
      </c>
      <c r="C19" s="2" t="s">
        <v>40</v>
      </c>
      <c r="D19" s="2"/>
      <c r="E19" s="16" t="s">
        <v>49</v>
      </c>
      <c r="F19" s="35">
        <v>7.4151999999999996</v>
      </c>
      <c r="G19" s="2" t="s">
        <v>141</v>
      </c>
      <c r="H19" s="15"/>
      <c r="I19" s="2"/>
      <c r="J19" s="2"/>
      <c r="K19" s="2"/>
      <c r="L19" s="15"/>
      <c r="M19" s="2"/>
      <c r="N19" s="11">
        <f t="shared" si="7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8"/>
        <v>0</v>
      </c>
      <c r="T19" s="22">
        <f t="shared" si="4"/>
        <v>0</v>
      </c>
      <c r="U19" s="21">
        <f t="shared" si="5"/>
        <v>0</v>
      </c>
      <c r="V19" s="18">
        <f t="shared" si="0"/>
        <v>0</v>
      </c>
      <c r="W19" s="3"/>
      <c r="X19" s="6">
        <f t="shared" si="6"/>
        <v>0</v>
      </c>
      <c r="Y19" s="2"/>
      <c r="Z19" s="2"/>
      <c r="AA19" s="2"/>
      <c r="AB19" s="2"/>
      <c r="AC19" s="2"/>
      <c r="AD19" s="2"/>
      <c r="AE19" s="6"/>
      <c r="AF19" s="2"/>
      <c r="AG19" s="2"/>
      <c r="AH19" s="2"/>
      <c r="AI19" s="2"/>
    </row>
    <row r="20" spans="1:42" x14ac:dyDescent="0.25">
      <c r="A20" s="25" t="s">
        <v>74</v>
      </c>
      <c r="B20" s="2">
        <v>0</v>
      </c>
      <c r="C20" s="2" t="s">
        <v>40</v>
      </c>
      <c r="D20" s="2"/>
      <c r="E20" s="16" t="s">
        <v>77</v>
      </c>
      <c r="F20" s="2">
        <v>4.55</v>
      </c>
      <c r="G20" s="2" t="s">
        <v>63</v>
      </c>
      <c r="H20" s="15"/>
      <c r="I20" s="2"/>
      <c r="J20" s="2"/>
      <c r="K20" s="2"/>
      <c r="L20" s="15"/>
      <c r="M20" s="2"/>
      <c r="N20" s="11">
        <f t="shared" si="7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8"/>
        <v>0</v>
      </c>
      <c r="T20" s="22">
        <f t="shared" si="4"/>
        <v>0</v>
      </c>
      <c r="U20" s="21">
        <f t="shared" si="5"/>
        <v>0</v>
      </c>
      <c r="V20" s="18">
        <f t="shared" si="0"/>
        <v>0</v>
      </c>
      <c r="W20" s="3"/>
      <c r="X20" s="6">
        <f t="shared" si="6"/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42" ht="15.75" customHeight="1" x14ac:dyDescent="0.25">
      <c r="A21" s="25"/>
      <c r="B21" s="2"/>
      <c r="C21" s="2"/>
      <c r="D21" s="2"/>
      <c r="E21" s="2"/>
      <c r="F21" s="2"/>
      <c r="G21" s="2"/>
      <c r="H21" s="15"/>
      <c r="I21" s="2"/>
      <c r="J21" s="2"/>
      <c r="K21" s="2"/>
      <c r="L21" s="15"/>
      <c r="M21" s="2"/>
      <c r="N21" s="11">
        <f t="shared" si="7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8"/>
        <v>0</v>
      </c>
      <c r="T21" s="22">
        <f t="shared" si="4"/>
        <v>0</v>
      </c>
      <c r="U21" s="21">
        <f t="shared" si="5"/>
        <v>0</v>
      </c>
      <c r="V21" s="18">
        <f t="shared" si="0"/>
        <v>0</v>
      </c>
      <c r="W21" s="3"/>
      <c r="X21" s="6">
        <f t="shared" si="6"/>
        <v>0</v>
      </c>
      <c r="Y21" s="2"/>
      <c r="Z21" s="2"/>
      <c r="AA21" s="27" t="s">
        <v>128</v>
      </c>
      <c r="AB21" s="28"/>
      <c r="AC21" s="28"/>
      <c r="AD21" s="28"/>
      <c r="AE21" s="2"/>
      <c r="AF21" s="27" t="s">
        <v>29</v>
      </c>
      <c r="AG21" s="28"/>
      <c r="AH21" s="28"/>
      <c r="AI21" s="28"/>
      <c r="AK21" s="81" t="s">
        <v>171</v>
      </c>
      <c r="AL21" s="81" t="s">
        <v>172</v>
      </c>
      <c r="AM21" s="81" t="s">
        <v>180</v>
      </c>
      <c r="AN21" s="81" t="s">
        <v>175</v>
      </c>
      <c r="AO21" s="81" t="s">
        <v>174</v>
      </c>
      <c r="AP21" s="88" t="str">
        <f>AA51</f>
        <v>Energy Efficiency</v>
      </c>
    </row>
    <row r="22" spans="1:42" ht="15.75" customHeight="1" x14ac:dyDescent="0.25">
      <c r="A22" s="2"/>
      <c r="B22" s="2"/>
      <c r="C22" s="2"/>
      <c r="D22" s="2"/>
      <c r="E22" s="2"/>
      <c r="F22" s="5"/>
      <c r="G22" s="2"/>
      <c r="H22" s="15"/>
      <c r="I22" s="2"/>
      <c r="J22" s="2"/>
      <c r="K22" s="2"/>
      <c r="L22" s="15"/>
      <c r="M22" s="2"/>
      <c r="N22" s="11">
        <f t="shared" si="7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8"/>
        <v>0</v>
      </c>
      <c r="T22" s="22">
        <f t="shared" si="4"/>
        <v>0</v>
      </c>
      <c r="U22" s="21">
        <f t="shared" si="5"/>
        <v>0</v>
      </c>
      <c r="V22" s="18">
        <f t="shared" si="0"/>
        <v>0</v>
      </c>
      <c r="W22" s="3"/>
      <c r="X22" s="6">
        <f t="shared" si="6"/>
        <v>0</v>
      </c>
      <c r="Y22" s="2"/>
      <c r="Z22" s="2"/>
      <c r="AA22" s="28" t="s">
        <v>79</v>
      </c>
      <c r="AB22" s="28" t="s">
        <v>135</v>
      </c>
      <c r="AC22" s="28" t="s">
        <v>24</v>
      </c>
      <c r="AD22" s="28" t="s">
        <v>81</v>
      </c>
      <c r="AE22" s="2"/>
      <c r="AF22" s="28" t="s">
        <v>79</v>
      </c>
      <c r="AG22" s="28" t="s">
        <v>82</v>
      </c>
      <c r="AH22" s="28" t="s">
        <v>24</v>
      </c>
      <c r="AI22" s="28" t="s">
        <v>81</v>
      </c>
      <c r="AK22" s="82">
        <v>-50</v>
      </c>
      <c r="AL22" s="83">
        <f>AI24</f>
        <v>-15.854368027842799</v>
      </c>
      <c r="AM22" s="83">
        <f>AD24</f>
        <v>-29.202684266710367</v>
      </c>
      <c r="AN22" s="84">
        <f t="shared" ref="AN22:AN32" si="9">AD39</f>
        <v>-9.252787616740612</v>
      </c>
      <c r="AO22" s="84">
        <f t="shared" ref="AO22:AO32" si="10">AI39</f>
        <v>-38.455471883450983</v>
      </c>
      <c r="AP22" s="53">
        <f>AD54</f>
        <v>29.202684266710367</v>
      </c>
    </row>
    <row r="23" spans="1:42" ht="15.75" customHeight="1" x14ac:dyDescent="0.25">
      <c r="A23" s="2"/>
      <c r="B23" s="2"/>
      <c r="C23" s="2"/>
      <c r="D23" s="2"/>
      <c r="E23" s="16" t="s">
        <v>86</v>
      </c>
      <c r="F23" s="6">
        <v>200</v>
      </c>
      <c r="G23" s="2" t="s">
        <v>136</v>
      </c>
      <c r="H23" s="15"/>
      <c r="I23" s="2"/>
      <c r="J23" s="2"/>
      <c r="K23" s="2"/>
      <c r="L23" s="15"/>
      <c r="M23" s="2"/>
      <c r="N23" s="11">
        <f t="shared" si="7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8"/>
        <v>0</v>
      </c>
      <c r="T23" s="22">
        <f t="shared" si="4"/>
        <v>0</v>
      </c>
      <c r="U23" s="21">
        <f t="shared" si="5"/>
        <v>0</v>
      </c>
      <c r="V23" s="18">
        <f t="shared" si="0"/>
        <v>0</v>
      </c>
      <c r="W23" s="3"/>
      <c r="X23" s="6">
        <f t="shared" si="6"/>
        <v>0</v>
      </c>
      <c r="Y23" s="2"/>
      <c r="Z23" s="2"/>
      <c r="AA23" s="28" t="s">
        <v>85</v>
      </c>
      <c r="AB23" s="30">
        <v>1.2856661991584855</v>
      </c>
      <c r="AC23" s="31">
        <f>V49</f>
        <v>670531.36281092954</v>
      </c>
      <c r="AD23" s="28"/>
      <c r="AE23" s="2"/>
      <c r="AF23" s="28" t="s">
        <v>85</v>
      </c>
      <c r="AG23" s="32">
        <v>203652.13766802714</v>
      </c>
      <c r="AH23" s="31">
        <f>V49</f>
        <v>670531.36281092954</v>
      </c>
      <c r="AI23" s="28"/>
      <c r="AK23" s="82">
        <v>-40</v>
      </c>
      <c r="AL23" s="83">
        <f>AI25</f>
        <v>-12.683494422274244</v>
      </c>
      <c r="AM23" s="83">
        <f t="shared" ref="AM23:AM32" si="11">AD25</f>
        <v>-23.362147413368277</v>
      </c>
      <c r="AN23" s="84">
        <f t="shared" si="9"/>
        <v>-7.402230093392502</v>
      </c>
      <c r="AO23" s="84">
        <f t="shared" si="10"/>
        <v>-30.764377506760798</v>
      </c>
      <c r="AP23" s="53">
        <f t="shared" ref="AP23:AP32" si="12">AD55</f>
        <v>23.362147413368277</v>
      </c>
    </row>
    <row r="24" spans="1:42" ht="15.75" customHeight="1" x14ac:dyDescent="0.25">
      <c r="A24" s="2"/>
      <c r="B24" s="2"/>
      <c r="C24" s="2"/>
      <c r="D24" s="2"/>
      <c r="E24" s="16" t="s">
        <v>89</v>
      </c>
      <c r="F24" s="2">
        <v>7</v>
      </c>
      <c r="G24" s="2" t="s">
        <v>54</v>
      </c>
      <c r="H24" s="2"/>
      <c r="I24" s="13"/>
      <c r="J24" s="2"/>
      <c r="K24" s="2"/>
      <c r="L24" s="15"/>
      <c r="M24" s="2"/>
      <c r="N24" s="11">
        <f t="shared" si="7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8"/>
        <v>0</v>
      </c>
      <c r="T24" s="22">
        <f t="shared" si="4"/>
        <v>0</v>
      </c>
      <c r="U24" s="21">
        <f t="shared" si="5"/>
        <v>0</v>
      </c>
      <c r="V24" s="18">
        <f t="shared" si="0"/>
        <v>0</v>
      </c>
      <c r="W24" s="3"/>
      <c r="X24" s="6">
        <f t="shared" si="6"/>
        <v>0</v>
      </c>
      <c r="Y24" s="2"/>
      <c r="Z24" s="2"/>
      <c r="AA24" s="28">
        <f t="shared" ref="AA24:AA28" si="13">AA25-10</f>
        <v>-50</v>
      </c>
      <c r="AB24" s="30">
        <f t="shared" ref="AB24:AB34" si="14">$AB$23*(1+(AA24/100))</f>
        <v>0.64283309957924273</v>
      </c>
      <c r="AC24" s="31">
        <f t="dataTable" ref="AC24:AC34" dt2D="0" dtr="0" r1="F36" ca="1"/>
        <v>474718.20601998363</v>
      </c>
      <c r="AD24" s="36">
        <f t="shared" ref="AD24:AD34" si="15">100*((AC24-$AC$29)/$AC$29)</f>
        <v>-29.202684266710367</v>
      </c>
      <c r="AE24" s="2"/>
      <c r="AF24" s="28">
        <f t="shared" ref="AF24:AF28" si="16">AF25-10</f>
        <v>-50</v>
      </c>
      <c r="AG24" s="32">
        <f t="shared" ref="AG24:AG34" si="17">$AG$23*(1+(AF24/100))</f>
        <v>101826.06883401357</v>
      </c>
      <c r="AH24" s="31">
        <f t="dataTable" ref="AH24:AH34" dt2D="0" dtr="0" r1="B47"/>
        <v>564222.85280877491</v>
      </c>
      <c r="AI24" s="36">
        <f t="shared" ref="AI24:AI34" si="18">100*((AH24-$AH$29)/$AH$29)</f>
        <v>-15.854368027842799</v>
      </c>
      <c r="AK24" s="82">
        <v>-30</v>
      </c>
      <c r="AL24" s="83">
        <f t="shared" ref="AL24:AL32" si="19">AI26</f>
        <v>-9.512620816705688</v>
      </c>
      <c r="AM24" s="83">
        <f t="shared" si="11"/>
        <v>-17.521610560026208</v>
      </c>
      <c r="AN24" s="84">
        <f t="shared" si="9"/>
        <v>-5.5516725700443592</v>
      </c>
      <c r="AO24" s="84">
        <f t="shared" si="10"/>
        <v>-23.073283130070585</v>
      </c>
      <c r="AP24" s="53">
        <f t="shared" si="12"/>
        <v>17.521610560026208</v>
      </c>
    </row>
    <row r="25" spans="1:42" ht="15.75" customHeight="1" x14ac:dyDescent="0.25">
      <c r="A25" s="13"/>
      <c r="B25" s="2"/>
      <c r="C25" s="2"/>
      <c r="D25" s="2"/>
      <c r="E25" s="2"/>
      <c r="F25" s="2"/>
      <c r="G25" s="2"/>
      <c r="H25" s="15"/>
      <c r="I25" s="2"/>
      <c r="J25" s="2"/>
      <c r="K25" s="2"/>
      <c r="L25" s="15"/>
      <c r="M25" s="2"/>
      <c r="N25" s="11">
        <f t="shared" si="7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8"/>
        <v>0</v>
      </c>
      <c r="T25" s="22">
        <f t="shared" si="4"/>
        <v>0</v>
      </c>
      <c r="U25" s="21">
        <f t="shared" si="5"/>
        <v>0</v>
      </c>
      <c r="V25" s="18">
        <f t="shared" si="0"/>
        <v>0</v>
      </c>
      <c r="W25" s="3"/>
      <c r="X25" s="6">
        <f t="shared" si="6"/>
        <v>0</v>
      </c>
      <c r="Y25" s="2"/>
      <c r="Z25" s="2"/>
      <c r="AA25" s="28">
        <f t="shared" si="13"/>
        <v>-40</v>
      </c>
      <c r="AB25" s="30">
        <f t="shared" si="14"/>
        <v>0.77139971949509123</v>
      </c>
      <c r="AC25" s="31">
        <v>513880.8373781729</v>
      </c>
      <c r="AD25" s="36">
        <f t="shared" si="15"/>
        <v>-23.362147413368277</v>
      </c>
      <c r="AE25" s="2"/>
      <c r="AF25" s="28">
        <f t="shared" si="16"/>
        <v>-40</v>
      </c>
      <c r="AG25" s="32">
        <f t="shared" si="17"/>
        <v>122191.28260081628</v>
      </c>
      <c r="AH25" s="31">
        <v>585484.55480920582</v>
      </c>
      <c r="AI25" s="36">
        <f t="shared" si="18"/>
        <v>-12.683494422274244</v>
      </c>
      <c r="AK25" s="82">
        <v>-20</v>
      </c>
      <c r="AL25" s="83">
        <f t="shared" si="19"/>
        <v>-6.3417472111371138</v>
      </c>
      <c r="AM25" s="83">
        <f t="shared" si="11"/>
        <v>-11.681073706684156</v>
      </c>
      <c r="AN25" s="84">
        <f t="shared" si="9"/>
        <v>-3.701115046696251</v>
      </c>
      <c r="AO25" s="84">
        <f t="shared" si="10"/>
        <v>-15.38218875338039</v>
      </c>
      <c r="AP25" s="53">
        <f t="shared" si="12"/>
        <v>11.681073706684138</v>
      </c>
    </row>
    <row r="26" spans="1:4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/>
      <c r="J26" s="39"/>
      <c r="K26" s="39"/>
      <c r="L26" s="40"/>
      <c r="M26" s="2"/>
      <c r="N26" s="11">
        <f t="shared" si="7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8"/>
        <v>0</v>
      </c>
      <c r="T26" s="22">
        <f t="shared" si="4"/>
        <v>0</v>
      </c>
      <c r="U26" s="21">
        <f t="shared" si="5"/>
        <v>0</v>
      </c>
      <c r="V26" s="18">
        <f t="shared" si="0"/>
        <v>0</v>
      </c>
      <c r="W26" s="3"/>
      <c r="X26" s="6">
        <f t="shared" si="6"/>
        <v>0</v>
      </c>
      <c r="Y26" s="2"/>
      <c r="Z26" s="2"/>
      <c r="AA26" s="28">
        <f t="shared" si="13"/>
        <v>-30</v>
      </c>
      <c r="AB26" s="30">
        <f t="shared" si="14"/>
        <v>0.89996633941093973</v>
      </c>
      <c r="AC26" s="31">
        <v>553043.46873636206</v>
      </c>
      <c r="AD26" s="36">
        <f t="shared" si="15"/>
        <v>-17.521610560026208</v>
      </c>
      <c r="AE26" s="2"/>
      <c r="AF26" s="28">
        <f t="shared" si="16"/>
        <v>-30</v>
      </c>
      <c r="AG26" s="32">
        <f t="shared" si="17"/>
        <v>142556.49636761899</v>
      </c>
      <c r="AH26" s="31">
        <v>606746.25680963672</v>
      </c>
      <c r="AI26" s="36">
        <f t="shared" si="18"/>
        <v>-9.512620816705688</v>
      </c>
      <c r="AK26" s="82">
        <v>-10</v>
      </c>
      <c r="AL26" s="83">
        <f t="shared" si="19"/>
        <v>-3.1708736055685569</v>
      </c>
      <c r="AM26" s="83">
        <f t="shared" si="11"/>
        <v>-5.8405368533420523</v>
      </c>
      <c r="AN26" s="84">
        <f t="shared" si="9"/>
        <v>-1.8505575233481255</v>
      </c>
      <c r="AO26" s="84">
        <f t="shared" si="10"/>
        <v>-7.691094376690212</v>
      </c>
      <c r="AP26" s="53">
        <f t="shared" si="12"/>
        <v>5.8405368533420869</v>
      </c>
    </row>
    <row r="27" spans="1:4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7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8"/>
        <v>0</v>
      </c>
      <c r="T27" s="22">
        <f t="shared" si="4"/>
        <v>0</v>
      </c>
      <c r="U27" s="21">
        <f t="shared" si="5"/>
        <v>0</v>
      </c>
      <c r="V27" s="18">
        <f t="shared" si="0"/>
        <v>0</v>
      </c>
      <c r="W27" s="3"/>
      <c r="X27" s="6">
        <f t="shared" si="6"/>
        <v>0</v>
      </c>
      <c r="Y27" s="2"/>
      <c r="Z27" s="2"/>
      <c r="AA27" s="28">
        <f t="shared" si="13"/>
        <v>-20</v>
      </c>
      <c r="AB27" s="30">
        <f t="shared" si="14"/>
        <v>1.0285329593267885</v>
      </c>
      <c r="AC27" s="31">
        <v>592206.1000945511</v>
      </c>
      <c r="AD27" s="36">
        <f t="shared" si="15"/>
        <v>-11.681073706684156</v>
      </c>
      <c r="AE27" s="2"/>
      <c r="AF27" s="28">
        <f t="shared" si="16"/>
        <v>-20</v>
      </c>
      <c r="AG27" s="32">
        <f t="shared" si="17"/>
        <v>162921.71013442171</v>
      </c>
      <c r="AH27" s="31">
        <v>628007.95881006774</v>
      </c>
      <c r="AI27" s="36">
        <f t="shared" si="18"/>
        <v>-6.3417472111371138</v>
      </c>
      <c r="AK27" s="82">
        <v>0</v>
      </c>
      <c r="AL27" s="83">
        <f t="shared" si="19"/>
        <v>0</v>
      </c>
      <c r="AM27" s="83">
        <f t="shared" si="11"/>
        <v>0</v>
      </c>
      <c r="AN27" s="84">
        <f t="shared" si="9"/>
        <v>0</v>
      </c>
      <c r="AO27" s="84">
        <f t="shared" si="10"/>
        <v>0</v>
      </c>
      <c r="AP27" s="53">
        <f t="shared" si="12"/>
        <v>0</v>
      </c>
    </row>
    <row r="28" spans="1:42" ht="15.75" customHeight="1" x14ac:dyDescent="0.25">
      <c r="A28" s="1" t="s">
        <v>90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7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8"/>
        <v>0</v>
      </c>
      <c r="T28" s="22">
        <f t="shared" si="4"/>
        <v>0</v>
      </c>
      <c r="U28" s="21">
        <f t="shared" si="5"/>
        <v>0</v>
      </c>
      <c r="V28" s="18">
        <f t="shared" si="0"/>
        <v>0</v>
      </c>
      <c r="W28" s="3"/>
      <c r="X28" s="6">
        <f t="shared" si="6"/>
        <v>0</v>
      </c>
      <c r="Y28" s="2"/>
      <c r="Z28" s="2"/>
      <c r="AA28" s="28">
        <f t="shared" si="13"/>
        <v>-10</v>
      </c>
      <c r="AB28" s="30">
        <f t="shared" si="14"/>
        <v>1.1570995792426368</v>
      </c>
      <c r="AC28" s="31">
        <v>631368.7314527405</v>
      </c>
      <c r="AD28" s="36">
        <f t="shared" si="15"/>
        <v>-5.8405368533420523</v>
      </c>
      <c r="AE28" s="2"/>
      <c r="AF28" s="28">
        <f t="shared" si="16"/>
        <v>-10</v>
      </c>
      <c r="AG28" s="32">
        <f t="shared" si="17"/>
        <v>183286.92390122442</v>
      </c>
      <c r="AH28" s="31">
        <v>649269.66081049864</v>
      </c>
      <c r="AI28" s="36">
        <f t="shared" si="18"/>
        <v>-3.1708736055685569</v>
      </c>
      <c r="AK28" s="82">
        <v>10</v>
      </c>
      <c r="AL28" s="83">
        <f t="shared" si="19"/>
        <v>3.1708736055685569</v>
      </c>
      <c r="AM28" s="83">
        <f t="shared" si="11"/>
        <v>5.8405368533420869</v>
      </c>
      <c r="AN28" s="84">
        <f t="shared" si="9"/>
        <v>1.8505575233481428</v>
      </c>
      <c r="AO28" s="84">
        <f t="shared" si="10"/>
        <v>7.691094376690212</v>
      </c>
      <c r="AP28" s="53">
        <f t="shared" si="12"/>
        <v>-5.8405368533420523</v>
      </c>
    </row>
    <row r="29" spans="1:4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7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8"/>
        <v>0</v>
      </c>
      <c r="T29" s="22">
        <f t="shared" si="4"/>
        <v>0</v>
      </c>
      <c r="U29" s="21">
        <f t="shared" si="5"/>
        <v>0</v>
      </c>
      <c r="V29" s="18">
        <f t="shared" si="0"/>
        <v>0</v>
      </c>
      <c r="W29" s="3"/>
      <c r="X29" s="6">
        <f t="shared" si="6"/>
        <v>0</v>
      </c>
      <c r="Y29" s="2"/>
      <c r="Z29" s="2"/>
      <c r="AA29" s="41">
        <v>0</v>
      </c>
      <c r="AB29" s="42">
        <f t="shared" si="14"/>
        <v>1.2856661991584855</v>
      </c>
      <c r="AC29" s="43">
        <v>670531.36281092954</v>
      </c>
      <c r="AD29" s="44">
        <f t="shared" si="15"/>
        <v>0</v>
      </c>
      <c r="AE29" s="2"/>
      <c r="AF29" s="41">
        <v>0</v>
      </c>
      <c r="AG29" s="45">
        <f t="shared" si="17"/>
        <v>203652.13766802714</v>
      </c>
      <c r="AH29" s="43">
        <v>670531.36281092954</v>
      </c>
      <c r="AI29" s="44">
        <f t="shared" si="18"/>
        <v>0</v>
      </c>
      <c r="AK29" s="82">
        <v>20</v>
      </c>
      <c r="AL29" s="83">
        <f t="shared" si="19"/>
        <v>6.3417472111371307</v>
      </c>
      <c r="AM29" s="83">
        <f t="shared" si="11"/>
        <v>11.681073706684138</v>
      </c>
      <c r="AN29" s="84">
        <f t="shared" si="9"/>
        <v>3.701115046696251</v>
      </c>
      <c r="AO29" s="84">
        <f t="shared" si="10"/>
        <v>15.38218875338039</v>
      </c>
      <c r="AP29" s="53">
        <f t="shared" si="12"/>
        <v>-11.681073706684156</v>
      </c>
    </row>
    <row r="30" spans="1:42" ht="15.75" customHeight="1" x14ac:dyDescent="0.25">
      <c r="A30" s="7" t="s">
        <v>91</v>
      </c>
      <c r="B30" s="8"/>
      <c r="C30" s="8"/>
      <c r="D30" s="8"/>
      <c r="E30" s="10" t="s">
        <v>92</v>
      </c>
      <c r="F30" s="8"/>
      <c r="G30" s="8"/>
      <c r="H30" s="8"/>
      <c r="I30" s="10"/>
      <c r="J30" s="46"/>
      <c r="K30" s="8"/>
      <c r="L30" s="9"/>
      <c r="M30" s="2"/>
      <c r="N30" s="11">
        <f t="shared" si="7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8"/>
        <v>0</v>
      </c>
      <c r="T30" s="22">
        <f t="shared" si="4"/>
        <v>0</v>
      </c>
      <c r="U30" s="21">
        <f t="shared" si="5"/>
        <v>0</v>
      </c>
      <c r="V30" s="18">
        <f t="shared" si="0"/>
        <v>0</v>
      </c>
      <c r="W30" s="3"/>
      <c r="X30" s="6">
        <f t="shared" si="6"/>
        <v>0</v>
      </c>
      <c r="Y30" s="2"/>
      <c r="Z30" s="2"/>
      <c r="AA30" s="28">
        <f t="shared" ref="AA30:AA34" si="20">AA29+10</f>
        <v>10</v>
      </c>
      <c r="AB30" s="30">
        <f t="shared" si="14"/>
        <v>1.4142328190743341</v>
      </c>
      <c r="AC30" s="31">
        <v>709693.99416911881</v>
      </c>
      <c r="AD30" s="36">
        <f t="shared" si="15"/>
        <v>5.8405368533420869</v>
      </c>
      <c r="AE30" s="2"/>
      <c r="AF30" s="28">
        <f t="shared" ref="AF30:AF34" si="21">AF29+10</f>
        <v>10</v>
      </c>
      <c r="AG30" s="32">
        <f t="shared" si="17"/>
        <v>224017.35143482988</v>
      </c>
      <c r="AH30" s="31">
        <v>691793.06481136044</v>
      </c>
      <c r="AI30" s="36">
        <f t="shared" si="18"/>
        <v>3.1708736055685569</v>
      </c>
      <c r="AK30" s="82">
        <v>30</v>
      </c>
      <c r="AL30" s="83">
        <f t="shared" si="19"/>
        <v>9.512620816705688</v>
      </c>
      <c r="AM30" s="83">
        <f t="shared" si="11"/>
        <v>17.521610560026208</v>
      </c>
      <c r="AN30" s="84">
        <f t="shared" si="9"/>
        <v>5.551672570044377</v>
      </c>
      <c r="AO30" s="84">
        <f t="shared" si="10"/>
        <v>23.073283130070603</v>
      </c>
      <c r="AP30" s="53">
        <f t="shared" si="12"/>
        <v>-17.521610560026208</v>
      </c>
    </row>
    <row r="31" spans="1:42" ht="15.75" customHeight="1" x14ac:dyDescent="0.25">
      <c r="A31" s="25" t="s">
        <v>158</v>
      </c>
      <c r="B31" s="6">
        <f>IF(B11=0,0,-(B11/B8))</f>
        <v>0</v>
      </c>
      <c r="C31" s="2" t="s">
        <v>3</v>
      </c>
      <c r="D31" s="2"/>
      <c r="E31" s="16" t="s">
        <v>94</v>
      </c>
      <c r="F31" s="24">
        <f>(J16/100)*B47</f>
        <v>61095.641300408141</v>
      </c>
      <c r="G31" s="2" t="s">
        <v>3</v>
      </c>
      <c r="H31" s="2"/>
      <c r="I31" s="1" t="s">
        <v>168</v>
      </c>
      <c r="J31" s="47">
        <f>SUM(J32:J35)</f>
        <v>16280.603691444601</v>
      </c>
      <c r="K31" s="1" t="s">
        <v>50</v>
      </c>
      <c r="L31" s="15"/>
      <c r="M31" s="2"/>
      <c r="N31" s="11">
        <f t="shared" si="7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8"/>
        <v>0</v>
      </c>
      <c r="T31" s="22">
        <f t="shared" si="4"/>
        <v>0</v>
      </c>
      <c r="U31" s="21">
        <f t="shared" si="5"/>
        <v>0</v>
      </c>
      <c r="V31" s="18">
        <f t="shared" si="0"/>
        <v>0</v>
      </c>
      <c r="W31" s="3"/>
      <c r="X31" s="6">
        <f t="shared" si="6"/>
        <v>0</v>
      </c>
      <c r="Y31" s="2"/>
      <c r="Z31" s="2"/>
      <c r="AA31" s="28">
        <f t="shared" si="20"/>
        <v>20</v>
      </c>
      <c r="AB31" s="30">
        <f t="shared" si="14"/>
        <v>1.5427994389901825</v>
      </c>
      <c r="AC31" s="31">
        <v>748856.62552730786</v>
      </c>
      <c r="AD31" s="36">
        <f t="shared" si="15"/>
        <v>11.681073706684138</v>
      </c>
      <c r="AE31" s="2"/>
      <c r="AF31" s="28">
        <f t="shared" si="21"/>
        <v>20</v>
      </c>
      <c r="AG31" s="32">
        <f t="shared" si="17"/>
        <v>244382.56520163256</v>
      </c>
      <c r="AH31" s="31">
        <v>713054.76681179146</v>
      </c>
      <c r="AI31" s="36">
        <f t="shared" si="18"/>
        <v>6.3417472111371307</v>
      </c>
      <c r="AK31" s="82">
        <v>40</v>
      </c>
      <c r="AL31" s="83">
        <f t="shared" si="19"/>
        <v>12.683494422274244</v>
      </c>
      <c r="AM31" s="83">
        <f t="shared" si="11"/>
        <v>23.362147413368277</v>
      </c>
      <c r="AN31" s="84">
        <f t="shared" si="9"/>
        <v>7.4022300933924852</v>
      </c>
      <c r="AO31" s="84">
        <f t="shared" si="10"/>
        <v>30.764377506760766</v>
      </c>
      <c r="AP31" s="53">
        <f t="shared" si="12"/>
        <v>-23.362147413368277</v>
      </c>
    </row>
    <row r="32" spans="1:42" ht="15.75" customHeight="1" x14ac:dyDescent="0.25">
      <c r="A32" s="25" t="s">
        <v>45</v>
      </c>
      <c r="B32" s="6">
        <f>IF(B12=0,0,-(B12/100)*$B$45)</f>
        <v>0</v>
      </c>
      <c r="C32" s="2" t="s">
        <v>3</v>
      </c>
      <c r="D32" s="2"/>
      <c r="E32" s="16" t="s">
        <v>96</v>
      </c>
      <c r="F32" s="6">
        <f>B47-F31</f>
        <v>142556.49636761899</v>
      </c>
      <c r="G32" s="2" t="s">
        <v>3</v>
      </c>
      <c r="H32" s="2"/>
      <c r="I32" s="16" t="s">
        <v>73</v>
      </c>
      <c r="J32" s="14">
        <f>F18/$B$8</f>
        <v>210.9396914446003</v>
      </c>
      <c r="K32" s="2" t="s">
        <v>50</v>
      </c>
      <c r="L32" s="15"/>
      <c r="M32" s="2"/>
      <c r="N32" s="11">
        <f t="shared" si="7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8"/>
        <v>0</v>
      </c>
      <c r="T32" s="22">
        <f t="shared" si="4"/>
        <v>0</v>
      </c>
      <c r="U32" s="21">
        <f t="shared" si="5"/>
        <v>0</v>
      </c>
      <c r="V32" s="18">
        <f t="shared" si="0"/>
        <v>0</v>
      </c>
      <c r="W32" s="3"/>
      <c r="X32" s="6">
        <f t="shared" si="6"/>
        <v>0</v>
      </c>
      <c r="Y32" s="2"/>
      <c r="Z32" s="2"/>
      <c r="AA32" s="28">
        <f t="shared" si="20"/>
        <v>30</v>
      </c>
      <c r="AB32" s="30">
        <f t="shared" si="14"/>
        <v>1.6713660589060311</v>
      </c>
      <c r="AC32" s="31">
        <v>788019.25688549702</v>
      </c>
      <c r="AD32" s="36">
        <f t="shared" si="15"/>
        <v>17.521610560026208</v>
      </c>
      <c r="AE32" s="2"/>
      <c r="AF32" s="28">
        <f t="shared" si="21"/>
        <v>30</v>
      </c>
      <c r="AG32" s="32">
        <f t="shared" si="17"/>
        <v>264747.7789684353</v>
      </c>
      <c r="AH32" s="31">
        <v>734316.46881222236</v>
      </c>
      <c r="AI32" s="36">
        <f t="shared" si="18"/>
        <v>9.512620816705688</v>
      </c>
      <c r="AK32" s="82">
        <v>50</v>
      </c>
      <c r="AL32" s="83">
        <f t="shared" si="19"/>
        <v>15.854368027842819</v>
      </c>
      <c r="AM32" s="83">
        <f t="shared" si="11"/>
        <v>29.202684266710367</v>
      </c>
      <c r="AN32" s="84">
        <f t="shared" si="9"/>
        <v>9.252787616740628</v>
      </c>
      <c r="AO32" s="84">
        <f t="shared" si="10"/>
        <v>38.45547188345099</v>
      </c>
      <c r="AP32" s="53">
        <f t="shared" si="12"/>
        <v>-29.202684266710367</v>
      </c>
    </row>
    <row r="33" spans="1:35" ht="15.75" customHeight="1" x14ac:dyDescent="0.25">
      <c r="A33" s="25" t="s">
        <v>51</v>
      </c>
      <c r="B33" s="6">
        <f>IF(B13=0,0,(B13/100)*($B$44+B36+B35))</f>
        <v>11224.356650960493</v>
      </c>
      <c r="C33" s="2" t="s">
        <v>3</v>
      </c>
      <c r="D33" s="2"/>
      <c r="E33" s="16" t="s">
        <v>97</v>
      </c>
      <c r="F33" s="24">
        <f>F32*(F20/100)*J15</f>
        <v>32431.602923633323</v>
      </c>
      <c r="G33" s="2" t="s">
        <v>3</v>
      </c>
      <c r="H33" s="2"/>
      <c r="I33" s="16" t="s">
        <v>65</v>
      </c>
      <c r="J33" s="14">
        <f>F15/$B$8</f>
        <v>0</v>
      </c>
      <c r="K33" s="2" t="s">
        <v>50</v>
      </c>
      <c r="L33" s="15"/>
      <c r="M33" s="2"/>
      <c r="N33" s="11">
        <f t="shared" si="7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8"/>
        <v>0</v>
      </c>
      <c r="T33" s="22">
        <f t="shared" si="4"/>
        <v>0</v>
      </c>
      <c r="U33" s="21">
        <f t="shared" si="5"/>
        <v>0</v>
      </c>
      <c r="V33" s="18">
        <f t="shared" si="0"/>
        <v>0</v>
      </c>
      <c r="W33" s="3"/>
      <c r="X33" s="6">
        <f t="shared" si="6"/>
        <v>0</v>
      </c>
      <c r="Y33" s="2"/>
      <c r="Z33" s="2"/>
      <c r="AA33" s="28">
        <f t="shared" si="20"/>
        <v>40</v>
      </c>
      <c r="AB33" s="30">
        <f t="shared" si="14"/>
        <v>1.7999326788218795</v>
      </c>
      <c r="AC33" s="31">
        <v>827181.88824368617</v>
      </c>
      <c r="AD33" s="36">
        <f t="shared" si="15"/>
        <v>23.362147413368277</v>
      </c>
      <c r="AE33" s="2"/>
      <c r="AF33" s="28">
        <f t="shared" si="21"/>
        <v>40</v>
      </c>
      <c r="AG33" s="32">
        <f t="shared" si="17"/>
        <v>285112.99273523799</v>
      </c>
      <c r="AH33" s="31">
        <v>755578.17081265326</v>
      </c>
      <c r="AI33" s="36">
        <f t="shared" si="18"/>
        <v>12.683494422274244</v>
      </c>
    </row>
    <row r="34" spans="1:35" ht="15.75" customHeight="1" x14ac:dyDescent="0.25">
      <c r="A34" s="25" t="s">
        <v>55</v>
      </c>
      <c r="B34" s="6">
        <f>IF(B14=0,0,(B14/100)*($B$44+B35+B36))</f>
        <v>32069.590431315693</v>
      </c>
      <c r="C34" s="2" t="s">
        <v>3</v>
      </c>
      <c r="D34" s="2"/>
      <c r="E34" s="2"/>
      <c r="F34" s="35"/>
      <c r="G34" s="2"/>
      <c r="H34" s="2"/>
      <c r="I34" s="16" t="s">
        <v>49</v>
      </c>
      <c r="J34" s="20">
        <f>F19*F12/$B$8</f>
        <v>16069.664000000001</v>
      </c>
      <c r="K34" s="2" t="s">
        <v>50</v>
      </c>
      <c r="L34" s="15"/>
      <c r="M34" s="2"/>
      <c r="N34" s="11">
        <f t="shared" si="7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8"/>
        <v>0</v>
      </c>
      <c r="T34" s="22">
        <f t="shared" si="4"/>
        <v>0</v>
      </c>
      <c r="U34" s="21">
        <f t="shared" si="5"/>
        <v>0</v>
      </c>
      <c r="V34" s="18">
        <f t="shared" si="0"/>
        <v>0</v>
      </c>
      <c r="W34" s="3"/>
      <c r="X34" s="6">
        <f t="shared" si="6"/>
        <v>0</v>
      </c>
      <c r="Y34" s="2"/>
      <c r="Z34" s="2"/>
      <c r="AA34" s="28">
        <f t="shared" si="20"/>
        <v>50</v>
      </c>
      <c r="AB34" s="30">
        <f t="shared" si="14"/>
        <v>1.9284992987377283</v>
      </c>
      <c r="AC34" s="31">
        <v>866344.51960187545</v>
      </c>
      <c r="AD34" s="36">
        <f t="shared" si="15"/>
        <v>29.202684266710367</v>
      </c>
      <c r="AE34" s="2"/>
      <c r="AF34" s="28">
        <f t="shared" si="21"/>
        <v>50</v>
      </c>
      <c r="AG34" s="32">
        <f t="shared" si="17"/>
        <v>305478.20650204073</v>
      </c>
      <c r="AH34" s="31">
        <v>776839.87281308428</v>
      </c>
      <c r="AI34" s="36">
        <f t="shared" si="18"/>
        <v>15.854368027842819</v>
      </c>
    </row>
    <row r="35" spans="1:35" ht="15.75" customHeight="1" x14ac:dyDescent="0.25">
      <c r="A35" s="16" t="s">
        <v>70</v>
      </c>
      <c r="B35" s="5">
        <f>IF(B18=0,0,(B18/100)*$B$44)/(1-(1.1*B18/100))</f>
        <v>16034.795215657847</v>
      </c>
      <c r="C35" s="2" t="s">
        <v>3</v>
      </c>
      <c r="D35" s="2"/>
      <c r="E35" s="1" t="s">
        <v>100</v>
      </c>
      <c r="F35" s="2"/>
      <c r="G35" s="2"/>
      <c r="H35" s="2"/>
      <c r="I35" s="2"/>
      <c r="J35" s="35"/>
      <c r="K35" s="2"/>
      <c r="L35" s="15"/>
      <c r="M35" s="2"/>
      <c r="N35" s="11">
        <f t="shared" si="7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8"/>
        <v>0</v>
      </c>
      <c r="T35" s="22">
        <f t="shared" si="4"/>
        <v>0</v>
      </c>
      <c r="U35" s="21">
        <f t="shared" si="5"/>
        <v>0</v>
      </c>
      <c r="V35" s="18">
        <f t="shared" si="0"/>
        <v>0</v>
      </c>
      <c r="W35" s="3"/>
      <c r="X35" s="6">
        <f t="shared" si="6"/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x14ac:dyDescent="0.25">
      <c r="A36" s="25" t="s">
        <v>134</v>
      </c>
      <c r="B36" s="6">
        <f>B19%*B35</f>
        <v>1603.4795215657848</v>
      </c>
      <c r="C36" s="2" t="s">
        <v>3</v>
      </c>
      <c r="D36" s="2"/>
      <c r="E36" s="16" t="s">
        <v>163</v>
      </c>
      <c r="F36" s="14">
        <f>F13/$B$8</f>
        <v>1.2856661991584855</v>
      </c>
      <c r="G36" s="2" t="s">
        <v>129</v>
      </c>
      <c r="H36" s="2"/>
      <c r="I36" s="2"/>
      <c r="J36" s="2"/>
      <c r="K36" s="2"/>
      <c r="L36" s="15"/>
      <c r="M36" s="2"/>
      <c r="N36" s="11">
        <f t="shared" si="7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8"/>
        <v>0</v>
      </c>
      <c r="T36" s="22">
        <f t="shared" si="4"/>
        <v>0</v>
      </c>
      <c r="U36" s="21">
        <f t="shared" si="5"/>
        <v>0</v>
      </c>
      <c r="V36" s="18">
        <f t="shared" si="0"/>
        <v>0</v>
      </c>
      <c r="W36" s="3"/>
      <c r="X36" s="6">
        <f t="shared" si="6"/>
        <v>0</v>
      </c>
      <c r="Y36" s="2"/>
      <c r="Z36" s="2"/>
      <c r="AA36" s="27" t="s">
        <v>49</v>
      </c>
      <c r="AB36" s="28"/>
      <c r="AC36" s="28"/>
      <c r="AD36" s="28"/>
      <c r="AE36" s="2"/>
      <c r="AF36" s="27" t="s">
        <v>101</v>
      </c>
      <c r="AG36" s="28"/>
      <c r="AH36" s="28"/>
      <c r="AI36" s="28"/>
    </row>
    <row r="37" spans="1:35" ht="15.75" customHeight="1" x14ac:dyDescent="0.25">
      <c r="A37" s="25" t="s">
        <v>74</v>
      </c>
      <c r="B37" s="6">
        <f>IF(B20=0,0,(B20/100)*$B$44)</f>
        <v>0</v>
      </c>
      <c r="C37" s="2" t="s">
        <v>3</v>
      </c>
      <c r="D37" s="2"/>
      <c r="E37" s="16" t="s">
        <v>164</v>
      </c>
      <c r="F37" s="48">
        <f>F36*J10</f>
        <v>0.62997643758765787</v>
      </c>
      <c r="G37" s="2" t="s">
        <v>4</v>
      </c>
      <c r="H37" s="2"/>
      <c r="I37" s="2"/>
      <c r="J37" s="2"/>
      <c r="K37" s="2"/>
      <c r="L37" s="15"/>
      <c r="M37" s="2"/>
      <c r="N37" s="11">
        <f t="shared" si="7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8"/>
        <v>0</v>
      </c>
      <c r="T37" s="22">
        <f t="shared" si="4"/>
        <v>0</v>
      </c>
      <c r="U37" s="21">
        <f t="shared" si="5"/>
        <v>0</v>
      </c>
      <c r="V37" s="18">
        <f t="shared" si="0"/>
        <v>0</v>
      </c>
      <c r="W37" s="3"/>
      <c r="X37" s="6">
        <f t="shared" si="6"/>
        <v>0</v>
      </c>
      <c r="Y37" s="2"/>
      <c r="Z37" s="2"/>
      <c r="AA37" s="28" t="s">
        <v>79</v>
      </c>
      <c r="AB37" s="28" t="s">
        <v>137</v>
      </c>
      <c r="AC37" s="28" t="s">
        <v>24</v>
      </c>
      <c r="AD37" s="28" t="s">
        <v>81</v>
      </c>
      <c r="AE37" s="2"/>
      <c r="AF37" s="28" t="s">
        <v>79</v>
      </c>
      <c r="AG37" s="28" t="s">
        <v>105</v>
      </c>
      <c r="AH37" s="28" t="s">
        <v>24</v>
      </c>
      <c r="AI37" s="28" t="s">
        <v>81</v>
      </c>
    </row>
    <row r="38" spans="1:35" ht="15.75" customHeight="1" x14ac:dyDescent="0.25">
      <c r="A38" s="25" t="s">
        <v>167</v>
      </c>
      <c r="B38" s="14">
        <f>IF(B17=0,0,(B17/B8))</f>
        <v>10.23842917251052</v>
      </c>
      <c r="C38" s="2" t="s">
        <v>3</v>
      </c>
      <c r="D38" s="2"/>
      <c r="E38" s="16" t="s">
        <v>138</v>
      </c>
      <c r="F38" s="35">
        <f>F37*F12</f>
        <v>48670.719615147274</v>
      </c>
      <c r="G38" s="26" t="s">
        <v>50</v>
      </c>
      <c r="H38" s="2"/>
      <c r="I38" s="2"/>
      <c r="J38" s="2"/>
      <c r="K38" s="2"/>
      <c r="L38" s="15"/>
      <c r="M38" s="2"/>
      <c r="N38" s="11">
        <f t="shared" si="7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8"/>
        <v>0</v>
      </c>
      <c r="T38" s="22">
        <f t="shared" si="4"/>
        <v>0</v>
      </c>
      <c r="U38" s="21">
        <f t="shared" si="5"/>
        <v>0</v>
      </c>
      <c r="V38" s="18">
        <f t="shared" si="0"/>
        <v>0</v>
      </c>
      <c r="W38" s="3"/>
      <c r="X38" s="6">
        <f t="shared" si="6"/>
        <v>0</v>
      </c>
      <c r="Y38" s="2"/>
      <c r="Z38" s="2"/>
      <c r="AA38" s="28" t="s">
        <v>85</v>
      </c>
      <c r="AB38" s="30">
        <v>16069.664000000001</v>
      </c>
      <c r="AC38" s="31">
        <f>V49</f>
        <v>670531.36281092954</v>
      </c>
      <c r="AD38" s="28"/>
      <c r="AE38" s="2"/>
      <c r="AF38" s="28" t="s">
        <v>85</v>
      </c>
      <c r="AG38" s="32">
        <v>77258</v>
      </c>
      <c r="AH38" s="31">
        <f>V49</f>
        <v>670531.36281092954</v>
      </c>
      <c r="AI38" s="28"/>
    </row>
    <row r="39" spans="1:35" ht="15.75" customHeight="1" x14ac:dyDescent="0.25">
      <c r="A39" s="25"/>
      <c r="B39" s="6"/>
      <c r="C39" s="2"/>
      <c r="D39" s="2"/>
      <c r="E39" s="2"/>
      <c r="F39" s="2"/>
      <c r="G39" s="2"/>
      <c r="H39" s="2"/>
      <c r="I39" s="1" t="s">
        <v>111</v>
      </c>
      <c r="J39" s="2"/>
      <c r="K39" s="2"/>
      <c r="L39" s="15"/>
      <c r="M39" s="2"/>
      <c r="N39" s="11">
        <f t="shared" si="7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8"/>
        <v>0</v>
      </c>
      <c r="T39" s="22">
        <f t="shared" si="4"/>
        <v>0</v>
      </c>
      <c r="U39" s="21">
        <f t="shared" si="5"/>
        <v>0</v>
      </c>
      <c r="V39" s="18">
        <f t="shared" si="0"/>
        <v>0</v>
      </c>
      <c r="W39" s="3"/>
      <c r="X39" s="6">
        <f t="shared" si="6"/>
        <v>0</v>
      </c>
      <c r="Y39" s="2"/>
      <c r="Z39" s="2"/>
      <c r="AA39" s="28">
        <f t="shared" ref="AA39:AA43" si="22">AA40-10</f>
        <v>-50</v>
      </c>
      <c r="AB39" s="30">
        <f t="shared" ref="AB39:AB49" si="23">$AB$38*(1+(AA39/100))</f>
        <v>8034.8320000000003</v>
      </c>
      <c r="AC39" s="31">
        <f t="dataTable" ref="AC39:AC49" dt2D="0" dtr="0" r1="J34" ca="1"/>
        <v>608488.51990639779</v>
      </c>
      <c r="AD39" s="36">
        <f t="shared" ref="AD39:AD49" si="24">100*((AC39-$AC$44)/$AC$44)</f>
        <v>-9.252787616740612</v>
      </c>
      <c r="AE39" s="2"/>
      <c r="AF39" s="28">
        <f t="shared" ref="AF39:AF43" si="25">AF40-10</f>
        <v>-50</v>
      </c>
      <c r="AG39" s="32">
        <f t="shared" ref="AG39:AG49" si="26">$AG$38*(1+(AF39/100))</f>
        <v>38629</v>
      </c>
      <c r="AH39" s="31">
        <f t="dataTable" ref="AH39:AH49" dt2D="0" dtr="0" r1="F12" ca="1"/>
        <v>412675.36311545182</v>
      </c>
      <c r="AI39" s="36">
        <f t="shared" ref="AI39:AI49" si="27">100*((AH39-$AH$44)/$AH$44)</f>
        <v>-38.455471883450983</v>
      </c>
    </row>
    <row r="40" spans="1:35" ht="15.75" customHeight="1" x14ac:dyDescent="0.25">
      <c r="A40" s="2"/>
      <c r="B40" s="2"/>
      <c r="C40" s="2"/>
      <c r="D40" s="2"/>
      <c r="E40" s="2"/>
      <c r="F40" s="2"/>
      <c r="G40" s="2"/>
      <c r="H40" s="2"/>
      <c r="I40" s="16" t="s">
        <v>114</v>
      </c>
      <c r="J40" s="14">
        <f>F23/$B$8</f>
        <v>5.6100981767180924</v>
      </c>
      <c r="K40" s="2" t="s">
        <v>50</v>
      </c>
      <c r="L40" s="15"/>
      <c r="M40" s="2"/>
      <c r="N40" s="11">
        <f t="shared" si="7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8"/>
        <v>0</v>
      </c>
      <c r="T40" s="22">
        <f t="shared" si="4"/>
        <v>0</v>
      </c>
      <c r="U40" s="21">
        <f t="shared" si="5"/>
        <v>0</v>
      </c>
      <c r="V40" s="18">
        <f t="shared" si="0"/>
        <v>0</v>
      </c>
      <c r="W40" s="3"/>
      <c r="X40" s="6">
        <f t="shared" si="6"/>
        <v>0</v>
      </c>
      <c r="Y40" s="2"/>
      <c r="Z40" s="2"/>
      <c r="AA40" s="28">
        <f t="shared" si="22"/>
        <v>-40</v>
      </c>
      <c r="AB40" s="30">
        <f t="shared" si="23"/>
        <v>9641.7983999999997</v>
      </c>
      <c r="AC40" s="31">
        <v>620897.08848730405</v>
      </c>
      <c r="AD40" s="36">
        <f t="shared" si="24"/>
        <v>-7.402230093392502</v>
      </c>
      <c r="AE40" s="2"/>
      <c r="AF40" s="28">
        <f t="shared" si="25"/>
        <v>-40</v>
      </c>
      <c r="AG40" s="32">
        <f t="shared" si="26"/>
        <v>46354.799999999996</v>
      </c>
      <c r="AH40" s="31">
        <v>464246.5630545473</v>
      </c>
      <c r="AI40" s="36">
        <f t="shared" si="27"/>
        <v>-30.764377506760798</v>
      </c>
    </row>
    <row r="41" spans="1:35" ht="15.75" customHeight="1" x14ac:dyDescent="0.25">
      <c r="A41" s="2"/>
      <c r="B41" s="2"/>
      <c r="C41" s="2"/>
      <c r="D41" s="2"/>
      <c r="E41" s="16" t="s">
        <v>98</v>
      </c>
      <c r="F41" s="6">
        <f>F12*B5</f>
        <v>772580</v>
      </c>
      <c r="G41" s="2" t="s">
        <v>99</v>
      </c>
      <c r="H41" s="2"/>
      <c r="I41" s="16" t="s">
        <v>112</v>
      </c>
      <c r="J41" s="14">
        <f>(F17%*F16)/B8</f>
        <v>81.34642356241234</v>
      </c>
      <c r="K41" s="2" t="s">
        <v>50</v>
      </c>
      <c r="L41" s="15"/>
      <c r="M41" s="2"/>
      <c r="N41" s="11">
        <f t="shared" si="7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8"/>
        <v>0</v>
      </c>
      <c r="T41" s="22">
        <f t="shared" si="4"/>
        <v>0</v>
      </c>
      <c r="U41" s="21">
        <f t="shared" si="5"/>
        <v>0</v>
      </c>
      <c r="V41" s="18">
        <f t="shared" si="0"/>
        <v>0</v>
      </c>
      <c r="W41" s="3"/>
      <c r="X41" s="6">
        <f t="shared" si="6"/>
        <v>0</v>
      </c>
      <c r="Y41" s="2"/>
      <c r="Z41" s="2"/>
      <c r="AA41" s="28">
        <f t="shared" si="22"/>
        <v>-30</v>
      </c>
      <c r="AB41" s="30">
        <f t="shared" si="23"/>
        <v>11248.764799999999</v>
      </c>
      <c r="AC41" s="31">
        <v>633305.65706821054</v>
      </c>
      <c r="AD41" s="36">
        <f t="shared" si="24"/>
        <v>-5.5516725700443592</v>
      </c>
      <c r="AE41" s="2"/>
      <c r="AF41" s="28">
        <f t="shared" si="25"/>
        <v>-30</v>
      </c>
      <c r="AG41" s="32">
        <f t="shared" si="26"/>
        <v>54080.6</v>
      </c>
      <c r="AH41" s="31">
        <v>515817.76299364294</v>
      </c>
      <c r="AI41" s="36">
        <f t="shared" si="27"/>
        <v>-23.073283130070585</v>
      </c>
    </row>
    <row r="42" spans="1:35" ht="15.75" customHeight="1" x14ac:dyDescent="0.25">
      <c r="A42" s="23" t="s">
        <v>110</v>
      </c>
      <c r="B42" s="3"/>
      <c r="C42" s="1"/>
      <c r="D42" s="2"/>
      <c r="E42" s="16"/>
      <c r="F42" s="14"/>
      <c r="G42" s="2"/>
      <c r="H42" s="2"/>
      <c r="I42" s="1"/>
      <c r="J42" s="2"/>
      <c r="K42" s="2"/>
      <c r="L42" s="15"/>
      <c r="M42" s="2"/>
      <c r="N42" s="11">
        <f t="shared" si="7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8"/>
        <v>0</v>
      </c>
      <c r="T42" s="22">
        <f t="shared" si="4"/>
        <v>0</v>
      </c>
      <c r="U42" s="21">
        <f t="shared" si="5"/>
        <v>0</v>
      </c>
      <c r="V42" s="18">
        <f t="shared" si="0"/>
        <v>0</v>
      </c>
      <c r="W42" s="3"/>
      <c r="X42" s="6">
        <f t="shared" si="6"/>
        <v>0</v>
      </c>
      <c r="Y42" s="2"/>
      <c r="Z42" s="2"/>
      <c r="AA42" s="28">
        <f t="shared" si="22"/>
        <v>-20</v>
      </c>
      <c r="AB42" s="30">
        <f t="shared" si="23"/>
        <v>12855.731200000002</v>
      </c>
      <c r="AC42" s="31">
        <v>645714.22564911679</v>
      </c>
      <c r="AD42" s="36">
        <f t="shared" si="24"/>
        <v>-3.701115046696251</v>
      </c>
      <c r="AE42" s="2"/>
      <c r="AF42" s="28">
        <f t="shared" si="25"/>
        <v>-20</v>
      </c>
      <c r="AG42" s="32">
        <f t="shared" si="26"/>
        <v>61806.400000000001</v>
      </c>
      <c r="AH42" s="31">
        <v>567388.96293273848</v>
      </c>
      <c r="AI42" s="36">
        <f t="shared" si="27"/>
        <v>-15.38218875338039</v>
      </c>
    </row>
    <row r="43" spans="1:35" ht="15.75" customHeight="1" x14ac:dyDescent="0.25">
      <c r="A43" s="16" t="s">
        <v>183</v>
      </c>
      <c r="B43" s="6">
        <f>J8/B8</f>
        <v>101935.48387096774</v>
      </c>
      <c r="C43" s="2" t="s">
        <v>3</v>
      </c>
      <c r="D43" s="2"/>
      <c r="E43" s="2"/>
      <c r="F43" s="2"/>
      <c r="G43" s="2"/>
      <c r="H43" s="2"/>
      <c r="I43" s="16"/>
      <c r="J43" s="20"/>
      <c r="K43" s="2"/>
      <c r="L43" s="15"/>
      <c r="M43" s="2"/>
      <c r="N43" s="11">
        <f t="shared" si="7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8"/>
        <v>0</v>
      </c>
      <c r="T43" s="22">
        <f t="shared" si="4"/>
        <v>0</v>
      </c>
      <c r="U43" s="21">
        <f t="shared" si="5"/>
        <v>0</v>
      </c>
      <c r="V43" s="18">
        <f t="shared" si="0"/>
        <v>0</v>
      </c>
      <c r="W43" s="3"/>
      <c r="X43" s="6">
        <f t="shared" si="6"/>
        <v>0</v>
      </c>
      <c r="Y43" s="2"/>
      <c r="Z43" s="2"/>
      <c r="AA43" s="28">
        <f t="shared" si="22"/>
        <v>-10</v>
      </c>
      <c r="AB43" s="30">
        <f t="shared" si="23"/>
        <v>14462.697600000001</v>
      </c>
      <c r="AC43" s="31">
        <v>658122.79423002317</v>
      </c>
      <c r="AD43" s="36">
        <f t="shared" si="24"/>
        <v>-1.8505575233481255</v>
      </c>
      <c r="AE43" s="2"/>
      <c r="AF43" s="28">
        <f t="shared" si="25"/>
        <v>-10</v>
      </c>
      <c r="AG43" s="32">
        <f t="shared" si="26"/>
        <v>69532.2</v>
      </c>
      <c r="AH43" s="31">
        <v>618960.16287183389</v>
      </c>
      <c r="AI43" s="36">
        <f t="shared" si="27"/>
        <v>-7.691094376690212</v>
      </c>
    </row>
    <row r="44" spans="1:35" ht="15.75" customHeight="1" x14ac:dyDescent="0.25">
      <c r="A44" s="2" t="s">
        <v>117</v>
      </c>
      <c r="B44" s="24">
        <f>(1+B16/100)*B43</f>
        <v>142709.67741935482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7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8"/>
        <v>0</v>
      </c>
      <c r="T44" s="22">
        <f t="shared" si="4"/>
        <v>0</v>
      </c>
      <c r="U44" s="21">
        <f t="shared" si="5"/>
        <v>0</v>
      </c>
      <c r="V44" s="18">
        <f t="shared" si="0"/>
        <v>0</v>
      </c>
      <c r="W44" s="3"/>
      <c r="X44" s="6">
        <f t="shared" si="6"/>
        <v>0</v>
      </c>
      <c r="Y44" s="2"/>
      <c r="Z44" s="2"/>
      <c r="AA44" s="41">
        <v>0</v>
      </c>
      <c r="AB44" s="42">
        <f t="shared" si="23"/>
        <v>16069.664000000001</v>
      </c>
      <c r="AC44" s="43">
        <v>670531.36281092954</v>
      </c>
      <c r="AD44" s="44">
        <f t="shared" si="24"/>
        <v>0</v>
      </c>
      <c r="AE44" s="2"/>
      <c r="AF44" s="41">
        <v>0</v>
      </c>
      <c r="AG44" s="45">
        <f t="shared" si="26"/>
        <v>77258</v>
      </c>
      <c r="AH44" s="43">
        <v>670531.36281092954</v>
      </c>
      <c r="AI44" s="44">
        <f t="shared" si="27"/>
        <v>0</v>
      </c>
    </row>
    <row r="45" spans="1:35" ht="15.75" customHeight="1" x14ac:dyDescent="0.25">
      <c r="A45" s="25" t="s">
        <v>139</v>
      </c>
      <c r="B45" s="6">
        <f>SUM(B33:B38)+B44</f>
        <v>203652.13766802714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7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8"/>
        <v>0</v>
      </c>
      <c r="T45" s="22">
        <f t="shared" si="4"/>
        <v>0</v>
      </c>
      <c r="U45" s="21">
        <f t="shared" si="5"/>
        <v>0</v>
      </c>
      <c r="V45" s="18">
        <f t="shared" si="0"/>
        <v>0</v>
      </c>
      <c r="W45" s="3"/>
      <c r="X45" s="6">
        <f t="shared" si="6"/>
        <v>0</v>
      </c>
      <c r="Y45" s="2"/>
      <c r="Z45" s="2"/>
      <c r="AA45" s="28">
        <f t="shared" ref="AA45:AA49" si="28">AA44+10</f>
        <v>10</v>
      </c>
      <c r="AB45" s="30">
        <f t="shared" si="23"/>
        <v>17676.630400000002</v>
      </c>
      <c r="AC45" s="31">
        <v>682939.93139183603</v>
      </c>
      <c r="AD45" s="36">
        <f t="shared" si="24"/>
        <v>1.8505575233481428</v>
      </c>
      <c r="AE45" s="2"/>
      <c r="AF45" s="28">
        <f t="shared" ref="AF45:AF49" si="29">AF44+10</f>
        <v>10</v>
      </c>
      <c r="AG45" s="32">
        <f t="shared" si="26"/>
        <v>84983.8</v>
      </c>
      <c r="AH45" s="31">
        <v>722102.56275002519</v>
      </c>
      <c r="AI45" s="36">
        <f t="shared" si="27"/>
        <v>7.691094376690212</v>
      </c>
    </row>
    <row r="46" spans="1:35" ht="15.75" customHeight="1" x14ac:dyDescent="0.25">
      <c r="A46" s="25" t="s">
        <v>159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7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8"/>
        <v>0</v>
      </c>
      <c r="T46" s="22">
        <f t="shared" si="4"/>
        <v>0</v>
      </c>
      <c r="U46" s="21">
        <f t="shared" si="5"/>
        <v>0</v>
      </c>
      <c r="V46" s="18">
        <f t="shared" si="0"/>
        <v>0</v>
      </c>
      <c r="W46" s="3"/>
      <c r="X46" s="6">
        <f t="shared" si="6"/>
        <v>0</v>
      </c>
      <c r="Y46" s="2"/>
      <c r="Z46" s="2"/>
      <c r="AA46" s="28">
        <f t="shared" si="28"/>
        <v>20</v>
      </c>
      <c r="AB46" s="30">
        <f t="shared" si="23"/>
        <v>19283.596799999999</v>
      </c>
      <c r="AC46" s="31">
        <v>695348.49997274228</v>
      </c>
      <c r="AD46" s="36">
        <f t="shared" si="24"/>
        <v>3.701115046696251</v>
      </c>
      <c r="AE46" s="2"/>
      <c r="AF46" s="28">
        <f t="shared" si="29"/>
        <v>20</v>
      </c>
      <c r="AG46" s="32">
        <f t="shared" si="26"/>
        <v>92709.599999999991</v>
      </c>
      <c r="AH46" s="31">
        <v>773673.7626891206</v>
      </c>
      <c r="AI46" s="36">
        <f t="shared" si="27"/>
        <v>15.38218875338039</v>
      </c>
    </row>
    <row r="47" spans="1:35" ht="15.75" customHeight="1" x14ac:dyDescent="0.25">
      <c r="A47" s="25" t="s">
        <v>160</v>
      </c>
      <c r="B47" s="6">
        <f>SUM(B45:B46)</f>
        <v>203652.13766802714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7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8"/>
        <v>0</v>
      </c>
      <c r="T47" s="22">
        <f t="shared" si="4"/>
        <v>0</v>
      </c>
      <c r="U47" s="21">
        <f t="shared" si="5"/>
        <v>0</v>
      </c>
      <c r="V47" s="18">
        <f t="shared" si="0"/>
        <v>0</v>
      </c>
      <c r="W47" s="3"/>
      <c r="X47" s="6">
        <f t="shared" si="6"/>
        <v>0</v>
      </c>
      <c r="Y47" s="2"/>
      <c r="Z47" s="2"/>
      <c r="AA47" s="28">
        <f t="shared" si="28"/>
        <v>30</v>
      </c>
      <c r="AB47" s="30">
        <f t="shared" si="23"/>
        <v>20890.563200000001</v>
      </c>
      <c r="AC47" s="31">
        <v>707757.06855364866</v>
      </c>
      <c r="AD47" s="36">
        <f t="shared" si="24"/>
        <v>5.551672570044377</v>
      </c>
      <c r="AE47" s="2"/>
      <c r="AF47" s="28">
        <f t="shared" si="29"/>
        <v>30</v>
      </c>
      <c r="AG47" s="32">
        <f t="shared" si="26"/>
        <v>100435.40000000001</v>
      </c>
      <c r="AH47" s="31">
        <v>825244.96262821625</v>
      </c>
      <c r="AI47" s="36">
        <f t="shared" si="27"/>
        <v>23.073283130070603</v>
      </c>
    </row>
    <row r="48" spans="1:3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7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8"/>
        <v>0</v>
      </c>
      <c r="T48" s="22">
        <f t="shared" si="4"/>
        <v>0</v>
      </c>
      <c r="U48" s="21">
        <f t="shared" si="5"/>
        <v>0</v>
      </c>
      <c r="V48" s="18">
        <f t="shared" si="0"/>
        <v>0</v>
      </c>
      <c r="W48" s="3"/>
      <c r="X48" s="6">
        <f t="shared" si="6"/>
        <v>0</v>
      </c>
      <c r="Y48" s="2"/>
      <c r="Z48" s="2"/>
      <c r="AA48" s="28">
        <f t="shared" si="28"/>
        <v>40</v>
      </c>
      <c r="AB48" s="30">
        <f t="shared" si="23"/>
        <v>22497.529599999998</v>
      </c>
      <c r="AC48" s="31">
        <v>720165.63713455491</v>
      </c>
      <c r="AD48" s="36">
        <f t="shared" si="24"/>
        <v>7.4022300933924852</v>
      </c>
      <c r="AE48" s="2"/>
      <c r="AF48" s="28">
        <f t="shared" si="29"/>
        <v>40</v>
      </c>
      <c r="AG48" s="32">
        <f t="shared" si="26"/>
        <v>108161.2</v>
      </c>
      <c r="AH48" s="31">
        <v>876816.16256731155</v>
      </c>
      <c r="AI48" s="36">
        <f t="shared" si="27"/>
        <v>30.764377506760766</v>
      </c>
    </row>
    <row r="49" spans="1:35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118</v>
      </c>
      <c r="O49" s="18">
        <f t="shared" ref="O49:V49" si="30">SUM(O8:O48)</f>
        <v>61095.641300408141</v>
      </c>
      <c r="P49" s="18">
        <f t="shared" si="30"/>
        <v>151521.37870390125</v>
      </c>
      <c r="Q49" s="18">
        <f t="shared" si="30"/>
        <v>391626.31358189177</v>
      </c>
      <c r="R49" s="18">
        <f t="shared" si="30"/>
        <v>125714.50619244298</v>
      </c>
      <c r="S49" s="18">
        <f t="shared" si="30"/>
        <v>16.743397255301868</v>
      </c>
      <c r="T49" s="18">
        <f t="shared" si="30"/>
        <v>548.04103373700298</v>
      </c>
      <c r="U49" s="18">
        <f t="shared" si="30"/>
        <v>-59991.26139870684</v>
      </c>
      <c r="V49" s="18">
        <f t="shared" si="30"/>
        <v>670531.36281092954</v>
      </c>
      <c r="W49" s="3"/>
      <c r="X49" s="3"/>
      <c r="Y49" s="2"/>
      <c r="Z49" s="2"/>
      <c r="AA49" s="28">
        <f t="shared" si="28"/>
        <v>50</v>
      </c>
      <c r="AB49" s="30">
        <f t="shared" si="23"/>
        <v>24104.495999999999</v>
      </c>
      <c r="AC49" s="31">
        <v>732574.2057154614</v>
      </c>
      <c r="AD49" s="36">
        <f t="shared" si="24"/>
        <v>9.252787616740628</v>
      </c>
      <c r="AE49" s="2"/>
      <c r="AF49" s="28">
        <f t="shared" si="29"/>
        <v>50</v>
      </c>
      <c r="AG49" s="32">
        <f t="shared" si="26"/>
        <v>115887</v>
      </c>
      <c r="AH49" s="31">
        <v>928387.36250640731</v>
      </c>
      <c r="AI49" s="36">
        <f t="shared" si="27"/>
        <v>38.45547188345099</v>
      </c>
    </row>
    <row r="50" spans="1:35" ht="15.75" customHeight="1" x14ac:dyDescent="0.25">
      <c r="A50" s="2"/>
      <c r="B50" s="35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4">
        <f>SUM(R49:T49)</f>
        <v>126279.29062343527</v>
      </c>
      <c r="S50" s="2"/>
      <c r="T50" s="2"/>
      <c r="U50" s="2"/>
      <c r="V50" s="2"/>
      <c r="W50" s="2"/>
      <c r="X50" s="2"/>
      <c r="Y50" s="24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7" t="s">
        <v>182</v>
      </c>
      <c r="AB51" s="28"/>
      <c r="AC51" s="28"/>
      <c r="AD51" s="28"/>
      <c r="AE51" s="2"/>
      <c r="AF51" s="2"/>
      <c r="AG51" s="2"/>
      <c r="AH51" s="2"/>
      <c r="AI51" s="2"/>
    </row>
    <row r="52" spans="1:35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8" t="s">
        <v>79</v>
      </c>
      <c r="AB52" s="28" t="s">
        <v>182</v>
      </c>
      <c r="AC52" s="28" t="s">
        <v>24</v>
      </c>
      <c r="AD52" s="28" t="s">
        <v>81</v>
      </c>
      <c r="AE52" s="2"/>
      <c r="AF52" s="2"/>
      <c r="AG52" s="2"/>
      <c r="AH52" s="2"/>
      <c r="AI52" s="2"/>
    </row>
    <row r="53" spans="1:35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35"/>
      <c r="Z53" s="2"/>
      <c r="AA53" s="28" t="s">
        <v>85</v>
      </c>
      <c r="AB53" s="30">
        <v>0.49</v>
      </c>
      <c r="AC53" s="31">
        <f>V49</f>
        <v>670531.36281092954</v>
      </c>
      <c r="AD53" s="28"/>
      <c r="AE53" s="2"/>
      <c r="AF53" s="2"/>
      <c r="AG53" s="2"/>
      <c r="AH53" s="2"/>
      <c r="AI53" s="2"/>
    </row>
    <row r="54" spans="1:3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121</v>
      </c>
      <c r="P54" s="51" t="str">
        <f>B1</f>
        <v>Thailand</v>
      </c>
      <c r="Q54" s="49"/>
      <c r="R54" s="49"/>
      <c r="S54" s="49"/>
      <c r="T54" s="49"/>
      <c r="U54" s="49"/>
      <c r="V54" s="2"/>
      <c r="W54" s="2"/>
      <c r="X54" s="2"/>
      <c r="Y54" s="35"/>
      <c r="Z54" s="2"/>
      <c r="AA54" s="28">
        <f t="shared" ref="AA54:AA58" si="31">AA55-10</f>
        <v>-50</v>
      </c>
      <c r="AB54" s="30">
        <f>$AB$53*(1+(-AA54/100))</f>
        <v>0.73499999999999999</v>
      </c>
      <c r="AC54" s="31">
        <f t="dataTable" ref="AC54:AC64" dt2D="0" dtr="0" r1="J10" ca="1"/>
        <v>866344.51960187545</v>
      </c>
      <c r="AD54" s="36">
        <f>100*((AC54-$AC$59)/$AC$59)</f>
        <v>29.202684266710367</v>
      </c>
      <c r="AE54" s="2"/>
      <c r="AF54" s="2"/>
      <c r="AG54" s="2"/>
      <c r="AH54" s="2"/>
      <c r="AI54" s="2"/>
    </row>
    <row r="55" spans="1:3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122</v>
      </c>
      <c r="P55" s="24">
        <f>SUM(O49:P49)</f>
        <v>212617.02000430939</v>
      </c>
      <c r="Q55" s="2" t="s">
        <v>3</v>
      </c>
      <c r="R55" s="48">
        <f t="shared" ref="R55:R58" si="32">P55/$F$41</f>
        <v>0.2752038882760483</v>
      </c>
      <c r="S55" s="2" t="s">
        <v>4</v>
      </c>
      <c r="T55" s="2"/>
      <c r="U55" s="2"/>
      <c r="V55" s="2"/>
      <c r="W55" s="2"/>
      <c r="X55" s="2"/>
      <c r="Y55" s="35"/>
      <c r="Z55" s="2"/>
      <c r="AA55" s="28">
        <f t="shared" si="31"/>
        <v>-40</v>
      </c>
      <c r="AB55" s="30">
        <f t="shared" ref="AB55:AB64" si="33">$AB$53*(1+(-AA55/100))</f>
        <v>0.68599999999999994</v>
      </c>
      <c r="AC55" s="31">
        <v>827181.88824368617</v>
      </c>
      <c r="AD55" s="36">
        <f t="shared" ref="AD55:AD64" si="34">100*((AC55-$AC$59)/$AC$59)</f>
        <v>23.362147413368277</v>
      </c>
      <c r="AE55" s="2"/>
      <c r="AF55" s="2"/>
      <c r="AG55" s="2"/>
      <c r="AH55" s="2"/>
      <c r="AI55" s="2"/>
    </row>
    <row r="56" spans="1:3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100</v>
      </c>
      <c r="P56" s="24">
        <f>SUM(Q49)</f>
        <v>391626.31358189177</v>
      </c>
      <c r="Q56" s="2" t="s">
        <v>3</v>
      </c>
      <c r="R56" s="48">
        <f t="shared" si="32"/>
        <v>0.50690713399504483</v>
      </c>
      <c r="S56" s="2" t="s">
        <v>4</v>
      </c>
      <c r="T56" s="2"/>
      <c r="U56" s="2"/>
      <c r="V56" s="2"/>
      <c r="W56" s="2"/>
      <c r="X56" s="2"/>
      <c r="Y56" s="35"/>
      <c r="Z56" s="2"/>
      <c r="AA56" s="28">
        <f t="shared" si="31"/>
        <v>-30</v>
      </c>
      <c r="AB56" s="30">
        <f t="shared" si="33"/>
        <v>0.63700000000000001</v>
      </c>
      <c r="AC56" s="31">
        <v>788019.25688549702</v>
      </c>
      <c r="AD56" s="36">
        <f t="shared" si="34"/>
        <v>17.521610560026208</v>
      </c>
      <c r="AE56" s="2"/>
      <c r="AF56" s="2"/>
      <c r="AG56" s="2"/>
      <c r="AH56" s="2"/>
      <c r="AI56" s="2"/>
    </row>
    <row r="57" spans="1:3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123</v>
      </c>
      <c r="P57" s="24">
        <f>SUM(R49:S49)</f>
        <v>125731.24958969827</v>
      </c>
      <c r="Q57" s="2" t="s">
        <v>3</v>
      </c>
      <c r="R57" s="48">
        <f t="shared" si="32"/>
        <v>0.16274204560006508</v>
      </c>
      <c r="S57" s="2" t="s">
        <v>4</v>
      </c>
      <c r="T57" s="2"/>
      <c r="U57" s="2"/>
      <c r="V57" s="2"/>
      <c r="W57" s="2"/>
      <c r="X57" s="2"/>
      <c r="Y57" s="35"/>
      <c r="Z57" s="2"/>
      <c r="AA57" s="28">
        <f t="shared" si="31"/>
        <v>-20</v>
      </c>
      <c r="AB57" s="30">
        <f t="shared" si="33"/>
        <v>0.58799999999999997</v>
      </c>
      <c r="AC57" s="31">
        <v>748856.62552730786</v>
      </c>
      <c r="AD57" s="36">
        <f t="shared" si="34"/>
        <v>11.681073706684138</v>
      </c>
      <c r="AE57" s="2"/>
      <c r="AF57" s="2"/>
      <c r="AG57" s="2"/>
      <c r="AH57" s="2"/>
      <c r="AI57" s="2"/>
    </row>
    <row r="58" spans="1:3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125</v>
      </c>
      <c r="P58" s="24">
        <f>U49</f>
        <v>-59991.26139870684</v>
      </c>
      <c r="Q58" s="2" t="s">
        <v>3</v>
      </c>
      <c r="R58" s="48">
        <f t="shared" si="32"/>
        <v>-7.7650549326551091E-2</v>
      </c>
      <c r="S58" s="2" t="s">
        <v>4</v>
      </c>
      <c r="T58" s="2"/>
      <c r="U58" s="2"/>
      <c r="V58" s="2"/>
      <c r="W58" s="2"/>
      <c r="X58" s="2"/>
      <c r="Y58" s="35"/>
      <c r="Z58" s="2"/>
      <c r="AA58" s="28">
        <f t="shared" si="31"/>
        <v>-10</v>
      </c>
      <c r="AB58" s="30">
        <f t="shared" si="33"/>
        <v>0.53900000000000003</v>
      </c>
      <c r="AC58" s="31">
        <v>709693.99416911881</v>
      </c>
      <c r="AD58" s="36">
        <f t="shared" si="34"/>
        <v>5.8405368533420869</v>
      </c>
      <c r="AE58" s="2"/>
      <c r="AF58" s="2"/>
      <c r="AG58" s="2"/>
      <c r="AH58" s="2"/>
      <c r="AI58" s="2"/>
    </row>
    <row r="59" spans="1:3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5"/>
      <c r="Z59" s="2"/>
      <c r="AA59" s="41">
        <v>0</v>
      </c>
      <c r="AB59" s="86">
        <f t="shared" si="33"/>
        <v>0.49</v>
      </c>
      <c r="AC59" s="87">
        <v>670531.36281092954</v>
      </c>
      <c r="AD59" s="69">
        <f t="shared" si="34"/>
        <v>0</v>
      </c>
      <c r="AE59" s="2"/>
      <c r="AF59" s="2"/>
      <c r="AG59" s="2"/>
      <c r="AH59" s="2"/>
      <c r="AI59" s="2"/>
    </row>
    <row r="60" spans="1:3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669983.32177719264</v>
      </c>
      <c r="Q60" s="1" t="s">
        <v>3</v>
      </c>
      <c r="R60" s="54">
        <f>SUM(R55:R58)</f>
        <v>0.86720251854460717</v>
      </c>
      <c r="S60" s="1" t="s">
        <v>4</v>
      </c>
      <c r="T60" s="1"/>
      <c r="U60" s="2"/>
      <c r="V60" s="2"/>
      <c r="W60" s="2"/>
      <c r="X60" s="2"/>
      <c r="Y60" s="35"/>
      <c r="Z60" s="2"/>
      <c r="AA60" s="28">
        <f t="shared" ref="AA60:AA64" si="35">AA59+10</f>
        <v>10</v>
      </c>
      <c r="AB60" s="30">
        <f t="shared" si="33"/>
        <v>0.441</v>
      </c>
      <c r="AC60" s="31">
        <v>631368.7314527405</v>
      </c>
      <c r="AD60" s="36">
        <f t="shared" si="34"/>
        <v>-5.8405368533420523</v>
      </c>
      <c r="AE60" s="2"/>
      <c r="AF60" s="2"/>
      <c r="AG60" s="2"/>
      <c r="AH60" s="2"/>
      <c r="AI60" s="2"/>
    </row>
    <row r="61" spans="1:3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5"/>
      <c r="Z61" s="2"/>
      <c r="AA61" s="28">
        <f t="shared" si="35"/>
        <v>20</v>
      </c>
      <c r="AB61" s="30">
        <f t="shared" si="33"/>
        <v>0.39200000000000002</v>
      </c>
      <c r="AC61" s="31">
        <v>592206.1000945511</v>
      </c>
      <c r="AD61" s="36">
        <f t="shared" si="34"/>
        <v>-11.681073706684156</v>
      </c>
      <c r="AE61" s="2"/>
      <c r="AF61" s="2"/>
      <c r="AG61" s="2"/>
      <c r="AH61" s="2"/>
      <c r="AI61" s="2"/>
    </row>
    <row r="62" spans="1:3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5"/>
      <c r="Z62" s="2"/>
      <c r="AA62" s="28">
        <f t="shared" si="35"/>
        <v>30</v>
      </c>
      <c r="AB62" s="30">
        <f t="shared" si="33"/>
        <v>0.34299999999999997</v>
      </c>
      <c r="AC62" s="31">
        <v>553043.46873636206</v>
      </c>
      <c r="AD62" s="36">
        <f t="shared" si="34"/>
        <v>-17.521610560026208</v>
      </c>
      <c r="AE62" s="2"/>
      <c r="AF62" s="2"/>
      <c r="AG62" s="2"/>
      <c r="AH62" s="2"/>
      <c r="AI62" s="2"/>
    </row>
    <row r="63" spans="1:3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5"/>
      <c r="Z63" s="2"/>
      <c r="AA63" s="28">
        <f t="shared" si="35"/>
        <v>40</v>
      </c>
      <c r="AB63" s="30">
        <f t="shared" si="33"/>
        <v>0.29399999999999998</v>
      </c>
      <c r="AC63" s="31">
        <v>513880.8373781729</v>
      </c>
      <c r="AD63" s="36">
        <f t="shared" si="34"/>
        <v>-23.362147413368277</v>
      </c>
      <c r="AE63" s="2"/>
      <c r="AF63" s="2"/>
      <c r="AG63" s="2"/>
      <c r="AH63" s="2"/>
      <c r="AI63" s="2"/>
    </row>
    <row r="64" spans="1:3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5"/>
      <c r="Z64" s="2"/>
      <c r="AA64" s="28">
        <f t="shared" si="35"/>
        <v>50</v>
      </c>
      <c r="AB64" s="30">
        <f t="shared" si="33"/>
        <v>0.245</v>
      </c>
      <c r="AC64" s="31">
        <v>474718.20601998363</v>
      </c>
      <c r="AD64" s="36">
        <f t="shared" si="34"/>
        <v>-29.202684266710367</v>
      </c>
      <c r="AE64" s="2"/>
      <c r="AF64" s="2"/>
      <c r="AG64" s="2"/>
      <c r="AH64" s="2"/>
      <c r="AI64" s="2"/>
    </row>
    <row r="65" spans="1:3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5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5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5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AZ1000"/>
  <sheetViews>
    <sheetView topLeftCell="C1" zoomScale="70" zoomScaleNormal="70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37.85546875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20" width="16.5703125" customWidth="1"/>
    <col min="21" max="21" width="11.140625" customWidth="1"/>
    <col min="22" max="23" width="31.28515625" customWidth="1"/>
    <col min="24" max="24" width="23.85546875" customWidth="1"/>
    <col min="25" max="26" width="13.42578125" customWidth="1"/>
    <col min="27" max="27" width="19.5703125" customWidth="1"/>
    <col min="28" max="28" width="12.28515625" customWidth="1"/>
    <col min="29" max="29" width="20.140625" customWidth="1"/>
    <col min="30" max="30" width="19.28515625" customWidth="1"/>
    <col min="31" max="31" width="12.85546875" customWidth="1"/>
    <col min="32" max="32" width="19" customWidth="1"/>
    <col min="33" max="33" width="4.7109375" customWidth="1"/>
    <col min="34" max="34" width="20.140625" customWidth="1"/>
    <col min="35" max="35" width="19.28515625" customWidth="1"/>
    <col min="36" max="36" width="11.28515625" customWidth="1"/>
    <col min="37" max="37" width="17.85546875" customWidth="1"/>
    <col min="38" max="39" width="8.85546875" customWidth="1"/>
    <col min="40" max="40" width="17.5703125" customWidth="1"/>
    <col min="41" max="41" width="9.7109375" customWidth="1"/>
    <col min="42" max="42" width="15.5703125" customWidth="1"/>
    <col min="43" max="43" width="8.85546875" customWidth="1"/>
    <col min="44" max="45" width="12.7109375" customWidth="1"/>
    <col min="46" max="52" width="8.85546875" customWidth="1"/>
  </cols>
  <sheetData>
    <row r="1" spans="1:52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" t="s">
        <v>2</v>
      </c>
      <c r="B2" s="3">
        <f>Y49</f>
        <v>163249.11413780681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2"/>
      <c r="B3" s="4">
        <f>B2/J34</f>
        <v>0.26741107675567882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 t="s">
        <v>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1" t="s">
        <v>22</v>
      </c>
      <c r="X7" s="11" t="s">
        <v>23</v>
      </c>
      <c r="Y7" s="12" t="s">
        <v>24</v>
      </c>
      <c r="Z7" s="1"/>
      <c r="AA7" s="2" t="s">
        <v>25</v>
      </c>
      <c r="AB7" s="2"/>
      <c r="AC7" s="2" t="s">
        <v>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183</v>
      </c>
      <c r="J8" s="6">
        <v>1518000</v>
      </c>
      <c r="K8" s="2" t="s">
        <v>30</v>
      </c>
      <c r="L8" s="15"/>
      <c r="M8" s="2"/>
      <c r="N8" s="11">
        <v>0</v>
      </c>
      <c r="O8" s="17">
        <f>F31</f>
        <v>29397.751754558205</v>
      </c>
      <c r="P8" s="11"/>
      <c r="Q8" s="11"/>
      <c r="R8" s="11"/>
      <c r="S8" s="11"/>
      <c r="T8" s="11"/>
      <c r="U8" s="11"/>
      <c r="V8" s="11"/>
      <c r="W8" s="11"/>
      <c r="X8" s="11"/>
      <c r="Y8" s="18">
        <f t="shared" ref="Y8:Y48" si="0">SUM(O8:X8)</f>
        <v>29397.751754558205</v>
      </c>
      <c r="Z8" s="3"/>
      <c r="AA8" s="6"/>
      <c r="AB8" s="2"/>
      <c r="AC8" s="2" t="s">
        <v>31</v>
      </c>
      <c r="AD8" s="19">
        <f>F36</f>
        <v>0.21037868162692849</v>
      </c>
      <c r="AE8" s="2" t="s">
        <v>32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x14ac:dyDescent="0.25">
      <c r="A9" s="13"/>
      <c r="B9" s="2"/>
      <c r="C9" s="2"/>
      <c r="D9" s="2"/>
      <c r="E9" s="2"/>
      <c r="F9" s="20"/>
      <c r="G9" s="2"/>
      <c r="H9" s="15"/>
      <c r="I9" s="16" t="s">
        <v>33</v>
      </c>
      <c r="J9" s="6">
        <v>105</v>
      </c>
      <c r="K9" s="2" t="s">
        <v>32</v>
      </c>
      <c r="L9" s="15"/>
      <c r="M9" s="2"/>
      <c r="N9" s="11">
        <v>1</v>
      </c>
      <c r="O9" s="11"/>
      <c r="P9" s="21">
        <f t="shared" ref="P9:P48" si="1">IF(N9&gt;0,IF(N9&lt;=$J$20,(($F$32+$F$33)/$J$20)/((1+($F$11/100))^N9),0),0)</f>
        <v>16038.106790542306</v>
      </c>
      <c r="Q9" s="22">
        <f t="shared" ref="Q9:Q48" si="2">IF(N9&gt;0,($F$41*((1+($F$14/100))^(N9-1)))/((1+($F$11/100))^N9),0)</f>
        <v>2324.0072129833707</v>
      </c>
      <c r="R9" s="22">
        <f t="shared" ref="R9:R48" si="3">IF(N9&gt;0,$F$40/((1+($F$11/100))^N9),0)</f>
        <v>0</v>
      </c>
      <c r="S9" s="22">
        <f t="shared" ref="S9:S48" si="4">IF(N9&gt;0,$J$37/((1+($F$11/100))^N9),0)</f>
        <v>3541.3523542376274</v>
      </c>
      <c r="T9" s="22">
        <f>$J$46/((1+($F$11/100))^N9)</f>
        <v>5.3429506444934214</v>
      </c>
      <c r="U9" s="22">
        <f t="shared" ref="U9:U48" si="5">IF(AND(N9&lt;=5,N9&gt;0),$J$45/((1+($F$11/100))^N9),IF(AND(N9&gt;5,N9&lt;=10),(((1-(N9-5)*10/100)*$J$45)/((1+($F$11/100))^N9)),IF(N9&gt;10,(((1-50/100)*$J$45)/((1+($F$11/100))^N9)),0)))</f>
        <v>54.097375275495892</v>
      </c>
      <c r="V9" s="22">
        <f t="shared" ref="V9:V48" si="6">IF(AND(MOD(N9,$J$31)=0,N9&gt;0),$B$46/((1+($F$11/100))^N9),0)</f>
        <v>0</v>
      </c>
      <c r="W9" s="22">
        <f t="shared" ref="W9:W48" si="7">IF(N9&gt;0,$J$32/((1+($F$11/100))^N9),0)</f>
        <v>0</v>
      </c>
      <c r="X9" s="21">
        <f t="shared" ref="X9:X18" si="8">IF(N9=$B$5,((((1-$J$15/100)^N9)*$B$47+((1-$J$16/100)^N9)*$B$48)/((1+($F$11/100))^N9))*-1,0)</f>
        <v>0</v>
      </c>
      <c r="Y9" s="18">
        <f t="shared" si="0"/>
        <v>21962.90668368329</v>
      </c>
      <c r="Z9" s="3"/>
      <c r="AA9" s="6">
        <f t="shared" ref="AA9:AA48" si="9">IF(N9&gt;0,((((1-$J$15/100)^N9)*$B$47+((1-$J$16/100)^N9)*$B$48)/((1+($F$11/100))^N9)),0)</f>
        <v>62847.180645161294</v>
      </c>
      <c r="AB9" s="2"/>
      <c r="AC9" s="2" t="s">
        <v>34</v>
      </c>
      <c r="AD9" s="5">
        <f>B48</f>
        <v>11907</v>
      </c>
      <c r="AE9" s="2" t="s">
        <v>3</v>
      </c>
      <c r="AF9" s="2"/>
      <c r="AG9" s="6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37</v>
      </c>
      <c r="J10" s="6">
        <v>81</v>
      </c>
      <c r="K10" s="2" t="s">
        <v>38</v>
      </c>
      <c r="L10" s="15"/>
      <c r="M10" s="2"/>
      <c r="N10" s="11">
        <f t="shared" ref="N10:N48" si="10">IF((N9+1)&gt;$B$5,,IF(N9=0,,N9+1))</f>
        <v>2</v>
      </c>
      <c r="O10" s="11"/>
      <c r="P10" s="21">
        <f t="shared" si="1"/>
        <v>15274.387419564102</v>
      </c>
      <c r="Q10" s="22">
        <f t="shared" si="2"/>
        <v>2235.4736048697187</v>
      </c>
      <c r="R10" s="22">
        <f t="shared" si="3"/>
        <v>0</v>
      </c>
      <c r="S10" s="22">
        <f t="shared" si="4"/>
        <v>3372.7165278453595</v>
      </c>
      <c r="T10" s="22">
        <f t="shared" ref="T10:T48" si="11">IF(N10&lt;=$F$25,0,$J$46/((1+($F$11/100))^N9))</f>
        <v>0</v>
      </c>
      <c r="U10" s="22">
        <f t="shared" si="5"/>
        <v>51.521309786186563</v>
      </c>
      <c r="V10" s="22">
        <f t="shared" si="6"/>
        <v>7714.2857142857138</v>
      </c>
      <c r="W10" s="22">
        <f t="shared" si="7"/>
        <v>0</v>
      </c>
      <c r="X10" s="21">
        <f t="shared" si="8"/>
        <v>0</v>
      </c>
      <c r="Y10" s="18">
        <f t="shared" si="0"/>
        <v>28648.38457635108</v>
      </c>
      <c r="Z10" s="3"/>
      <c r="AA10" s="6">
        <f t="shared" si="9"/>
        <v>55239.971748079886</v>
      </c>
      <c r="AB10" s="2"/>
      <c r="AC10" s="16" t="s">
        <v>160</v>
      </c>
      <c r="AD10" s="24">
        <f>B52</f>
        <v>97992.505848527348</v>
      </c>
      <c r="AE10" s="2" t="s">
        <v>3</v>
      </c>
      <c r="AF10" s="2"/>
      <c r="AG10" s="6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25">
      <c r="A11" s="25" t="s">
        <v>158</v>
      </c>
      <c r="B11" s="26">
        <v>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41</v>
      </c>
      <c r="J11" s="6">
        <v>900</v>
      </c>
      <c r="K11" s="2" t="s">
        <v>42</v>
      </c>
      <c r="L11" s="15"/>
      <c r="M11" s="2"/>
      <c r="N11" s="11">
        <f t="shared" si="10"/>
        <v>3</v>
      </c>
      <c r="O11" s="11"/>
      <c r="P11" s="21">
        <f t="shared" si="1"/>
        <v>14547.035637680096</v>
      </c>
      <c r="Q11" s="22">
        <f t="shared" si="2"/>
        <v>2150.3127056365861</v>
      </c>
      <c r="R11" s="22">
        <f t="shared" si="3"/>
        <v>0</v>
      </c>
      <c r="S11" s="22">
        <f t="shared" si="4"/>
        <v>3212.1109789003422</v>
      </c>
      <c r="T11" s="22">
        <f t="shared" si="11"/>
        <v>0</v>
      </c>
      <c r="U11" s="22">
        <f t="shared" si="5"/>
        <v>49.067914082082439</v>
      </c>
      <c r="V11" s="22">
        <f t="shared" si="6"/>
        <v>0</v>
      </c>
      <c r="W11" s="22">
        <f t="shared" si="7"/>
        <v>0</v>
      </c>
      <c r="X11" s="21">
        <f t="shared" si="8"/>
        <v>0</v>
      </c>
      <c r="Y11" s="18">
        <f t="shared" si="0"/>
        <v>19958.527236299105</v>
      </c>
      <c r="Z11" s="3"/>
      <c r="AA11" s="6">
        <f t="shared" si="9"/>
        <v>48565.369802205547</v>
      </c>
      <c r="AB11" s="2"/>
      <c r="AC11" s="2" t="s">
        <v>43</v>
      </c>
      <c r="AD11" s="6">
        <f>F12</f>
        <v>61048</v>
      </c>
      <c r="AE11" s="2" t="s">
        <v>44</v>
      </c>
      <c r="AF11" s="2"/>
      <c r="AG11" s="6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61048</v>
      </c>
      <c r="G12" s="2" t="s">
        <v>44</v>
      </c>
      <c r="H12" s="15"/>
      <c r="I12" s="16" t="s">
        <v>47</v>
      </c>
      <c r="J12" s="6">
        <v>200</v>
      </c>
      <c r="K12" s="2" t="s">
        <v>48</v>
      </c>
      <c r="L12" s="15"/>
      <c r="M12" s="2"/>
      <c r="N12" s="11">
        <f t="shared" si="10"/>
        <v>4</v>
      </c>
      <c r="O12" s="11"/>
      <c r="P12" s="21">
        <f t="shared" si="1"/>
        <v>13854.319654933426</v>
      </c>
      <c r="Q12" s="22">
        <f t="shared" si="2"/>
        <v>2068.3960311361448</v>
      </c>
      <c r="R12" s="22">
        <f t="shared" si="3"/>
        <v>0</v>
      </c>
      <c r="S12" s="22">
        <f t="shared" si="4"/>
        <v>3059.1533132384216</v>
      </c>
      <c r="T12" s="22">
        <f t="shared" si="11"/>
        <v>0</v>
      </c>
      <c r="U12" s="22">
        <f t="shared" si="5"/>
        <v>46.731346744840423</v>
      </c>
      <c r="V12" s="22">
        <f t="shared" si="6"/>
        <v>6997.0845481049564</v>
      </c>
      <c r="W12" s="22">
        <f t="shared" si="7"/>
        <v>0</v>
      </c>
      <c r="X12" s="21">
        <f t="shared" si="8"/>
        <v>0</v>
      </c>
      <c r="Y12" s="18">
        <f t="shared" si="0"/>
        <v>26025.684894157792</v>
      </c>
      <c r="Z12" s="3"/>
      <c r="AA12" s="6">
        <f t="shared" si="9"/>
        <v>42707.331542294662</v>
      </c>
      <c r="AB12" s="2"/>
      <c r="AC12" s="16" t="s">
        <v>49</v>
      </c>
      <c r="AD12" s="24">
        <f>J40</f>
        <v>3662.88</v>
      </c>
      <c r="AE12" s="2" t="s">
        <v>50</v>
      </c>
      <c r="AF12" s="2"/>
      <c r="AG12" s="6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x14ac:dyDescent="0.25">
      <c r="A13" s="25" t="s">
        <v>51</v>
      </c>
      <c r="B13" s="2">
        <v>7</v>
      </c>
      <c r="C13" s="2" t="s">
        <v>40</v>
      </c>
      <c r="D13" s="2"/>
      <c r="E13" s="16" t="s">
        <v>31</v>
      </c>
      <c r="F13" s="14">
        <v>7.5</v>
      </c>
      <c r="G13" s="2" t="s">
        <v>52</v>
      </c>
      <c r="H13" s="15"/>
      <c r="I13" s="16" t="s">
        <v>53</v>
      </c>
      <c r="J13" s="2">
        <v>30</v>
      </c>
      <c r="K13" s="2" t="s">
        <v>54</v>
      </c>
      <c r="L13" s="15"/>
      <c r="M13" s="2"/>
      <c r="N13" s="11">
        <f t="shared" si="10"/>
        <v>5</v>
      </c>
      <c r="O13" s="11"/>
      <c r="P13" s="21">
        <f t="shared" si="1"/>
        <v>13194.590147555642</v>
      </c>
      <c r="Q13" s="22">
        <f t="shared" si="2"/>
        <v>1989.5999918547677</v>
      </c>
      <c r="R13" s="22">
        <f t="shared" si="3"/>
        <v>0</v>
      </c>
      <c r="S13" s="22">
        <f t="shared" si="4"/>
        <v>2913.4793459413536</v>
      </c>
      <c r="T13" s="22">
        <f t="shared" si="11"/>
        <v>0</v>
      </c>
      <c r="U13" s="22">
        <f t="shared" si="5"/>
        <v>44.506044518895635</v>
      </c>
      <c r="V13" s="22">
        <f t="shared" si="6"/>
        <v>0</v>
      </c>
      <c r="W13" s="22">
        <f t="shared" si="7"/>
        <v>0</v>
      </c>
      <c r="X13" s="21">
        <f t="shared" si="8"/>
        <v>0</v>
      </c>
      <c r="Y13" s="18">
        <f t="shared" si="0"/>
        <v>18142.175529870659</v>
      </c>
      <c r="Z13" s="3"/>
      <c r="AA13" s="6">
        <f t="shared" si="9"/>
        <v>37564.497393962098</v>
      </c>
      <c r="AB13" s="2"/>
      <c r="AC13" s="2" t="s">
        <v>157</v>
      </c>
      <c r="AD13" s="6">
        <f>J26</f>
        <v>100</v>
      </c>
      <c r="AE13" s="2" t="s">
        <v>147</v>
      </c>
      <c r="AF13" s="2"/>
      <c r="AG13" s="6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x14ac:dyDescent="0.25">
      <c r="A14" s="25" t="s">
        <v>55</v>
      </c>
      <c r="B14" s="2">
        <v>20</v>
      </c>
      <c r="C14" s="2" t="s">
        <v>40</v>
      </c>
      <c r="D14" s="2"/>
      <c r="E14" s="16" t="s">
        <v>56</v>
      </c>
      <c r="F14" s="2">
        <v>1</v>
      </c>
      <c r="G14" s="2" t="s">
        <v>57</v>
      </c>
      <c r="H14" s="15"/>
      <c r="I14" s="16" t="s">
        <v>58</v>
      </c>
      <c r="J14" s="5">
        <v>20</v>
      </c>
      <c r="K14" s="2" t="s">
        <v>40</v>
      </c>
      <c r="L14" s="15"/>
      <c r="M14" s="2"/>
      <c r="N14" s="11">
        <f t="shared" si="10"/>
        <v>6</v>
      </c>
      <c r="O14" s="11"/>
      <c r="P14" s="21">
        <f t="shared" si="1"/>
        <v>0</v>
      </c>
      <c r="Q14" s="22">
        <f t="shared" si="2"/>
        <v>1913.8057064507768</v>
      </c>
      <c r="R14" s="22">
        <f t="shared" si="3"/>
        <v>0</v>
      </c>
      <c r="S14" s="22">
        <f t="shared" si="4"/>
        <v>2774.742234229861</v>
      </c>
      <c r="T14" s="22">
        <f t="shared" si="11"/>
        <v>0</v>
      </c>
      <c r="U14" s="22">
        <f t="shared" si="5"/>
        <v>38.148038159053407</v>
      </c>
      <c r="V14" s="22">
        <f t="shared" si="6"/>
        <v>6346.5619483945184</v>
      </c>
      <c r="W14" s="22">
        <f t="shared" si="7"/>
        <v>0</v>
      </c>
      <c r="X14" s="21">
        <f t="shared" si="8"/>
        <v>0</v>
      </c>
      <c r="Y14" s="18">
        <f t="shared" si="0"/>
        <v>11073.25792723421</v>
      </c>
      <c r="Z14" s="3"/>
      <c r="AA14" s="6">
        <f t="shared" si="9"/>
        <v>33048.29899732559</v>
      </c>
      <c r="AB14" s="2"/>
      <c r="AC14" s="2" t="s">
        <v>182</v>
      </c>
      <c r="AD14" s="14">
        <f>J17</f>
        <v>0.19</v>
      </c>
      <c r="AE14" s="2" t="s">
        <v>69</v>
      </c>
      <c r="AF14" s="2"/>
      <c r="AG14" s="6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A15" s="25" t="s">
        <v>59</v>
      </c>
      <c r="B15" s="2">
        <v>0</v>
      </c>
      <c r="C15" s="2" t="s">
        <v>54</v>
      </c>
      <c r="D15" s="2"/>
      <c r="E15" s="16" t="s">
        <v>60</v>
      </c>
      <c r="F15" s="2">
        <v>0</v>
      </c>
      <c r="G15" s="2" t="s">
        <v>61</v>
      </c>
      <c r="H15" s="15"/>
      <c r="I15" s="16" t="s">
        <v>62</v>
      </c>
      <c r="J15" s="2">
        <v>7.08</v>
      </c>
      <c r="K15" s="2" t="s">
        <v>63</v>
      </c>
      <c r="L15" s="15"/>
      <c r="M15" s="2"/>
      <c r="N15" s="11">
        <f t="shared" si="10"/>
        <v>7</v>
      </c>
      <c r="O15" s="11"/>
      <c r="P15" s="21">
        <f t="shared" si="1"/>
        <v>0</v>
      </c>
      <c r="Q15" s="22">
        <f t="shared" si="2"/>
        <v>1840.8988223955089</v>
      </c>
      <c r="R15" s="22">
        <f t="shared" si="3"/>
        <v>0</v>
      </c>
      <c r="S15" s="22">
        <f t="shared" si="4"/>
        <v>2642.6116516474858</v>
      </c>
      <c r="T15" s="22">
        <f t="shared" si="11"/>
        <v>0</v>
      </c>
      <c r="U15" s="22">
        <f t="shared" si="5"/>
        <v>32.294635478563727</v>
      </c>
      <c r="V15" s="22">
        <f t="shared" si="6"/>
        <v>0</v>
      </c>
      <c r="W15" s="22">
        <f t="shared" si="7"/>
        <v>0</v>
      </c>
      <c r="X15" s="21">
        <f t="shared" si="8"/>
        <v>0</v>
      </c>
      <c r="Y15" s="18">
        <f t="shared" si="0"/>
        <v>4515.8051095215578</v>
      </c>
      <c r="Z15" s="3"/>
      <c r="AA15" s="6">
        <f t="shared" si="9"/>
        <v>29081.315412148309</v>
      </c>
      <c r="AB15" s="2"/>
      <c r="AC15" s="2"/>
      <c r="AD15" s="2"/>
      <c r="AE15" s="2"/>
      <c r="AF15" s="2"/>
      <c r="AG15" s="6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x14ac:dyDescent="0.25">
      <c r="A16" s="25" t="s">
        <v>64</v>
      </c>
      <c r="B16" s="2">
        <v>40</v>
      </c>
      <c r="C16" s="2" t="s">
        <v>40</v>
      </c>
      <c r="D16" s="2"/>
      <c r="E16" s="16" t="s">
        <v>65</v>
      </c>
      <c r="F16" s="2">
        <v>0</v>
      </c>
      <c r="G16" s="2" t="s">
        <v>61</v>
      </c>
      <c r="H16" s="15"/>
      <c r="I16" s="16" t="s">
        <v>66</v>
      </c>
      <c r="J16" s="2">
        <v>11</v>
      </c>
      <c r="K16" s="2" t="s">
        <v>63</v>
      </c>
      <c r="L16" s="15"/>
      <c r="M16" s="2"/>
      <c r="N16" s="11">
        <f t="shared" si="10"/>
        <v>8</v>
      </c>
      <c r="O16" s="11"/>
      <c r="P16" s="21">
        <f t="shared" si="1"/>
        <v>0</v>
      </c>
      <c r="Q16" s="22">
        <f t="shared" si="2"/>
        <v>1770.7693434471084</v>
      </c>
      <c r="R16" s="22">
        <f t="shared" si="3"/>
        <v>0</v>
      </c>
      <c r="S16" s="22">
        <f t="shared" si="4"/>
        <v>2516.7730015690345</v>
      </c>
      <c r="T16" s="22">
        <f t="shared" si="11"/>
        <v>3.9869920343905831</v>
      </c>
      <c r="U16" s="22">
        <f t="shared" si="5"/>
        <v>26.912196232136438</v>
      </c>
      <c r="V16" s="22">
        <f t="shared" si="6"/>
        <v>5756.5187740539841</v>
      </c>
      <c r="W16" s="22">
        <f t="shared" si="7"/>
        <v>0</v>
      </c>
      <c r="X16" s="21">
        <f t="shared" si="8"/>
        <v>0</v>
      </c>
      <c r="Y16" s="18">
        <f t="shared" si="0"/>
        <v>10074.960307336654</v>
      </c>
      <c r="Z16" s="3"/>
      <c r="AA16" s="6">
        <f t="shared" si="9"/>
        <v>25595.84467706933</v>
      </c>
      <c r="AB16" s="2"/>
      <c r="AC16" s="2"/>
      <c r="AD16" s="2"/>
      <c r="AE16" s="2"/>
      <c r="AF16" s="2"/>
      <c r="AG16" s="6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5" t="s">
        <v>167</v>
      </c>
      <c r="B17" s="2">
        <v>365</v>
      </c>
      <c r="C17" s="2" t="s">
        <v>30</v>
      </c>
      <c r="D17" s="2"/>
      <c r="E17" s="16" t="s">
        <v>67</v>
      </c>
      <c r="F17" s="2">
        <v>4050</v>
      </c>
      <c r="G17" s="2" t="s">
        <v>61</v>
      </c>
      <c r="H17" s="15"/>
      <c r="I17" s="16" t="s">
        <v>68</v>
      </c>
      <c r="J17" s="14">
        <v>0.19</v>
      </c>
      <c r="K17" s="2" t="s">
        <v>69</v>
      </c>
      <c r="L17" s="15"/>
      <c r="M17" s="2"/>
      <c r="N17" s="11">
        <f t="shared" si="10"/>
        <v>9</v>
      </c>
      <c r="O17" s="11"/>
      <c r="P17" s="21">
        <f t="shared" si="1"/>
        <v>0</v>
      </c>
      <c r="Q17" s="22">
        <f t="shared" si="2"/>
        <v>1703.3114636967425</v>
      </c>
      <c r="R17" s="22">
        <f t="shared" si="3"/>
        <v>0</v>
      </c>
      <c r="S17" s="22">
        <f t="shared" si="4"/>
        <v>2396.9266681609852</v>
      </c>
      <c r="T17" s="22">
        <f t="shared" si="11"/>
        <v>3.7971352708481749</v>
      </c>
      <c r="U17" s="22">
        <f t="shared" si="5"/>
        <v>21.969139781335869</v>
      </c>
      <c r="V17" s="22">
        <f t="shared" si="6"/>
        <v>0</v>
      </c>
      <c r="W17" s="22">
        <f t="shared" si="7"/>
        <v>0</v>
      </c>
      <c r="X17" s="21">
        <f t="shared" si="8"/>
        <v>0</v>
      </c>
      <c r="Y17" s="18">
        <f t="shared" si="0"/>
        <v>4126.0044069099122</v>
      </c>
      <c r="Z17" s="3"/>
      <c r="AA17" s="6">
        <f t="shared" si="9"/>
        <v>22532.661948561483</v>
      </c>
      <c r="AB17" s="2"/>
      <c r="AC17" s="2"/>
      <c r="AD17" s="2"/>
      <c r="AE17" s="2"/>
      <c r="AF17" s="2"/>
      <c r="AG17" s="6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x14ac:dyDescent="0.25">
      <c r="A18" s="25" t="s">
        <v>70</v>
      </c>
      <c r="B18" s="2">
        <v>0</v>
      </c>
      <c r="C18" s="2" t="s">
        <v>40</v>
      </c>
      <c r="D18" s="2"/>
      <c r="E18" s="16" t="s">
        <v>71</v>
      </c>
      <c r="F18" s="2">
        <v>50</v>
      </c>
      <c r="G18" s="2" t="s">
        <v>40</v>
      </c>
      <c r="H18" s="15"/>
      <c r="I18" s="2"/>
      <c r="J18" s="2"/>
      <c r="K18" s="2"/>
      <c r="L18" s="15"/>
      <c r="M18" s="2"/>
      <c r="N18" s="11">
        <f t="shared" si="10"/>
        <v>10</v>
      </c>
      <c r="O18" s="11"/>
      <c r="P18" s="21">
        <f t="shared" si="1"/>
        <v>0</v>
      </c>
      <c r="Q18" s="22">
        <f t="shared" si="2"/>
        <v>1638.4234079368669</v>
      </c>
      <c r="R18" s="22">
        <f t="shared" si="3"/>
        <v>0</v>
      </c>
      <c r="S18" s="22">
        <f t="shared" si="4"/>
        <v>2282.787303010462</v>
      </c>
      <c r="T18" s="22">
        <f t="shared" si="11"/>
        <v>3.6163193055696903</v>
      </c>
      <c r="U18" s="22">
        <f t="shared" si="5"/>
        <v>17.435825223282436</v>
      </c>
      <c r="V18" s="22">
        <f t="shared" si="6"/>
        <v>5221.3322213641577</v>
      </c>
      <c r="W18" s="22">
        <f t="shared" si="7"/>
        <v>0</v>
      </c>
      <c r="X18" s="21">
        <f t="shared" si="8"/>
        <v>-19839.939364956004</v>
      </c>
      <c r="Y18" s="18">
        <f t="shared" si="0"/>
        <v>-10676.344288115666</v>
      </c>
      <c r="Z18" s="3"/>
      <c r="AA18" s="6">
        <f t="shared" si="9"/>
        <v>19839.939364956004</v>
      </c>
      <c r="AB18" s="2"/>
      <c r="AC18" s="2"/>
      <c r="AD18" s="2"/>
      <c r="AE18" s="2"/>
      <c r="AF18" s="2"/>
      <c r="AG18" s="6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25" t="s">
        <v>72</v>
      </c>
      <c r="B19" s="2">
        <v>10</v>
      </c>
      <c r="C19" s="2" t="s">
        <v>40</v>
      </c>
      <c r="D19" s="2"/>
      <c r="E19" s="16" t="s">
        <v>73</v>
      </c>
      <c r="F19" s="6">
        <v>1980</v>
      </c>
      <c r="G19" s="2" t="s">
        <v>61</v>
      </c>
      <c r="H19" s="15"/>
      <c r="I19" s="1" t="s">
        <v>78</v>
      </c>
      <c r="J19" s="2"/>
      <c r="K19" s="2"/>
      <c r="L19" s="15"/>
      <c r="M19" s="2"/>
      <c r="N19" s="11">
        <f t="shared" si="10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>
        <f t="shared" si="11"/>
        <v>0</v>
      </c>
      <c r="U19" s="22">
        <f t="shared" si="5"/>
        <v>0</v>
      </c>
      <c r="V19" s="22">
        <f t="shared" si="6"/>
        <v>0</v>
      </c>
      <c r="W19" s="22">
        <f t="shared" si="7"/>
        <v>0</v>
      </c>
      <c r="X19" s="21">
        <f t="shared" ref="X19:X48" si="12">IF(N19=$B$5,((((1-$J$15/100)^N19)*$B$52+((1-$J$16/100)^N19)*$B$48)/((1+($F$11/100))^N19))*-1,0)</f>
        <v>0</v>
      </c>
      <c r="Y19" s="18">
        <f t="shared" si="0"/>
        <v>0</v>
      </c>
      <c r="Z19" s="3"/>
      <c r="AA19" s="6">
        <f t="shared" si="9"/>
        <v>0</v>
      </c>
      <c r="AB19" s="2"/>
      <c r="AC19" s="2"/>
      <c r="AD19" s="2"/>
      <c r="AE19" s="2"/>
      <c r="AF19" s="2"/>
      <c r="AG19" s="6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x14ac:dyDescent="0.25">
      <c r="A20" s="25" t="s">
        <v>74</v>
      </c>
      <c r="B20" s="2">
        <v>0</v>
      </c>
      <c r="C20" s="2" t="s">
        <v>40</v>
      </c>
      <c r="D20" s="2"/>
      <c r="E20" s="16" t="s">
        <v>75</v>
      </c>
      <c r="F20" s="6">
        <v>0</v>
      </c>
      <c r="G20" s="2" t="s">
        <v>76</v>
      </c>
      <c r="H20" s="15"/>
      <c r="I20" s="16" t="s">
        <v>83</v>
      </c>
      <c r="J20" s="2">
        <v>5</v>
      </c>
      <c r="K20" s="2" t="s">
        <v>54</v>
      </c>
      <c r="L20" s="15"/>
      <c r="M20" s="2"/>
      <c r="N20" s="11">
        <f t="shared" si="10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>
        <f t="shared" si="11"/>
        <v>0</v>
      </c>
      <c r="U20" s="22">
        <f t="shared" si="5"/>
        <v>0</v>
      </c>
      <c r="V20" s="22">
        <f t="shared" si="6"/>
        <v>0</v>
      </c>
      <c r="W20" s="22">
        <f t="shared" si="7"/>
        <v>0</v>
      </c>
      <c r="X20" s="21">
        <f t="shared" si="12"/>
        <v>0</v>
      </c>
      <c r="Y20" s="18">
        <f t="shared" si="0"/>
        <v>0</v>
      </c>
      <c r="Z20" s="3"/>
      <c r="AA20" s="6">
        <f t="shared" si="9"/>
        <v>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.75" customHeight="1" x14ac:dyDescent="0.25">
      <c r="A21" s="2"/>
      <c r="B21" s="2"/>
      <c r="C21" s="2"/>
      <c r="D21" s="2"/>
      <c r="E21" s="16" t="s">
        <v>49</v>
      </c>
      <c r="F21" s="35">
        <v>2.1389999999999998</v>
      </c>
      <c r="G21" s="2" t="s">
        <v>141</v>
      </c>
      <c r="H21" s="15"/>
      <c r="I21" s="16" t="s">
        <v>87</v>
      </c>
      <c r="J21" s="2">
        <v>30</v>
      </c>
      <c r="K21" s="2" t="s">
        <v>88</v>
      </c>
      <c r="L21" s="15"/>
      <c r="M21" s="2"/>
      <c r="N21" s="11">
        <f t="shared" si="10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>
        <f t="shared" si="11"/>
        <v>0</v>
      </c>
      <c r="U21" s="22">
        <f t="shared" si="5"/>
        <v>0</v>
      </c>
      <c r="V21" s="22">
        <f t="shared" si="6"/>
        <v>0</v>
      </c>
      <c r="W21" s="22">
        <f t="shared" si="7"/>
        <v>0</v>
      </c>
      <c r="X21" s="21">
        <f t="shared" si="12"/>
        <v>0</v>
      </c>
      <c r="Y21" s="18">
        <f t="shared" si="0"/>
        <v>0</v>
      </c>
      <c r="Z21" s="3"/>
      <c r="AA21" s="6">
        <f t="shared" si="9"/>
        <v>0</v>
      </c>
      <c r="AB21" s="2"/>
      <c r="AC21" s="27" t="s">
        <v>31</v>
      </c>
      <c r="AD21" s="28"/>
      <c r="AE21" s="28"/>
      <c r="AF21" s="28"/>
      <c r="AG21" s="2"/>
      <c r="AH21" s="27" t="s">
        <v>29</v>
      </c>
      <c r="AI21" s="28"/>
      <c r="AJ21" s="28"/>
      <c r="AK21" s="28"/>
      <c r="AL21" s="2"/>
      <c r="AM21" s="81" t="s">
        <v>171</v>
      </c>
      <c r="AN21" s="81" t="s">
        <v>172</v>
      </c>
      <c r="AO21" s="81" t="s">
        <v>173</v>
      </c>
      <c r="AP21" s="81" t="s">
        <v>34</v>
      </c>
      <c r="AQ21" s="81" t="s">
        <v>174</v>
      </c>
      <c r="AR21" s="81" t="s">
        <v>175</v>
      </c>
      <c r="AS21" s="88" t="str">
        <f>AC66</f>
        <v>Energy Efficiency</v>
      </c>
      <c r="AT21" s="2"/>
      <c r="AU21" s="2"/>
      <c r="AV21" s="2"/>
      <c r="AW21" s="2"/>
      <c r="AX21" s="2"/>
      <c r="AY21" s="2"/>
      <c r="AZ21" s="2"/>
    </row>
    <row r="22" spans="1:52" ht="15.75" customHeight="1" x14ac:dyDescent="0.25">
      <c r="A22" s="2"/>
      <c r="B22" s="2"/>
      <c r="C22" s="2"/>
      <c r="D22" s="2"/>
      <c r="E22" s="16" t="s">
        <v>77</v>
      </c>
      <c r="F22" s="2">
        <v>4.55</v>
      </c>
      <c r="G22" s="2" t="s">
        <v>63</v>
      </c>
      <c r="H22" s="15"/>
      <c r="I22" s="63"/>
      <c r="J22" s="63"/>
      <c r="K22" s="63"/>
      <c r="L22" s="15"/>
      <c r="M22" s="2"/>
      <c r="N22" s="11">
        <f t="shared" si="10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>
        <f t="shared" si="11"/>
        <v>0</v>
      </c>
      <c r="U22" s="22">
        <f t="shared" si="5"/>
        <v>0</v>
      </c>
      <c r="V22" s="22">
        <f t="shared" si="6"/>
        <v>0</v>
      </c>
      <c r="W22" s="22">
        <f t="shared" si="7"/>
        <v>0</v>
      </c>
      <c r="X22" s="21">
        <f t="shared" si="12"/>
        <v>0</v>
      </c>
      <c r="Y22" s="18">
        <f t="shared" si="0"/>
        <v>0</v>
      </c>
      <c r="Z22" s="3"/>
      <c r="AA22" s="6">
        <f t="shared" si="9"/>
        <v>0</v>
      </c>
      <c r="AB22" s="2"/>
      <c r="AC22" s="28" t="s">
        <v>79</v>
      </c>
      <c r="AD22" s="28" t="s">
        <v>80</v>
      </c>
      <c r="AE22" s="28" t="s">
        <v>24</v>
      </c>
      <c r="AF22" s="28" t="s">
        <v>81</v>
      </c>
      <c r="AG22" s="2"/>
      <c r="AH22" s="28" t="s">
        <v>79</v>
      </c>
      <c r="AI22" s="28" t="s">
        <v>82</v>
      </c>
      <c r="AJ22" s="28" t="s">
        <v>24</v>
      </c>
      <c r="AK22" s="28" t="s">
        <v>81</v>
      </c>
      <c r="AL22" s="2"/>
      <c r="AM22" s="82">
        <v>-50</v>
      </c>
      <c r="AN22" s="83">
        <f>AK24</f>
        <v>-31.334378733128059</v>
      </c>
      <c r="AO22" s="83">
        <f>AF24</f>
        <v>-6.013814651953564</v>
      </c>
      <c r="AP22" s="84">
        <f t="shared" ref="AP22:AP32" si="13">AF39</f>
        <v>-4.5180452752601878</v>
      </c>
      <c r="AQ22" s="84">
        <f t="shared" ref="AQ22:AQ32" si="14">AK39</f>
        <v>-27.020026746178566</v>
      </c>
      <c r="AR22" s="84">
        <f>AF54</f>
        <v>-8.6627693469554448</v>
      </c>
      <c r="AS22" s="53">
        <f>AF69</f>
        <v>6.0138146519535107</v>
      </c>
      <c r="AT22" s="2"/>
      <c r="AU22" s="2"/>
      <c r="AV22" s="2"/>
      <c r="AW22" s="2"/>
      <c r="AX22" s="2"/>
      <c r="AY22" s="2"/>
      <c r="AZ22" s="2"/>
    </row>
    <row r="23" spans="1:52" ht="15.75" customHeight="1" x14ac:dyDescent="0.25">
      <c r="A23" s="2"/>
      <c r="B23" s="2"/>
      <c r="C23" s="2"/>
      <c r="D23" s="2"/>
      <c r="E23" s="2"/>
      <c r="F23" s="2"/>
      <c r="G23" s="2"/>
      <c r="H23" s="15"/>
      <c r="I23" s="57" t="s">
        <v>142</v>
      </c>
      <c r="J23" s="58"/>
      <c r="K23" s="58"/>
      <c r="L23" s="59"/>
      <c r="M23" s="2"/>
      <c r="N23" s="11">
        <f t="shared" si="10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>
        <f t="shared" si="11"/>
        <v>0</v>
      </c>
      <c r="U23" s="22">
        <f t="shared" si="5"/>
        <v>0</v>
      </c>
      <c r="V23" s="22">
        <f t="shared" si="6"/>
        <v>0</v>
      </c>
      <c r="W23" s="22">
        <f t="shared" si="7"/>
        <v>0</v>
      </c>
      <c r="X23" s="21">
        <f t="shared" si="12"/>
        <v>0</v>
      </c>
      <c r="Y23" s="18">
        <f t="shared" si="0"/>
        <v>0</v>
      </c>
      <c r="Z23" s="3"/>
      <c r="AA23" s="6">
        <f t="shared" si="9"/>
        <v>0</v>
      </c>
      <c r="AB23" s="2"/>
      <c r="AC23" s="28" t="s">
        <v>84</v>
      </c>
      <c r="AD23" s="30">
        <v>0.21037868162692849</v>
      </c>
      <c r="AE23" s="31">
        <f>Y49</f>
        <v>163249.11413780681</v>
      </c>
      <c r="AF23" s="28"/>
      <c r="AG23" s="2"/>
      <c r="AH23" s="28" t="s">
        <v>85</v>
      </c>
      <c r="AI23" s="32">
        <v>97992.505848527348</v>
      </c>
      <c r="AJ23" s="31">
        <f>Y49</f>
        <v>163249.11413780681</v>
      </c>
      <c r="AK23" s="28"/>
      <c r="AL23" s="2"/>
      <c r="AM23" s="82">
        <v>-40</v>
      </c>
      <c r="AN23" s="83">
        <f>AK25</f>
        <v>-25.067502986502443</v>
      </c>
      <c r="AO23" s="83">
        <f t="shared" ref="AO23:AO32" si="15">AF25</f>
        <v>-4.8110517215628406</v>
      </c>
      <c r="AP23" s="84">
        <f t="shared" si="13"/>
        <v>-3.6144362202081322</v>
      </c>
      <c r="AQ23" s="84">
        <f t="shared" si="14"/>
        <v>-23.552773794971479</v>
      </c>
      <c r="AR23" s="84">
        <f t="shared" ref="AR23:AR32" si="16">AF55</f>
        <v>-6.9302154775643485</v>
      </c>
      <c r="AS23" s="53">
        <f t="shared" ref="AS23:AS32" si="17">AF70</f>
        <v>4.8110517215628219</v>
      </c>
      <c r="AT23" s="35"/>
      <c r="AU23" s="35"/>
      <c r="AV23" s="35"/>
      <c r="AW23" s="35"/>
      <c r="AX23" s="35"/>
      <c r="AY23" s="35"/>
      <c r="AZ23" s="35"/>
    </row>
    <row r="24" spans="1:52" ht="15.75" customHeight="1" x14ac:dyDescent="0.25">
      <c r="A24" s="13"/>
      <c r="B24" s="2"/>
      <c r="C24" s="2"/>
      <c r="D24" s="2"/>
      <c r="E24" s="16" t="s">
        <v>86</v>
      </c>
      <c r="F24" s="6">
        <v>200</v>
      </c>
      <c r="G24" s="2" t="s">
        <v>61</v>
      </c>
      <c r="H24" s="15"/>
      <c r="I24" s="58" t="s">
        <v>143</v>
      </c>
      <c r="J24" s="60" t="s">
        <v>148</v>
      </c>
      <c r="K24" s="58"/>
      <c r="L24" s="59"/>
      <c r="M24" s="2"/>
      <c r="N24" s="11">
        <f t="shared" si="10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>
        <f t="shared" si="11"/>
        <v>0</v>
      </c>
      <c r="U24" s="22">
        <f t="shared" si="5"/>
        <v>0</v>
      </c>
      <c r="V24" s="22">
        <f t="shared" si="6"/>
        <v>0</v>
      </c>
      <c r="W24" s="22">
        <f t="shared" si="7"/>
        <v>0</v>
      </c>
      <c r="X24" s="21">
        <f t="shared" si="12"/>
        <v>0</v>
      </c>
      <c r="Y24" s="18">
        <f t="shared" si="0"/>
        <v>0</v>
      </c>
      <c r="Z24" s="3"/>
      <c r="AA24" s="6">
        <f t="shared" si="9"/>
        <v>0</v>
      </c>
      <c r="AB24" s="2"/>
      <c r="AC24" s="28">
        <f t="shared" ref="AC24:AC28" si="18">AC25-10</f>
        <v>-50</v>
      </c>
      <c r="AD24" s="30">
        <f t="shared" ref="AD24:AD34" si="19">$AD$23*(1+(AC24/100))</f>
        <v>0.10518934081346425</v>
      </c>
      <c r="AE24" s="31">
        <f t="dataTable" ref="AE24:AE34" dt2D="0" dtr="0" r1="F36" ca="1"/>
        <v>153431.61499260299</v>
      </c>
      <c r="AF24" s="36">
        <f t="shared" ref="AF24:AF34" si="20">100*((AE24-$AE$29)/$AE$29)</f>
        <v>-6.013814651953564</v>
      </c>
      <c r="AG24" s="2"/>
      <c r="AH24" s="28">
        <f t="shared" ref="AH24:AH28" si="21">AH25-10</f>
        <v>-50</v>
      </c>
      <c r="AI24" s="32">
        <f t="shared" ref="AI24:AI34" si="22">$AI$23*(1+(AH24/100))</f>
        <v>48996.252924263674</v>
      </c>
      <c r="AJ24" s="31">
        <f t="dataTable" ref="AJ24:AJ34" dt2D="0" dtr="0" r1="B52"/>
        <v>112096.01843538992</v>
      </c>
      <c r="AK24" s="36">
        <f t="shared" ref="AK24:AK34" si="23">100*((AJ24-$AJ$29)/$AJ$29)</f>
        <v>-31.334378733128059</v>
      </c>
      <c r="AL24" s="2"/>
      <c r="AM24" s="82">
        <v>-30</v>
      </c>
      <c r="AN24" s="83">
        <f t="shared" ref="AN24:AN32" si="24">AK26</f>
        <v>-18.800627239876842</v>
      </c>
      <c r="AO24" s="83">
        <f t="shared" si="15"/>
        <v>-3.6082887911721344</v>
      </c>
      <c r="AP24" s="84">
        <f t="shared" si="13"/>
        <v>-2.7108271651561129</v>
      </c>
      <c r="AQ24" s="84">
        <f t="shared" si="14"/>
        <v>-20.617456995189677</v>
      </c>
      <c r="AR24" s="84">
        <f t="shared" si="16"/>
        <v>-5.1976616081732878</v>
      </c>
      <c r="AS24" s="53">
        <f t="shared" si="17"/>
        <v>3.6082887911721344</v>
      </c>
      <c r="AT24" s="35"/>
      <c r="AU24" s="35"/>
      <c r="AV24" s="35"/>
      <c r="AW24" s="35"/>
      <c r="AX24" s="35"/>
      <c r="AY24" s="35"/>
      <c r="AZ24" s="35"/>
    </row>
    <row r="25" spans="1:52" ht="15.75" customHeight="1" x14ac:dyDescent="0.25">
      <c r="A25" s="13"/>
      <c r="B25" s="2"/>
      <c r="C25" s="2"/>
      <c r="D25" s="2"/>
      <c r="E25" s="16" t="s">
        <v>89</v>
      </c>
      <c r="F25" s="2">
        <v>7</v>
      </c>
      <c r="G25" s="2" t="s">
        <v>54</v>
      </c>
      <c r="H25" s="15"/>
      <c r="I25" s="61" t="s">
        <v>144</v>
      </c>
      <c r="J25" s="61">
        <v>1.3</v>
      </c>
      <c r="K25" s="61" t="s">
        <v>145</v>
      </c>
      <c r="L25" s="59"/>
      <c r="M25" s="2"/>
      <c r="N25" s="11">
        <f t="shared" si="10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>
        <f t="shared" si="11"/>
        <v>0</v>
      </c>
      <c r="U25" s="22">
        <f t="shared" si="5"/>
        <v>0</v>
      </c>
      <c r="V25" s="22">
        <f t="shared" si="6"/>
        <v>0</v>
      </c>
      <c r="W25" s="22">
        <f t="shared" si="7"/>
        <v>0</v>
      </c>
      <c r="X25" s="21">
        <f t="shared" si="12"/>
        <v>0</v>
      </c>
      <c r="Y25" s="18">
        <f t="shared" si="0"/>
        <v>0</v>
      </c>
      <c r="Z25" s="3"/>
      <c r="AA25" s="6">
        <f t="shared" si="9"/>
        <v>0</v>
      </c>
      <c r="AB25" s="2"/>
      <c r="AC25" s="28">
        <f t="shared" si="18"/>
        <v>-40</v>
      </c>
      <c r="AD25" s="30">
        <f t="shared" si="19"/>
        <v>0.12622720897615708</v>
      </c>
      <c r="AE25" s="31">
        <v>155395.11482164377</v>
      </c>
      <c r="AF25" s="36">
        <f t="shared" si="20"/>
        <v>-4.8110517215628406</v>
      </c>
      <c r="AG25" s="2"/>
      <c r="AH25" s="28">
        <f t="shared" si="21"/>
        <v>-40</v>
      </c>
      <c r="AI25" s="32">
        <f t="shared" si="22"/>
        <v>58795.50350911641</v>
      </c>
      <c r="AJ25" s="31">
        <v>122326.6375758733</v>
      </c>
      <c r="AK25" s="36">
        <f t="shared" si="23"/>
        <v>-25.067502986502443</v>
      </c>
      <c r="AL25" s="2"/>
      <c r="AM25" s="82">
        <v>-20</v>
      </c>
      <c r="AN25" s="83">
        <f t="shared" si="24"/>
        <v>-12.533751493251263</v>
      </c>
      <c r="AO25" s="83">
        <f t="shared" si="15"/>
        <v>-2.4055258607813936</v>
      </c>
      <c r="AP25" s="84">
        <f t="shared" si="13"/>
        <v>-1.8072181101040752</v>
      </c>
      <c r="AQ25" s="84">
        <f t="shared" si="14"/>
        <v>-13.748093589337598</v>
      </c>
      <c r="AR25" s="84">
        <f t="shared" si="16"/>
        <v>-3.4651077387821743</v>
      </c>
      <c r="AS25" s="53">
        <f t="shared" si="17"/>
        <v>2.4055258607814292</v>
      </c>
      <c r="AT25" s="35"/>
      <c r="AU25" s="35"/>
      <c r="AV25" s="35"/>
      <c r="AW25" s="35"/>
      <c r="AX25" s="35"/>
      <c r="AY25" s="35"/>
      <c r="AZ25" s="35"/>
    </row>
    <row r="26" spans="1:5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 t="s">
        <v>146</v>
      </c>
      <c r="J26" s="62">
        <f>J12/2</f>
        <v>100</v>
      </c>
      <c r="K26" s="39" t="s">
        <v>147</v>
      </c>
      <c r="L26" s="40"/>
      <c r="M26" s="2"/>
      <c r="N26" s="11">
        <f t="shared" si="10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>
        <f t="shared" si="11"/>
        <v>0</v>
      </c>
      <c r="U26" s="22">
        <f t="shared" si="5"/>
        <v>0</v>
      </c>
      <c r="V26" s="22">
        <f t="shared" si="6"/>
        <v>0</v>
      </c>
      <c r="W26" s="22">
        <f t="shared" si="7"/>
        <v>0</v>
      </c>
      <c r="X26" s="21">
        <f t="shared" si="12"/>
        <v>0</v>
      </c>
      <c r="Y26" s="18">
        <f t="shared" si="0"/>
        <v>0</v>
      </c>
      <c r="Z26" s="3"/>
      <c r="AA26" s="6">
        <f t="shared" si="9"/>
        <v>0</v>
      </c>
      <c r="AB26" s="2"/>
      <c r="AC26" s="28">
        <f t="shared" si="18"/>
        <v>-30</v>
      </c>
      <c r="AD26" s="30">
        <f t="shared" si="19"/>
        <v>0.14726507713884993</v>
      </c>
      <c r="AE26" s="31">
        <v>157358.61465068453</v>
      </c>
      <c r="AF26" s="36">
        <f t="shared" si="20"/>
        <v>-3.6082887911721344</v>
      </c>
      <c r="AG26" s="2"/>
      <c r="AH26" s="28">
        <f t="shared" si="21"/>
        <v>-30</v>
      </c>
      <c r="AI26" s="32">
        <f t="shared" si="22"/>
        <v>68594.754093969139</v>
      </c>
      <c r="AJ26" s="31">
        <v>132557.25671635667</v>
      </c>
      <c r="AK26" s="36">
        <f t="shared" si="23"/>
        <v>-18.800627239876842</v>
      </c>
      <c r="AL26" s="2"/>
      <c r="AM26" s="82">
        <v>-10</v>
      </c>
      <c r="AN26" s="83">
        <f t="shared" si="24"/>
        <v>-6.2668757466256135</v>
      </c>
      <c r="AO26" s="83">
        <f t="shared" si="15"/>
        <v>-1.2027629303907412</v>
      </c>
      <c r="AP26" s="84">
        <f t="shared" si="13"/>
        <v>-0.90360905505205547</v>
      </c>
      <c r="AQ26" s="84">
        <f t="shared" si="14"/>
        <v>-10.812776789555814</v>
      </c>
      <c r="AR26" s="84">
        <f t="shared" si="16"/>
        <v>-1.7325538693910958</v>
      </c>
      <c r="AS26" s="53">
        <f t="shared" si="17"/>
        <v>1.2027629303906879</v>
      </c>
      <c r="AT26" s="35"/>
      <c r="AU26" s="35"/>
      <c r="AV26" s="35"/>
      <c r="AW26" s="35"/>
      <c r="AX26" s="35"/>
      <c r="AY26" s="35"/>
      <c r="AZ26" s="35"/>
    </row>
    <row r="27" spans="1:5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10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>
        <f t="shared" si="11"/>
        <v>0</v>
      </c>
      <c r="U27" s="22">
        <f t="shared" si="5"/>
        <v>0</v>
      </c>
      <c r="V27" s="22">
        <f t="shared" si="6"/>
        <v>0</v>
      </c>
      <c r="W27" s="22">
        <f t="shared" si="7"/>
        <v>0</v>
      </c>
      <c r="X27" s="21">
        <f t="shared" si="12"/>
        <v>0</v>
      </c>
      <c r="Y27" s="18">
        <f t="shared" si="0"/>
        <v>0</v>
      </c>
      <c r="Z27" s="3"/>
      <c r="AA27" s="6">
        <f t="shared" si="9"/>
        <v>0</v>
      </c>
      <c r="AB27" s="2"/>
      <c r="AC27" s="28">
        <f t="shared" si="18"/>
        <v>-20</v>
      </c>
      <c r="AD27" s="30">
        <f t="shared" si="19"/>
        <v>0.1683029453015428</v>
      </c>
      <c r="AE27" s="31">
        <v>159322.11447972534</v>
      </c>
      <c r="AF27" s="36">
        <f t="shared" si="20"/>
        <v>-2.4055258607813936</v>
      </c>
      <c r="AG27" s="2"/>
      <c r="AH27" s="28">
        <f t="shared" si="21"/>
        <v>-20</v>
      </c>
      <c r="AI27" s="32">
        <f t="shared" si="22"/>
        <v>78394.004678821875</v>
      </c>
      <c r="AJ27" s="31">
        <v>142787.87585683999</v>
      </c>
      <c r="AK27" s="36">
        <f t="shared" si="23"/>
        <v>-12.533751493251263</v>
      </c>
      <c r="AL27" s="2"/>
      <c r="AM27" s="82">
        <v>0</v>
      </c>
      <c r="AN27" s="83">
        <f t="shared" si="24"/>
        <v>0</v>
      </c>
      <c r="AO27" s="83">
        <f t="shared" si="15"/>
        <v>0</v>
      </c>
      <c r="AP27" s="84">
        <f t="shared" si="13"/>
        <v>0</v>
      </c>
      <c r="AQ27" s="84">
        <f t="shared" si="14"/>
        <v>0</v>
      </c>
      <c r="AR27" s="84">
        <f t="shared" si="16"/>
        <v>0</v>
      </c>
      <c r="AS27" s="53">
        <f t="shared" si="17"/>
        <v>0</v>
      </c>
      <c r="AT27" s="35"/>
      <c r="AU27" s="35"/>
      <c r="AV27" s="35"/>
      <c r="AW27" s="35"/>
      <c r="AX27" s="35"/>
      <c r="AY27" s="35"/>
      <c r="AZ27" s="35"/>
    </row>
    <row r="28" spans="1:52" ht="15.75" customHeight="1" x14ac:dyDescent="0.25">
      <c r="A28" s="1" t="s">
        <v>90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10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>
        <f t="shared" si="11"/>
        <v>0</v>
      </c>
      <c r="U28" s="22">
        <f t="shared" si="5"/>
        <v>0</v>
      </c>
      <c r="V28" s="22">
        <f t="shared" si="6"/>
        <v>0</v>
      </c>
      <c r="W28" s="22">
        <f t="shared" si="7"/>
        <v>0</v>
      </c>
      <c r="X28" s="21">
        <f t="shared" si="12"/>
        <v>0</v>
      </c>
      <c r="Y28" s="18">
        <f t="shared" si="0"/>
        <v>0</v>
      </c>
      <c r="Z28" s="3"/>
      <c r="AA28" s="6">
        <f t="shared" si="9"/>
        <v>0</v>
      </c>
      <c r="AB28" s="2"/>
      <c r="AC28" s="28">
        <f t="shared" si="18"/>
        <v>-10</v>
      </c>
      <c r="AD28" s="30">
        <f t="shared" si="19"/>
        <v>0.18934081346423565</v>
      </c>
      <c r="AE28" s="31">
        <v>161285.614308766</v>
      </c>
      <c r="AF28" s="36">
        <f t="shared" si="20"/>
        <v>-1.2027629303907412</v>
      </c>
      <c r="AG28" s="2"/>
      <c r="AH28" s="28">
        <f t="shared" si="21"/>
        <v>-10</v>
      </c>
      <c r="AI28" s="32">
        <f t="shared" si="22"/>
        <v>88193.255263674611</v>
      </c>
      <c r="AJ28" s="31">
        <v>153018.49499732343</v>
      </c>
      <c r="AK28" s="36">
        <f t="shared" si="23"/>
        <v>-6.2668757466256135</v>
      </c>
      <c r="AL28" s="2"/>
      <c r="AM28" s="82">
        <v>10</v>
      </c>
      <c r="AN28" s="83">
        <f t="shared" si="24"/>
        <v>6.2668757466256135</v>
      </c>
      <c r="AO28" s="83">
        <f t="shared" si="15"/>
        <v>1.2027629303906879</v>
      </c>
      <c r="AP28" s="84">
        <f t="shared" si="13"/>
        <v>0.90360905505201972</v>
      </c>
      <c r="AQ28" s="84">
        <f t="shared" si="14"/>
        <v>2.9353167997817837</v>
      </c>
      <c r="AR28" s="84">
        <f t="shared" si="16"/>
        <v>1.732553869391078</v>
      </c>
      <c r="AS28" s="53">
        <f t="shared" si="17"/>
        <v>-1.2027629303907412</v>
      </c>
      <c r="AT28" s="35"/>
      <c r="AU28" s="35"/>
      <c r="AV28" s="35"/>
      <c r="AW28" s="35"/>
      <c r="AX28" s="35"/>
      <c r="AY28" s="35"/>
      <c r="AZ28" s="35"/>
    </row>
    <row r="29" spans="1:5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10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>
        <f t="shared" si="11"/>
        <v>0</v>
      </c>
      <c r="U29" s="22">
        <f t="shared" si="5"/>
        <v>0</v>
      </c>
      <c r="V29" s="22">
        <f t="shared" si="6"/>
        <v>0</v>
      </c>
      <c r="W29" s="22">
        <f t="shared" si="7"/>
        <v>0</v>
      </c>
      <c r="X29" s="21">
        <f t="shared" si="12"/>
        <v>0</v>
      </c>
      <c r="Y29" s="18">
        <f t="shared" si="0"/>
        <v>0</v>
      </c>
      <c r="Z29" s="3"/>
      <c r="AA29" s="6">
        <f t="shared" si="9"/>
        <v>0</v>
      </c>
      <c r="AB29" s="2"/>
      <c r="AC29" s="41">
        <v>0</v>
      </c>
      <c r="AD29" s="42">
        <f t="shared" si="19"/>
        <v>0.21037868162692849</v>
      </c>
      <c r="AE29" s="43">
        <v>163249.11413780681</v>
      </c>
      <c r="AF29" s="44">
        <f t="shared" si="20"/>
        <v>0</v>
      </c>
      <c r="AG29" s="2"/>
      <c r="AH29" s="41">
        <v>0</v>
      </c>
      <c r="AI29" s="45">
        <f t="shared" si="22"/>
        <v>97992.505848527348</v>
      </c>
      <c r="AJ29" s="43">
        <v>163249.11413780681</v>
      </c>
      <c r="AK29" s="44">
        <f t="shared" si="23"/>
        <v>0</v>
      </c>
      <c r="AL29" s="2"/>
      <c r="AM29" s="82">
        <v>20</v>
      </c>
      <c r="AN29" s="83">
        <f t="shared" si="24"/>
        <v>12.533751493251227</v>
      </c>
      <c r="AO29" s="83">
        <f t="shared" si="15"/>
        <v>2.405525860781411</v>
      </c>
      <c r="AP29" s="84">
        <f t="shared" si="13"/>
        <v>1.8072181101040574</v>
      </c>
      <c r="AQ29" s="84">
        <f t="shared" si="14"/>
        <v>5.8706335995635861</v>
      </c>
      <c r="AR29" s="84">
        <f t="shared" si="16"/>
        <v>3.4651077387821561</v>
      </c>
      <c r="AS29" s="53">
        <f t="shared" si="17"/>
        <v>-2.4055258607813936</v>
      </c>
      <c r="AT29" s="35"/>
      <c r="AU29" s="35"/>
      <c r="AV29" s="35"/>
      <c r="AW29" s="35"/>
      <c r="AX29" s="35"/>
      <c r="AY29" s="35"/>
      <c r="AZ29" s="35"/>
    </row>
    <row r="30" spans="1:52" ht="15.75" customHeight="1" x14ac:dyDescent="0.25">
      <c r="A30" s="7" t="s">
        <v>91</v>
      </c>
      <c r="B30" s="8"/>
      <c r="C30" s="8"/>
      <c r="D30" s="8"/>
      <c r="E30" s="10" t="s">
        <v>92</v>
      </c>
      <c r="F30" s="8"/>
      <c r="G30" s="8"/>
      <c r="H30" s="8"/>
      <c r="I30" s="10" t="s">
        <v>93</v>
      </c>
      <c r="J30" s="46"/>
      <c r="K30" s="8"/>
      <c r="L30" s="9"/>
      <c r="M30" s="2"/>
      <c r="N30" s="11">
        <f t="shared" si="10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>
        <f t="shared" si="11"/>
        <v>0</v>
      </c>
      <c r="U30" s="22">
        <f t="shared" si="5"/>
        <v>0</v>
      </c>
      <c r="V30" s="22">
        <f t="shared" si="6"/>
        <v>0</v>
      </c>
      <c r="W30" s="22">
        <f t="shared" si="7"/>
        <v>0</v>
      </c>
      <c r="X30" s="21">
        <f t="shared" si="12"/>
        <v>0</v>
      </c>
      <c r="Y30" s="18">
        <f t="shared" si="0"/>
        <v>0</v>
      </c>
      <c r="Z30" s="3"/>
      <c r="AA30" s="6">
        <f t="shared" si="9"/>
        <v>0</v>
      </c>
      <c r="AB30" s="2"/>
      <c r="AC30" s="28">
        <f t="shared" ref="AC30:AC34" si="25">AC29+10</f>
        <v>10</v>
      </c>
      <c r="AD30" s="30">
        <f t="shared" si="19"/>
        <v>0.23141654978962137</v>
      </c>
      <c r="AE30" s="31">
        <v>165212.61396684754</v>
      </c>
      <c r="AF30" s="36">
        <f t="shared" si="20"/>
        <v>1.2027629303906879</v>
      </c>
      <c r="AG30" s="2"/>
      <c r="AH30" s="28">
        <f t="shared" ref="AH30:AH34" si="26">AH29+10</f>
        <v>10</v>
      </c>
      <c r="AI30" s="32">
        <f t="shared" si="22"/>
        <v>107791.75643338008</v>
      </c>
      <c r="AJ30" s="31">
        <v>173479.73327829019</v>
      </c>
      <c r="AK30" s="36">
        <f t="shared" si="23"/>
        <v>6.2668757466256135</v>
      </c>
      <c r="AL30" s="2"/>
      <c r="AM30" s="82">
        <v>30</v>
      </c>
      <c r="AN30" s="83">
        <f t="shared" si="24"/>
        <v>18.800627239876803</v>
      </c>
      <c r="AO30" s="83">
        <f t="shared" si="15"/>
        <v>3.6082887911721344</v>
      </c>
      <c r="AP30" s="84">
        <f t="shared" si="13"/>
        <v>2.7108271651560951</v>
      </c>
      <c r="AQ30" s="84">
        <f t="shared" si="14"/>
        <v>8.8059503993453507</v>
      </c>
      <c r="AR30" s="84">
        <f t="shared" si="16"/>
        <v>5.1976616081732523</v>
      </c>
      <c r="AS30" s="53">
        <f t="shared" si="17"/>
        <v>-3.6082887911721344</v>
      </c>
      <c r="AT30" s="35"/>
      <c r="AU30" s="35"/>
      <c r="AV30" s="35"/>
      <c r="AW30" s="35"/>
      <c r="AX30" s="35"/>
      <c r="AY30" s="35"/>
      <c r="AZ30" s="35"/>
    </row>
    <row r="31" spans="1:52" ht="15.75" customHeight="1" x14ac:dyDescent="0.25">
      <c r="A31" s="25" t="s">
        <v>158</v>
      </c>
      <c r="B31" s="6">
        <f>IF(B11=0,0,-B11/B8)</f>
        <v>0</v>
      </c>
      <c r="C31" s="2" t="s">
        <v>3</v>
      </c>
      <c r="D31" s="2"/>
      <c r="E31" s="16" t="s">
        <v>94</v>
      </c>
      <c r="F31" s="24">
        <f>(J21/100)*B52</f>
        <v>29397.751754558205</v>
      </c>
      <c r="G31" s="2" t="s">
        <v>3</v>
      </c>
      <c r="H31" s="2"/>
      <c r="I31" s="16" t="s">
        <v>95</v>
      </c>
      <c r="J31" s="35">
        <f>ROUNDDOWN(J11/(F12/J12),0)</f>
        <v>2</v>
      </c>
      <c r="K31" s="2" t="s">
        <v>54</v>
      </c>
      <c r="L31" s="15"/>
      <c r="M31" s="2"/>
      <c r="N31" s="11">
        <f t="shared" si="10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>
        <f t="shared" si="11"/>
        <v>0</v>
      </c>
      <c r="U31" s="22">
        <f t="shared" si="5"/>
        <v>0</v>
      </c>
      <c r="V31" s="22">
        <f t="shared" si="6"/>
        <v>0</v>
      </c>
      <c r="W31" s="22">
        <f t="shared" si="7"/>
        <v>0</v>
      </c>
      <c r="X31" s="21">
        <f t="shared" si="12"/>
        <v>0</v>
      </c>
      <c r="Y31" s="18">
        <f t="shared" si="0"/>
        <v>0</v>
      </c>
      <c r="Z31" s="3"/>
      <c r="AA31" s="6">
        <f t="shared" si="9"/>
        <v>0</v>
      </c>
      <c r="AB31" s="2"/>
      <c r="AC31" s="28">
        <f t="shared" si="25"/>
        <v>20</v>
      </c>
      <c r="AD31" s="30">
        <f t="shared" si="19"/>
        <v>0.25245441795231416</v>
      </c>
      <c r="AE31" s="31">
        <v>167176.11379588832</v>
      </c>
      <c r="AF31" s="36">
        <f t="shared" si="20"/>
        <v>2.405525860781411</v>
      </c>
      <c r="AG31" s="2"/>
      <c r="AH31" s="28">
        <f t="shared" si="26"/>
        <v>20</v>
      </c>
      <c r="AI31" s="32">
        <f t="shared" si="22"/>
        <v>117591.00701823282</v>
      </c>
      <c r="AJ31" s="31">
        <v>183710.35241877357</v>
      </c>
      <c r="AK31" s="36">
        <f t="shared" si="23"/>
        <v>12.533751493251227</v>
      </c>
      <c r="AL31" s="2"/>
      <c r="AM31" s="82">
        <v>40</v>
      </c>
      <c r="AN31" s="83">
        <f t="shared" si="24"/>
        <v>25.067502986502422</v>
      </c>
      <c r="AO31" s="83">
        <f t="shared" si="15"/>
        <v>4.8110517215628219</v>
      </c>
      <c r="AP31" s="84">
        <f t="shared" si="13"/>
        <v>3.6144362202081148</v>
      </c>
      <c r="AQ31" s="84">
        <f t="shared" si="14"/>
        <v>11.741267199127188</v>
      </c>
      <c r="AR31" s="84">
        <f t="shared" si="16"/>
        <v>6.9302154775643485</v>
      </c>
      <c r="AS31" s="53">
        <f t="shared" si="17"/>
        <v>-4.8110517215628406</v>
      </c>
      <c r="AT31" s="35"/>
      <c r="AU31" s="35"/>
      <c r="AV31" s="35"/>
      <c r="AW31" s="35"/>
      <c r="AX31" s="35"/>
      <c r="AY31" s="35"/>
      <c r="AZ31" s="35"/>
    </row>
    <row r="32" spans="1:52" ht="15.75" customHeight="1" x14ac:dyDescent="0.25">
      <c r="A32" s="25" t="s">
        <v>45</v>
      </c>
      <c r="B32" s="6">
        <f>IF(B12=0,0,-(B12/100)*$B$50)</f>
        <v>0</v>
      </c>
      <c r="C32" s="2" t="s">
        <v>3</v>
      </c>
      <c r="D32" s="2"/>
      <c r="E32" s="16" t="s">
        <v>96</v>
      </c>
      <c r="F32" s="6">
        <f>B52-F31</f>
        <v>68594.754093969139</v>
      </c>
      <c r="G32" s="2" t="s">
        <v>3</v>
      </c>
      <c r="H32" s="2"/>
      <c r="I32" s="16" t="s">
        <v>60</v>
      </c>
      <c r="J32" s="14">
        <f>IF(J24="Yes",SUM(F50:F51),0)</f>
        <v>0</v>
      </c>
      <c r="K32" s="2" t="s">
        <v>50</v>
      </c>
      <c r="L32" s="15"/>
      <c r="M32" s="2"/>
      <c r="N32" s="11">
        <f t="shared" si="10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>
        <f t="shared" si="11"/>
        <v>0</v>
      </c>
      <c r="U32" s="22">
        <f t="shared" si="5"/>
        <v>0</v>
      </c>
      <c r="V32" s="22">
        <f t="shared" si="6"/>
        <v>0</v>
      </c>
      <c r="W32" s="22">
        <f t="shared" si="7"/>
        <v>0</v>
      </c>
      <c r="X32" s="21">
        <f t="shared" si="12"/>
        <v>0</v>
      </c>
      <c r="Y32" s="18">
        <f t="shared" si="0"/>
        <v>0</v>
      </c>
      <c r="Z32" s="3"/>
      <c r="AA32" s="6">
        <f t="shared" si="9"/>
        <v>0</v>
      </c>
      <c r="AB32" s="2"/>
      <c r="AC32" s="28">
        <f t="shared" si="25"/>
        <v>30</v>
      </c>
      <c r="AD32" s="30">
        <f t="shared" si="19"/>
        <v>0.27349228611500703</v>
      </c>
      <c r="AE32" s="31">
        <v>169139.6136249291</v>
      </c>
      <c r="AF32" s="36">
        <f t="shared" si="20"/>
        <v>3.6082887911721344</v>
      </c>
      <c r="AG32" s="2"/>
      <c r="AH32" s="28">
        <f t="shared" si="26"/>
        <v>30</v>
      </c>
      <c r="AI32" s="32">
        <f t="shared" si="22"/>
        <v>127390.25760308556</v>
      </c>
      <c r="AJ32" s="31">
        <v>193940.9715592569</v>
      </c>
      <c r="AK32" s="36">
        <f t="shared" si="23"/>
        <v>18.800627239876803</v>
      </c>
      <c r="AL32" s="2"/>
      <c r="AM32" s="82">
        <v>50</v>
      </c>
      <c r="AN32" s="83">
        <f t="shared" si="24"/>
        <v>31.334378733128066</v>
      </c>
      <c r="AO32" s="83">
        <f t="shared" si="15"/>
        <v>6.0138146519535107</v>
      </c>
      <c r="AP32" s="84">
        <f t="shared" si="13"/>
        <v>4.5180452752601523</v>
      </c>
      <c r="AQ32" s="84">
        <f t="shared" si="14"/>
        <v>35.281640598553594</v>
      </c>
      <c r="AR32" s="84">
        <f t="shared" si="16"/>
        <v>8.6627693469554075</v>
      </c>
      <c r="AS32" s="53">
        <f t="shared" si="17"/>
        <v>-6.013814651953564</v>
      </c>
      <c r="AT32" s="35"/>
      <c r="AU32" s="35"/>
      <c r="AV32" s="35"/>
      <c r="AW32" s="35"/>
      <c r="AX32" s="35"/>
      <c r="AY32" s="35"/>
      <c r="AZ32" s="35"/>
    </row>
    <row r="33" spans="1:52" ht="15.75" customHeight="1" x14ac:dyDescent="0.25">
      <c r="A33" s="25" t="s">
        <v>51</v>
      </c>
      <c r="B33" s="6">
        <f>IF(B13=0,0,(B13/100)*($B$49))</f>
        <v>5006.3932258064524</v>
      </c>
      <c r="C33" s="2" t="s">
        <v>3</v>
      </c>
      <c r="D33" s="2"/>
      <c r="E33" s="16" t="s">
        <v>97</v>
      </c>
      <c r="F33" s="24">
        <f>F32*(F22/100)*J20</f>
        <v>15605.30655637798</v>
      </c>
      <c r="G33" s="2" t="s">
        <v>3</v>
      </c>
      <c r="H33" s="2"/>
      <c r="I33" s="2"/>
      <c r="J33" s="2"/>
      <c r="K33" s="2"/>
      <c r="L33" s="15"/>
      <c r="M33" s="2"/>
      <c r="N33" s="11">
        <f t="shared" si="10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>
        <f t="shared" si="11"/>
        <v>0</v>
      </c>
      <c r="U33" s="22">
        <f t="shared" si="5"/>
        <v>0</v>
      </c>
      <c r="V33" s="22">
        <f t="shared" si="6"/>
        <v>0</v>
      </c>
      <c r="W33" s="22">
        <f t="shared" si="7"/>
        <v>0</v>
      </c>
      <c r="X33" s="21">
        <f t="shared" si="12"/>
        <v>0</v>
      </c>
      <c r="Y33" s="18">
        <f t="shared" si="0"/>
        <v>0</v>
      </c>
      <c r="Z33" s="3"/>
      <c r="AA33" s="6">
        <f t="shared" si="9"/>
        <v>0</v>
      </c>
      <c r="AB33" s="2"/>
      <c r="AC33" s="28">
        <f t="shared" si="25"/>
        <v>40</v>
      </c>
      <c r="AD33" s="30">
        <f t="shared" si="19"/>
        <v>0.29453015427769985</v>
      </c>
      <c r="AE33" s="31">
        <v>171103.11345396983</v>
      </c>
      <c r="AF33" s="36">
        <f t="shared" si="20"/>
        <v>4.8110517215628219</v>
      </c>
      <c r="AG33" s="2"/>
      <c r="AH33" s="28">
        <f t="shared" si="26"/>
        <v>40</v>
      </c>
      <c r="AI33" s="32">
        <f t="shared" si="22"/>
        <v>137189.50818793828</v>
      </c>
      <c r="AJ33" s="31">
        <v>204171.59069974028</v>
      </c>
      <c r="AK33" s="36">
        <f t="shared" si="23"/>
        <v>25.067502986502422</v>
      </c>
      <c r="AL33" s="2"/>
      <c r="AM33" s="29"/>
      <c r="AN33" s="33"/>
      <c r="AO33" s="34"/>
      <c r="AP33" s="37"/>
      <c r="AQ33" s="2"/>
      <c r="AR33" s="35"/>
      <c r="AS33" s="35"/>
      <c r="AT33" s="35"/>
      <c r="AU33" s="35"/>
      <c r="AV33" s="35"/>
      <c r="AW33" s="35"/>
      <c r="AX33" s="35"/>
      <c r="AY33" s="35"/>
      <c r="AZ33" s="35"/>
    </row>
    <row r="34" spans="1:52" ht="15.75" customHeight="1" x14ac:dyDescent="0.25">
      <c r="A34" s="25" t="s">
        <v>55</v>
      </c>
      <c r="B34" s="6">
        <f>IF(B14=0,0,(B14/100)*$B$49)</f>
        <v>14303.980645161291</v>
      </c>
      <c r="C34" s="2" t="s">
        <v>3</v>
      </c>
      <c r="D34" s="2"/>
      <c r="E34" s="2"/>
      <c r="F34" s="35"/>
      <c r="G34" s="2"/>
      <c r="H34" s="2"/>
      <c r="I34" s="16" t="s">
        <v>98</v>
      </c>
      <c r="J34" s="6">
        <f>F12*B5</f>
        <v>610480</v>
      </c>
      <c r="K34" s="2" t="s">
        <v>99</v>
      </c>
      <c r="L34" s="15"/>
      <c r="M34" s="2"/>
      <c r="N34" s="11">
        <f t="shared" si="10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>
        <f t="shared" si="11"/>
        <v>0</v>
      </c>
      <c r="U34" s="22">
        <f t="shared" si="5"/>
        <v>0</v>
      </c>
      <c r="V34" s="22">
        <f t="shared" si="6"/>
        <v>0</v>
      </c>
      <c r="W34" s="22">
        <f t="shared" si="7"/>
        <v>0</v>
      </c>
      <c r="X34" s="21">
        <f t="shared" si="12"/>
        <v>0</v>
      </c>
      <c r="Y34" s="18">
        <f t="shared" si="0"/>
        <v>0</v>
      </c>
      <c r="Z34" s="3"/>
      <c r="AA34" s="6">
        <f t="shared" si="9"/>
        <v>0</v>
      </c>
      <c r="AB34" s="2"/>
      <c r="AC34" s="28">
        <f t="shared" si="25"/>
        <v>50</v>
      </c>
      <c r="AD34" s="30">
        <f t="shared" si="19"/>
        <v>0.31556802244039273</v>
      </c>
      <c r="AE34" s="31">
        <v>173066.61328301055</v>
      </c>
      <c r="AF34" s="36">
        <f t="shared" si="20"/>
        <v>6.0138146519535107</v>
      </c>
      <c r="AG34" s="2"/>
      <c r="AH34" s="28">
        <f t="shared" si="26"/>
        <v>50</v>
      </c>
      <c r="AI34" s="32">
        <f t="shared" si="22"/>
        <v>146988.75877279101</v>
      </c>
      <c r="AJ34" s="31">
        <v>214402.20984022372</v>
      </c>
      <c r="AK34" s="36">
        <f t="shared" si="23"/>
        <v>31.334378733128066</v>
      </c>
      <c r="AL34" s="2"/>
      <c r="AM34" s="29"/>
      <c r="AN34" s="33"/>
      <c r="AO34" s="34"/>
      <c r="AP34" s="37"/>
      <c r="AQ34" s="2"/>
      <c r="AR34" s="35"/>
      <c r="AS34" s="35"/>
      <c r="AT34" s="35"/>
      <c r="AU34" s="35"/>
      <c r="AV34" s="35"/>
      <c r="AW34" s="35"/>
      <c r="AX34" s="35"/>
      <c r="AY34" s="35"/>
      <c r="AZ34" s="35"/>
    </row>
    <row r="35" spans="1:52" ht="15.75" customHeight="1" x14ac:dyDescent="0.25">
      <c r="A35" s="16" t="s">
        <v>70</v>
      </c>
      <c r="B35" s="6">
        <f>IF(B18=0,0,(B18/100)*$B$49)</f>
        <v>0</v>
      </c>
      <c r="C35" s="2" t="s">
        <v>3</v>
      </c>
      <c r="D35" s="2"/>
      <c r="E35" s="1" t="s">
        <v>100</v>
      </c>
      <c r="F35" s="2"/>
      <c r="G35" s="2"/>
      <c r="H35" s="2"/>
      <c r="I35" s="2"/>
      <c r="J35" s="2"/>
      <c r="K35" s="2"/>
      <c r="L35" s="15"/>
      <c r="M35" s="2"/>
      <c r="N35" s="11">
        <f t="shared" si="10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>
        <f t="shared" si="11"/>
        <v>0</v>
      </c>
      <c r="U35" s="22">
        <f t="shared" si="5"/>
        <v>0</v>
      </c>
      <c r="V35" s="22">
        <f t="shared" si="6"/>
        <v>0</v>
      </c>
      <c r="W35" s="22">
        <f t="shared" si="7"/>
        <v>0</v>
      </c>
      <c r="X35" s="21">
        <f t="shared" si="12"/>
        <v>0</v>
      </c>
      <c r="Y35" s="18">
        <f t="shared" si="0"/>
        <v>0</v>
      </c>
      <c r="Z35" s="3"/>
      <c r="AA35" s="6">
        <f t="shared" si="9"/>
        <v>0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5.75" customHeight="1" x14ac:dyDescent="0.25">
      <c r="A36" s="25" t="s">
        <v>72</v>
      </c>
      <c r="B36" s="6">
        <f>IF(B19=0,0,(B19/100)*$B$49)</f>
        <v>7151.9903225806456</v>
      </c>
      <c r="C36" s="2" t="s">
        <v>3</v>
      </c>
      <c r="D36" s="2"/>
      <c r="E36" s="16" t="s">
        <v>31</v>
      </c>
      <c r="F36" s="14">
        <f>F13/$B$8</f>
        <v>0.21037868162692849</v>
      </c>
      <c r="G36" s="2" t="s">
        <v>32</v>
      </c>
      <c r="H36" s="2"/>
      <c r="I36" s="2"/>
      <c r="J36" s="2"/>
      <c r="K36" s="2"/>
      <c r="L36" s="15"/>
      <c r="M36" s="2"/>
      <c r="N36" s="11">
        <f t="shared" si="10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>
        <f t="shared" si="11"/>
        <v>0</v>
      </c>
      <c r="U36" s="22">
        <f t="shared" si="5"/>
        <v>0</v>
      </c>
      <c r="V36" s="22">
        <f t="shared" si="6"/>
        <v>0</v>
      </c>
      <c r="W36" s="22">
        <f t="shared" si="7"/>
        <v>0</v>
      </c>
      <c r="X36" s="21">
        <f t="shared" si="12"/>
        <v>0</v>
      </c>
      <c r="Y36" s="18">
        <f t="shared" si="0"/>
        <v>0</v>
      </c>
      <c r="Z36" s="3"/>
      <c r="AA36" s="6">
        <f t="shared" si="9"/>
        <v>0</v>
      </c>
      <c r="AB36" s="2"/>
      <c r="AC36" s="27" t="s">
        <v>34</v>
      </c>
      <c r="AD36" s="28"/>
      <c r="AE36" s="28"/>
      <c r="AF36" s="28"/>
      <c r="AG36" s="2"/>
      <c r="AH36" s="27" t="s">
        <v>101</v>
      </c>
      <c r="AI36" s="28"/>
      <c r="AJ36" s="28"/>
      <c r="AK36" s="28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5.75" customHeight="1" x14ac:dyDescent="0.25">
      <c r="A37" s="25" t="s">
        <v>74</v>
      </c>
      <c r="B37" s="6">
        <f>IF(B20=0,0,(B20/100)*$B$49)</f>
        <v>0</v>
      </c>
      <c r="C37" s="2" t="s">
        <v>3</v>
      </c>
      <c r="D37" s="2"/>
      <c r="E37" s="16" t="s">
        <v>102</v>
      </c>
      <c r="F37" s="6">
        <f>(F20/((1-J14%)*J10))/B8</f>
        <v>0</v>
      </c>
      <c r="G37" s="2" t="s">
        <v>32</v>
      </c>
      <c r="H37" s="2"/>
      <c r="I37" s="1" t="s">
        <v>103</v>
      </c>
      <c r="J37" s="47">
        <f>SUM(J38:J40)</f>
        <v>3718.4199719495091</v>
      </c>
      <c r="K37" s="1" t="s">
        <v>50</v>
      </c>
      <c r="L37" s="15"/>
      <c r="M37" s="2"/>
      <c r="N37" s="11">
        <f t="shared" si="10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>
        <f t="shared" si="11"/>
        <v>0</v>
      </c>
      <c r="U37" s="22">
        <f t="shared" si="5"/>
        <v>0</v>
      </c>
      <c r="V37" s="22">
        <f t="shared" si="6"/>
        <v>0</v>
      </c>
      <c r="W37" s="22">
        <f t="shared" si="7"/>
        <v>0</v>
      </c>
      <c r="X37" s="21">
        <f t="shared" si="12"/>
        <v>0</v>
      </c>
      <c r="Y37" s="18">
        <f t="shared" si="0"/>
        <v>0</v>
      </c>
      <c r="Z37" s="3"/>
      <c r="AA37" s="6">
        <f t="shared" si="9"/>
        <v>0</v>
      </c>
      <c r="AB37" s="2"/>
      <c r="AC37" s="28" t="s">
        <v>79</v>
      </c>
      <c r="AD37" s="28" t="s">
        <v>104</v>
      </c>
      <c r="AE37" s="28" t="s">
        <v>24</v>
      </c>
      <c r="AF37" s="28" t="s">
        <v>81</v>
      </c>
      <c r="AG37" s="2"/>
      <c r="AH37" s="28" t="s">
        <v>79</v>
      </c>
      <c r="AI37" s="28" t="s">
        <v>105</v>
      </c>
      <c r="AJ37" s="28" t="s">
        <v>24</v>
      </c>
      <c r="AK37" s="28" t="s">
        <v>81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5.75" customHeight="1" x14ac:dyDescent="0.25">
      <c r="A38" s="25" t="s">
        <v>167</v>
      </c>
      <c r="B38" s="14">
        <f>IF(B17=0,0,(B17/B8))</f>
        <v>10.23842917251052</v>
      </c>
      <c r="C38" s="2" t="s">
        <v>3</v>
      </c>
      <c r="D38" s="2"/>
      <c r="E38" s="16" t="s">
        <v>106</v>
      </c>
      <c r="F38" s="48">
        <f>F36*J17</f>
        <v>3.9971949509116415E-2</v>
      </c>
      <c r="G38" s="2" t="s">
        <v>4</v>
      </c>
      <c r="H38" s="2"/>
      <c r="I38" s="16" t="s">
        <v>73</v>
      </c>
      <c r="J38" s="14">
        <f>F19/$B$8</f>
        <v>55.539971949509116</v>
      </c>
      <c r="K38" s="2" t="s">
        <v>50</v>
      </c>
      <c r="L38" s="15"/>
      <c r="M38" s="2"/>
      <c r="N38" s="11">
        <f t="shared" si="10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>
        <f t="shared" si="11"/>
        <v>0</v>
      </c>
      <c r="U38" s="22">
        <f t="shared" si="5"/>
        <v>0</v>
      </c>
      <c r="V38" s="22">
        <f t="shared" si="6"/>
        <v>0</v>
      </c>
      <c r="W38" s="22">
        <f t="shared" si="7"/>
        <v>0</v>
      </c>
      <c r="X38" s="21">
        <f t="shared" si="12"/>
        <v>0</v>
      </c>
      <c r="Y38" s="18">
        <f t="shared" si="0"/>
        <v>0</v>
      </c>
      <c r="Z38" s="3"/>
      <c r="AA38" s="6">
        <f t="shared" si="9"/>
        <v>0</v>
      </c>
      <c r="AB38" s="2"/>
      <c r="AC38" s="28" t="s">
        <v>84</v>
      </c>
      <c r="AD38" s="32">
        <v>11907</v>
      </c>
      <c r="AE38" s="31">
        <f>Y49</f>
        <v>163249.11413780681</v>
      </c>
      <c r="AF38" s="28"/>
      <c r="AG38" s="2"/>
      <c r="AH38" s="28" t="s">
        <v>84</v>
      </c>
      <c r="AI38" s="32">
        <v>61048</v>
      </c>
      <c r="AJ38" s="31">
        <f>Y49</f>
        <v>163249.11413780681</v>
      </c>
      <c r="AK38" s="28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5.75" customHeight="1" x14ac:dyDescent="0.25">
      <c r="A39" s="2"/>
      <c r="B39" s="2"/>
      <c r="C39" s="2"/>
      <c r="D39" s="2"/>
      <c r="E39" s="2"/>
      <c r="F39" s="2"/>
      <c r="G39" s="2"/>
      <c r="H39" s="2"/>
      <c r="I39" s="16" t="s">
        <v>65</v>
      </c>
      <c r="J39" s="14">
        <f>F16/$B$8</f>
        <v>0</v>
      </c>
      <c r="K39" s="2" t="s">
        <v>50</v>
      </c>
      <c r="L39" s="15"/>
      <c r="M39" s="2"/>
      <c r="N39" s="11">
        <f t="shared" si="10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>
        <f t="shared" si="11"/>
        <v>0</v>
      </c>
      <c r="U39" s="22">
        <f t="shared" si="5"/>
        <v>0</v>
      </c>
      <c r="V39" s="22">
        <f t="shared" si="6"/>
        <v>0</v>
      </c>
      <c r="W39" s="22">
        <f t="shared" si="7"/>
        <v>0</v>
      </c>
      <c r="X39" s="21">
        <f t="shared" si="12"/>
        <v>0</v>
      </c>
      <c r="Y39" s="18">
        <f t="shared" si="0"/>
        <v>0</v>
      </c>
      <c r="Z39" s="3"/>
      <c r="AA39" s="6">
        <f t="shared" si="9"/>
        <v>0</v>
      </c>
      <c r="AB39" s="2"/>
      <c r="AC39" s="28">
        <f t="shared" ref="AC39:AC43" si="27">AC40-10</f>
        <v>-50</v>
      </c>
      <c r="AD39" s="32">
        <f t="shared" ref="AD39:AD49" si="28">$AD$38*(1+(AC39/100))</f>
        <v>5953.5</v>
      </c>
      <c r="AE39" s="31">
        <f t="dataTable" ref="AE39:AE49" dt2D="0" dtr="0" r1="B48" ca="1"/>
        <v>155873.44524959952</v>
      </c>
      <c r="AF39" s="36">
        <f>100*((AE39-$AE$44)/$AE$44)</f>
        <v>-4.5180452752601878</v>
      </c>
      <c r="AG39" s="2"/>
      <c r="AH39" s="28">
        <f t="shared" ref="AH39:AH43" si="29">AH40-10</f>
        <v>-50</v>
      </c>
      <c r="AI39" s="32">
        <f t="shared" ref="AI39:AI49" si="30">$AI$38*(1+(AH39/100))</f>
        <v>30524</v>
      </c>
      <c r="AJ39" s="31">
        <f t="dataTable" ref="AJ39:AJ49" dt2D="0" dtr="0" r1="F12" ca="1"/>
        <v>119139.15983487184</v>
      </c>
      <c r="AK39" s="36">
        <f t="shared" ref="AK39:AK49" si="31">100*((AJ39-$AJ$44)/$AJ$44)</f>
        <v>-27.020026746178566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5.75" customHeight="1" x14ac:dyDescent="0.25">
      <c r="A40" s="16" t="s">
        <v>107</v>
      </c>
      <c r="B40" s="6">
        <f>-B34*B15</f>
        <v>0</v>
      </c>
      <c r="C40" s="2" t="s">
        <v>3</v>
      </c>
      <c r="D40" s="2"/>
      <c r="E40" s="16" t="s">
        <v>108</v>
      </c>
      <c r="F40" s="14">
        <f>F37*F12*J17</f>
        <v>0</v>
      </c>
      <c r="G40" s="2" t="s">
        <v>50</v>
      </c>
      <c r="H40" s="2"/>
      <c r="I40" s="16" t="s">
        <v>49</v>
      </c>
      <c r="J40" s="20">
        <f>F21*F12/$B$8</f>
        <v>3662.88</v>
      </c>
      <c r="K40" s="2" t="s">
        <v>50</v>
      </c>
      <c r="L40" s="15"/>
      <c r="M40" s="2"/>
      <c r="N40" s="11">
        <f t="shared" si="10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>
        <f t="shared" si="11"/>
        <v>0</v>
      </c>
      <c r="U40" s="22">
        <f t="shared" si="5"/>
        <v>0</v>
      </c>
      <c r="V40" s="22">
        <f t="shared" si="6"/>
        <v>0</v>
      </c>
      <c r="W40" s="22">
        <f t="shared" si="7"/>
        <v>0</v>
      </c>
      <c r="X40" s="21">
        <f t="shared" si="12"/>
        <v>0</v>
      </c>
      <c r="Y40" s="18">
        <f t="shared" si="0"/>
        <v>0</v>
      </c>
      <c r="Z40" s="3"/>
      <c r="AA40" s="6">
        <f t="shared" si="9"/>
        <v>0</v>
      </c>
      <c r="AB40" s="2"/>
      <c r="AC40" s="28">
        <f t="shared" si="27"/>
        <v>-40</v>
      </c>
      <c r="AD40" s="32">
        <f t="shared" si="28"/>
        <v>7144.2</v>
      </c>
      <c r="AE40" s="31">
        <v>157348.57902724101</v>
      </c>
      <c r="AF40" s="36">
        <f t="shared" ref="AF40:AF49" si="32">100*((AE40-$AE$29)/$AE$29)</f>
        <v>-3.6144362202081322</v>
      </c>
      <c r="AG40" s="2"/>
      <c r="AH40" s="28">
        <f t="shared" si="29"/>
        <v>-40</v>
      </c>
      <c r="AI40" s="32">
        <f t="shared" si="30"/>
        <v>36628.799999999996</v>
      </c>
      <c r="AJ40" s="31">
        <v>124799.41956263437</v>
      </c>
      <c r="AK40" s="36">
        <f t="shared" si="31"/>
        <v>-23.552773794971479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5.75" customHeight="1" x14ac:dyDescent="0.25">
      <c r="A41" s="2"/>
      <c r="B41" s="2"/>
      <c r="C41" s="2"/>
      <c r="D41" s="2"/>
      <c r="E41" s="16" t="s">
        <v>109</v>
      </c>
      <c r="F41" s="35">
        <f>F38*F12</f>
        <v>2440.2075736325392</v>
      </c>
      <c r="G41" s="26" t="s">
        <v>50</v>
      </c>
      <c r="H41" s="2"/>
      <c r="I41" s="2"/>
      <c r="J41" s="2"/>
      <c r="K41" s="2"/>
      <c r="L41" s="15"/>
      <c r="M41" s="2"/>
      <c r="N41" s="11">
        <f t="shared" si="10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>
        <f t="shared" si="11"/>
        <v>0</v>
      </c>
      <c r="U41" s="22">
        <f t="shared" si="5"/>
        <v>0</v>
      </c>
      <c r="V41" s="22">
        <f t="shared" si="6"/>
        <v>0</v>
      </c>
      <c r="W41" s="22">
        <f t="shared" si="7"/>
        <v>0</v>
      </c>
      <c r="X41" s="21">
        <f t="shared" si="12"/>
        <v>0</v>
      </c>
      <c r="Y41" s="18">
        <f t="shared" si="0"/>
        <v>0</v>
      </c>
      <c r="Z41" s="3"/>
      <c r="AA41" s="6">
        <f t="shared" si="9"/>
        <v>0</v>
      </c>
      <c r="AB41" s="2"/>
      <c r="AC41" s="28">
        <f t="shared" si="27"/>
        <v>-30</v>
      </c>
      <c r="AD41" s="32">
        <f t="shared" si="28"/>
        <v>8334.9</v>
      </c>
      <c r="AE41" s="31">
        <v>158823.71280488244</v>
      </c>
      <c r="AF41" s="36">
        <f t="shared" si="32"/>
        <v>-2.7108271651561129</v>
      </c>
      <c r="AG41" s="2"/>
      <c r="AH41" s="28">
        <f t="shared" si="29"/>
        <v>-30</v>
      </c>
      <c r="AI41" s="32">
        <f t="shared" si="30"/>
        <v>42733.599999999999</v>
      </c>
      <c r="AJ41" s="31">
        <v>129591.29823541638</v>
      </c>
      <c r="AK41" s="36">
        <f t="shared" si="31"/>
        <v>-20.617456995189677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5"/>
      <c r="M42" s="2"/>
      <c r="N42" s="11">
        <f t="shared" si="10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>
        <f t="shared" si="11"/>
        <v>0</v>
      </c>
      <c r="U42" s="22">
        <f t="shared" si="5"/>
        <v>0</v>
      </c>
      <c r="V42" s="22">
        <f t="shared" si="6"/>
        <v>0</v>
      </c>
      <c r="W42" s="22">
        <f t="shared" si="7"/>
        <v>0</v>
      </c>
      <c r="X42" s="21">
        <f t="shared" si="12"/>
        <v>0</v>
      </c>
      <c r="Y42" s="18">
        <f t="shared" si="0"/>
        <v>0</v>
      </c>
      <c r="Z42" s="3"/>
      <c r="AA42" s="6">
        <f t="shared" si="9"/>
        <v>0</v>
      </c>
      <c r="AB42" s="2"/>
      <c r="AC42" s="28">
        <f t="shared" si="27"/>
        <v>-20</v>
      </c>
      <c r="AD42" s="32">
        <f t="shared" si="28"/>
        <v>9525.6</v>
      </c>
      <c r="AE42" s="31">
        <v>160298.8465825239</v>
      </c>
      <c r="AF42" s="36">
        <f t="shared" si="32"/>
        <v>-1.8072181101040752</v>
      </c>
      <c r="AG42" s="2"/>
      <c r="AH42" s="28">
        <f t="shared" si="29"/>
        <v>-20</v>
      </c>
      <c r="AI42" s="32">
        <f t="shared" si="30"/>
        <v>48838.400000000001</v>
      </c>
      <c r="AJ42" s="31">
        <v>140805.47314237658</v>
      </c>
      <c r="AK42" s="36">
        <f t="shared" si="31"/>
        <v>-13.748093589337598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2"/>
      <c r="N43" s="11">
        <f t="shared" si="10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>
        <f t="shared" si="11"/>
        <v>0</v>
      </c>
      <c r="U43" s="22">
        <f t="shared" si="5"/>
        <v>0</v>
      </c>
      <c r="V43" s="22">
        <f t="shared" si="6"/>
        <v>0</v>
      </c>
      <c r="W43" s="22">
        <f t="shared" si="7"/>
        <v>0</v>
      </c>
      <c r="X43" s="21">
        <f t="shared" si="12"/>
        <v>0</v>
      </c>
      <c r="Y43" s="18">
        <f t="shared" si="0"/>
        <v>0</v>
      </c>
      <c r="Z43" s="3"/>
      <c r="AA43" s="6">
        <f t="shared" si="9"/>
        <v>0</v>
      </c>
      <c r="AB43" s="2"/>
      <c r="AC43" s="28">
        <f t="shared" si="27"/>
        <v>-10</v>
      </c>
      <c r="AD43" s="32">
        <f t="shared" si="28"/>
        <v>10716.300000000001</v>
      </c>
      <c r="AE43" s="31">
        <v>161773.98036016533</v>
      </c>
      <c r="AF43" s="36">
        <f t="shared" si="32"/>
        <v>-0.90360905505205547</v>
      </c>
      <c r="AG43" s="2"/>
      <c r="AH43" s="28">
        <f t="shared" si="29"/>
        <v>-10</v>
      </c>
      <c r="AI43" s="32">
        <f t="shared" si="30"/>
        <v>54943.200000000004</v>
      </c>
      <c r="AJ43" s="31">
        <v>145597.35181515856</v>
      </c>
      <c r="AK43" s="36">
        <f t="shared" si="31"/>
        <v>-10.812776789555814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5.75" customHeight="1" x14ac:dyDescent="0.25">
      <c r="A44" s="23" t="s">
        <v>110</v>
      </c>
      <c r="B44" s="3"/>
      <c r="C44" s="1"/>
      <c r="D44" s="2"/>
      <c r="E44" s="1" t="s">
        <v>149</v>
      </c>
      <c r="F44" s="2"/>
      <c r="G44" s="2"/>
      <c r="H44" s="2"/>
      <c r="I44" s="1" t="s">
        <v>111</v>
      </c>
      <c r="J44" s="2"/>
      <c r="K44" s="2"/>
      <c r="L44" s="15"/>
      <c r="M44" s="2"/>
      <c r="N44" s="11">
        <f t="shared" si="10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>
        <f t="shared" si="11"/>
        <v>0</v>
      </c>
      <c r="U44" s="22">
        <f t="shared" si="5"/>
        <v>0</v>
      </c>
      <c r="V44" s="22">
        <f t="shared" si="6"/>
        <v>0</v>
      </c>
      <c r="W44" s="22">
        <f t="shared" si="7"/>
        <v>0</v>
      </c>
      <c r="X44" s="21">
        <f t="shared" si="12"/>
        <v>0</v>
      </c>
      <c r="Y44" s="18">
        <f t="shared" si="0"/>
        <v>0</v>
      </c>
      <c r="Z44" s="3"/>
      <c r="AA44" s="6">
        <f t="shared" si="9"/>
        <v>0</v>
      </c>
      <c r="AB44" s="2"/>
      <c r="AC44" s="41">
        <v>0</v>
      </c>
      <c r="AD44" s="45">
        <f t="shared" si="28"/>
        <v>11907</v>
      </c>
      <c r="AE44" s="43">
        <v>163249.11413780681</v>
      </c>
      <c r="AF44" s="44">
        <f t="shared" si="32"/>
        <v>0</v>
      </c>
      <c r="AG44" s="2"/>
      <c r="AH44" s="41">
        <v>0</v>
      </c>
      <c r="AI44" s="45">
        <f t="shared" si="30"/>
        <v>61048</v>
      </c>
      <c r="AJ44" s="43">
        <v>163249.11413780681</v>
      </c>
      <c r="AK44" s="44">
        <f t="shared" si="31"/>
        <v>0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5.75" customHeight="1" x14ac:dyDescent="0.25">
      <c r="A45" s="16" t="s">
        <v>183</v>
      </c>
      <c r="B45" s="6">
        <f>J8/B8</f>
        <v>42580.645161290326</v>
      </c>
      <c r="C45" s="2" t="s">
        <v>3</v>
      </c>
      <c r="D45" s="2"/>
      <c r="E45" s="16" t="s">
        <v>150</v>
      </c>
      <c r="F45" s="64">
        <f>((1+(B16/100))*J9*J10)*(1+(B13%+B19%))</f>
        <v>13931.189999999999</v>
      </c>
      <c r="G45" s="2" t="s">
        <v>3</v>
      </c>
      <c r="H45" s="2"/>
      <c r="I45" s="16" t="s">
        <v>112</v>
      </c>
      <c r="J45" s="48">
        <f>(F18%*F17)/B8</f>
        <v>56.80224403927069</v>
      </c>
      <c r="K45" s="2" t="s">
        <v>50</v>
      </c>
      <c r="L45" s="15"/>
      <c r="M45" s="2"/>
      <c r="N45" s="11">
        <f t="shared" si="10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>
        <f t="shared" si="11"/>
        <v>0</v>
      </c>
      <c r="U45" s="22">
        <f t="shared" si="5"/>
        <v>0</v>
      </c>
      <c r="V45" s="22">
        <f t="shared" si="6"/>
        <v>0</v>
      </c>
      <c r="W45" s="22">
        <f t="shared" si="7"/>
        <v>0</v>
      </c>
      <c r="X45" s="21">
        <f t="shared" si="12"/>
        <v>0</v>
      </c>
      <c r="Y45" s="18">
        <f t="shared" si="0"/>
        <v>0</v>
      </c>
      <c r="Z45" s="3"/>
      <c r="AA45" s="6">
        <f t="shared" si="9"/>
        <v>0</v>
      </c>
      <c r="AB45" s="2"/>
      <c r="AC45" s="28">
        <f t="shared" ref="AC45:AC49" si="33">AC44+10</f>
        <v>10</v>
      </c>
      <c r="AD45" s="32">
        <f t="shared" si="28"/>
        <v>13097.7</v>
      </c>
      <c r="AE45" s="31">
        <v>164724.24791544824</v>
      </c>
      <c r="AF45" s="36">
        <f t="shared" si="32"/>
        <v>0.90360905505201972</v>
      </c>
      <c r="AG45" s="2"/>
      <c r="AH45" s="28">
        <f t="shared" ref="AH45:AH49" si="34">AH44+10</f>
        <v>10</v>
      </c>
      <c r="AI45" s="32">
        <f t="shared" si="30"/>
        <v>67152.800000000003</v>
      </c>
      <c r="AJ45" s="31">
        <v>168040.9928105888</v>
      </c>
      <c r="AK45" s="36">
        <f t="shared" si="31"/>
        <v>2.9353167997817837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5.75" customHeight="1" x14ac:dyDescent="0.25">
      <c r="A46" s="16" t="s">
        <v>113</v>
      </c>
      <c r="B46" s="6">
        <f>IF(J24="No",J9*J10,0)</f>
        <v>8505</v>
      </c>
      <c r="C46" s="2" t="s">
        <v>3</v>
      </c>
      <c r="D46" s="2"/>
      <c r="E46" s="2" t="s">
        <v>151</v>
      </c>
      <c r="F46" s="64">
        <f>((J21%)*F45)+(((1-J21%)*F45)*(1+(F22%*J20)))</f>
        <v>16149.732007499999</v>
      </c>
      <c r="G46" s="2" t="s">
        <v>3</v>
      </c>
      <c r="H46" s="2"/>
      <c r="I46" s="16" t="s">
        <v>114</v>
      </c>
      <c r="J46" s="14">
        <f>F24/$B$8</f>
        <v>5.6100981767180924</v>
      </c>
      <c r="K46" s="2" t="s">
        <v>50</v>
      </c>
      <c r="L46" s="15"/>
      <c r="M46" s="2"/>
      <c r="N46" s="11">
        <f t="shared" si="10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>
        <f t="shared" si="11"/>
        <v>0</v>
      </c>
      <c r="U46" s="22">
        <f t="shared" si="5"/>
        <v>0</v>
      </c>
      <c r="V46" s="22">
        <f t="shared" si="6"/>
        <v>0</v>
      </c>
      <c r="W46" s="22">
        <f t="shared" si="7"/>
        <v>0</v>
      </c>
      <c r="X46" s="21">
        <f t="shared" si="12"/>
        <v>0</v>
      </c>
      <c r="Y46" s="18">
        <f t="shared" si="0"/>
        <v>0</v>
      </c>
      <c r="Z46" s="3"/>
      <c r="AA46" s="6">
        <f t="shared" si="9"/>
        <v>0</v>
      </c>
      <c r="AB46" s="2"/>
      <c r="AC46" s="28">
        <f t="shared" si="33"/>
        <v>20</v>
      </c>
      <c r="AD46" s="32">
        <f t="shared" si="28"/>
        <v>14288.4</v>
      </c>
      <c r="AE46" s="31">
        <v>166199.3816930897</v>
      </c>
      <c r="AF46" s="36">
        <f t="shared" si="32"/>
        <v>1.8072181101040574</v>
      </c>
      <c r="AG46" s="2"/>
      <c r="AH46" s="28">
        <f t="shared" si="34"/>
        <v>20</v>
      </c>
      <c r="AI46" s="32">
        <f t="shared" si="30"/>
        <v>73257.599999999991</v>
      </c>
      <c r="AJ46" s="31">
        <v>172832.87148337081</v>
      </c>
      <c r="AK46" s="36">
        <f t="shared" si="31"/>
        <v>5.8706335995635861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5.75" customHeight="1" x14ac:dyDescent="0.25">
      <c r="A47" s="25" t="s">
        <v>115</v>
      </c>
      <c r="B47" s="24">
        <f>(1+(B16/100))*B45</f>
        <v>59612.903225806454</v>
      </c>
      <c r="C47" s="2" t="s">
        <v>3</v>
      </c>
      <c r="D47" s="2"/>
      <c r="E47" s="2" t="s">
        <v>95</v>
      </c>
      <c r="F47" s="64">
        <f>J12*J11</f>
        <v>180000</v>
      </c>
      <c r="G47" s="2" t="s">
        <v>99</v>
      </c>
      <c r="H47" s="2"/>
      <c r="I47" s="2"/>
      <c r="J47" s="2"/>
      <c r="K47" s="2"/>
      <c r="L47" s="15"/>
      <c r="M47" s="2"/>
      <c r="N47" s="11">
        <f t="shared" si="10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>
        <f t="shared" si="11"/>
        <v>0</v>
      </c>
      <c r="U47" s="22">
        <f t="shared" si="5"/>
        <v>0</v>
      </c>
      <c r="V47" s="22">
        <f t="shared" si="6"/>
        <v>0</v>
      </c>
      <c r="W47" s="22">
        <f t="shared" si="7"/>
        <v>0</v>
      </c>
      <c r="X47" s="21">
        <f t="shared" si="12"/>
        <v>0</v>
      </c>
      <c r="Y47" s="18">
        <f t="shared" si="0"/>
        <v>0</v>
      </c>
      <c r="Z47" s="3"/>
      <c r="AA47" s="6">
        <f t="shared" si="9"/>
        <v>0</v>
      </c>
      <c r="AB47" s="2"/>
      <c r="AC47" s="28">
        <f t="shared" si="33"/>
        <v>30</v>
      </c>
      <c r="AD47" s="32">
        <f t="shared" si="28"/>
        <v>15479.1</v>
      </c>
      <c r="AE47" s="31">
        <v>167674.51547073116</v>
      </c>
      <c r="AF47" s="36">
        <f t="shared" si="32"/>
        <v>2.7108271651560951</v>
      </c>
      <c r="AG47" s="2"/>
      <c r="AH47" s="28">
        <f t="shared" si="34"/>
        <v>30</v>
      </c>
      <c r="AI47" s="32">
        <f t="shared" si="30"/>
        <v>79362.400000000009</v>
      </c>
      <c r="AJ47" s="31">
        <v>177624.75015615276</v>
      </c>
      <c r="AK47" s="36">
        <f t="shared" si="31"/>
        <v>8.8059503993453507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5.75" customHeight="1" x14ac:dyDescent="0.25">
      <c r="A48" s="25" t="s">
        <v>116</v>
      </c>
      <c r="B48" s="5">
        <f>(1+(B16/100))*B46</f>
        <v>11907</v>
      </c>
      <c r="C48" s="2" t="s">
        <v>3</v>
      </c>
      <c r="D48" s="2"/>
      <c r="E48" s="2" t="s">
        <v>152</v>
      </c>
      <c r="F48" s="65">
        <f>(F46/F47)*J25</f>
        <v>0.11663695338750001</v>
      </c>
      <c r="G48" s="2" t="s">
        <v>4</v>
      </c>
      <c r="H48" s="2"/>
      <c r="I48" s="2"/>
      <c r="J48" s="2"/>
      <c r="K48" s="2"/>
      <c r="L48" s="15"/>
      <c r="M48" s="2"/>
      <c r="N48" s="11">
        <f t="shared" si="10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>
        <f t="shared" si="11"/>
        <v>0</v>
      </c>
      <c r="U48" s="22">
        <f t="shared" si="5"/>
        <v>0</v>
      </c>
      <c r="V48" s="22">
        <f t="shared" si="6"/>
        <v>0</v>
      </c>
      <c r="W48" s="22">
        <f t="shared" si="7"/>
        <v>0</v>
      </c>
      <c r="X48" s="21">
        <f t="shared" si="12"/>
        <v>0</v>
      </c>
      <c r="Y48" s="18">
        <f t="shared" si="0"/>
        <v>0</v>
      </c>
      <c r="Z48" s="3"/>
      <c r="AA48" s="6">
        <f t="shared" si="9"/>
        <v>0</v>
      </c>
      <c r="AB48" s="2"/>
      <c r="AC48" s="28">
        <f t="shared" si="33"/>
        <v>40</v>
      </c>
      <c r="AD48" s="32">
        <f t="shared" si="28"/>
        <v>16669.8</v>
      </c>
      <c r="AE48" s="31">
        <v>169149.64924837259</v>
      </c>
      <c r="AF48" s="36">
        <f t="shared" si="32"/>
        <v>3.6144362202081148</v>
      </c>
      <c r="AG48" s="2"/>
      <c r="AH48" s="28">
        <f t="shared" si="34"/>
        <v>40</v>
      </c>
      <c r="AI48" s="32">
        <f t="shared" si="30"/>
        <v>85467.199999999997</v>
      </c>
      <c r="AJ48" s="31">
        <v>182416.62882893483</v>
      </c>
      <c r="AK48" s="36">
        <f t="shared" si="31"/>
        <v>11.741267199127188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5.75" customHeight="1" x14ac:dyDescent="0.25">
      <c r="A49" s="2" t="s">
        <v>117</v>
      </c>
      <c r="B49" s="24">
        <f>B47+B48</f>
        <v>71519.903225806454</v>
      </c>
      <c r="C49" s="2" t="s">
        <v>3</v>
      </c>
      <c r="D49" s="2"/>
      <c r="E49" s="2" t="s">
        <v>153</v>
      </c>
      <c r="F49" s="6">
        <f>J26*365</f>
        <v>36500</v>
      </c>
      <c r="G49" s="2" t="s">
        <v>44</v>
      </c>
      <c r="H49" s="2"/>
      <c r="I49" s="2"/>
      <c r="J49" s="2"/>
      <c r="K49" s="2"/>
      <c r="L49" s="15"/>
      <c r="M49" s="2"/>
      <c r="N49" s="12" t="s">
        <v>118</v>
      </c>
      <c r="O49" s="18">
        <f t="shared" ref="O49:Y49" si="35">SUM(O8:O48)</f>
        <v>29397.751754558205</v>
      </c>
      <c r="P49" s="18">
        <f t="shared" si="35"/>
        <v>72908.43965027557</v>
      </c>
      <c r="Q49" s="18">
        <f t="shared" si="35"/>
        <v>19634.998290407591</v>
      </c>
      <c r="R49" s="18">
        <f t="shared" si="35"/>
        <v>0</v>
      </c>
      <c r="S49" s="18">
        <f t="shared" si="35"/>
        <v>28712.653378780931</v>
      </c>
      <c r="T49" s="18">
        <f t="shared" si="35"/>
        <v>16.743397255301868</v>
      </c>
      <c r="U49" s="18">
        <f t="shared" si="35"/>
        <v>382.68382528187288</v>
      </c>
      <c r="V49" s="18">
        <f t="shared" si="35"/>
        <v>32035.78320620333</v>
      </c>
      <c r="W49" s="18">
        <f t="shared" si="35"/>
        <v>0</v>
      </c>
      <c r="X49" s="18">
        <f t="shared" si="35"/>
        <v>-19839.939364956004</v>
      </c>
      <c r="Y49" s="18">
        <f t="shared" si="35"/>
        <v>163249.11413780681</v>
      </c>
      <c r="Z49" s="3"/>
      <c r="AA49" s="3"/>
      <c r="AB49" s="2"/>
      <c r="AC49" s="28">
        <f t="shared" si="33"/>
        <v>50</v>
      </c>
      <c r="AD49" s="32">
        <f t="shared" si="28"/>
        <v>17860.5</v>
      </c>
      <c r="AE49" s="31">
        <v>170624.78302601405</v>
      </c>
      <c r="AF49" s="36">
        <f t="shared" si="32"/>
        <v>4.5180452752601523</v>
      </c>
      <c r="AG49" s="2"/>
      <c r="AH49" s="28">
        <f t="shared" si="34"/>
        <v>50</v>
      </c>
      <c r="AI49" s="32">
        <f t="shared" si="30"/>
        <v>91572</v>
      </c>
      <c r="AJ49" s="31">
        <v>220846.07986823036</v>
      </c>
      <c r="AK49" s="36">
        <f t="shared" si="31"/>
        <v>35.281640598553594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5.75" customHeight="1" x14ac:dyDescent="0.25">
      <c r="A50" s="25" t="s">
        <v>119</v>
      </c>
      <c r="B50" s="6">
        <f>SUM(B33:B38)+SUM(B49)</f>
        <v>97992.505848527348</v>
      </c>
      <c r="C50" s="2" t="s">
        <v>3</v>
      </c>
      <c r="D50" s="2"/>
      <c r="E50" s="2" t="s">
        <v>154</v>
      </c>
      <c r="F50" s="5">
        <f>F48*F49</f>
        <v>4257.24879864375</v>
      </c>
      <c r="G50" s="66" t="s">
        <v>50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14">
        <f>SUM(S48:U49)</f>
        <v>29112.080601318106</v>
      </c>
      <c r="T50" s="2"/>
      <c r="U50" s="2"/>
      <c r="V50" s="2"/>
      <c r="W50" s="2"/>
      <c r="X50" s="2"/>
      <c r="Y50" s="24"/>
      <c r="Z50" s="2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5.75" customHeight="1" x14ac:dyDescent="0.25">
      <c r="A51" s="25" t="s">
        <v>159</v>
      </c>
      <c r="B51" s="6">
        <f>SUM(B31:B32)</f>
        <v>0</v>
      </c>
      <c r="C51" s="2" t="s">
        <v>3</v>
      </c>
      <c r="D51" s="2"/>
      <c r="E51" s="2" t="s">
        <v>155</v>
      </c>
      <c r="F51" s="67">
        <f>IF(F12&gt;F49,(F12-F49)*F48,0)</f>
        <v>2863.2039317563504</v>
      </c>
      <c r="G51" s="66" t="s">
        <v>50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7" t="s">
        <v>49</v>
      </c>
      <c r="AD51" s="28"/>
      <c r="AE51" s="28"/>
      <c r="AF51" s="28"/>
      <c r="AG51" s="2"/>
      <c r="AH51" s="27" t="s">
        <v>146</v>
      </c>
      <c r="AI51" s="28"/>
      <c r="AJ51" s="28"/>
      <c r="AK51" s="28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5.75" customHeight="1" x14ac:dyDescent="0.25">
      <c r="A52" s="25" t="s">
        <v>160</v>
      </c>
      <c r="B52" s="6">
        <f>B50+B51</f>
        <v>97992.505848527348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8" t="s">
        <v>79</v>
      </c>
      <c r="AD52" s="28" t="s">
        <v>82</v>
      </c>
      <c r="AE52" s="28" t="s">
        <v>24</v>
      </c>
      <c r="AF52" s="28" t="s">
        <v>81</v>
      </c>
      <c r="AG52" s="2"/>
      <c r="AH52" s="28" t="s">
        <v>79</v>
      </c>
      <c r="AI52" s="28" t="s">
        <v>156</v>
      </c>
      <c r="AJ52" s="28" t="s">
        <v>24</v>
      </c>
      <c r="AK52" s="28" t="s">
        <v>81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8" t="s">
        <v>84</v>
      </c>
      <c r="AD53" s="32">
        <v>3662.88</v>
      </c>
      <c r="AE53" s="31">
        <f>Y49</f>
        <v>163249.11413780681</v>
      </c>
      <c r="AF53" s="28"/>
      <c r="AG53" s="2"/>
      <c r="AH53" s="28" t="s">
        <v>84</v>
      </c>
      <c r="AI53" s="32">
        <v>100</v>
      </c>
      <c r="AJ53" s="31">
        <f>Y49</f>
        <v>163249.11413780681</v>
      </c>
      <c r="AK53" s="28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121</v>
      </c>
      <c r="P54" s="51" t="str">
        <f>B1</f>
        <v>Thailand</v>
      </c>
      <c r="Q54" s="49"/>
      <c r="R54" s="49"/>
      <c r="S54" s="49"/>
      <c r="T54" s="49"/>
      <c r="U54" s="49"/>
      <c r="V54" s="49"/>
      <c r="W54" s="52"/>
      <c r="X54" s="2"/>
      <c r="Y54" s="35"/>
      <c r="Z54" s="35"/>
      <c r="AA54" s="52"/>
      <c r="AB54" s="35"/>
      <c r="AC54" s="28">
        <f t="shared" ref="AC54:AC58" si="36">AC55-10</f>
        <v>-50</v>
      </c>
      <c r="AD54" s="32">
        <f t="shared" ref="AD54:AD64" si="37">$AD$53*(1+(AC54/100))</f>
        <v>1831.44</v>
      </c>
      <c r="AE54" s="31">
        <f t="dataTable" ref="AE54:AE64" dt2D="0" dtr="0" r1="J40" ca="1"/>
        <v>149107.21991910058</v>
      </c>
      <c r="AF54" s="36">
        <f t="shared" ref="AF54:AF64" si="38">100*((AE54-$AE$59)/$AE$59)</f>
        <v>-8.6627693469554448</v>
      </c>
      <c r="AG54" s="2"/>
      <c r="AH54" s="28">
        <f t="shared" ref="AH54:AH56" si="39">AH55-20</f>
        <v>-100</v>
      </c>
      <c r="AI54" s="32">
        <f>$AI$53*(1+(AH54/100))</f>
        <v>0</v>
      </c>
      <c r="AJ54" s="31">
        <f t="dataTable" ref="AJ54:AJ64" dt2D="0" dtr="0" r1="J26" ca="1"/>
        <v>163249.11413780681</v>
      </c>
      <c r="AK54" s="36">
        <f>100*((AJ54-$AJ$59)/$AJ$59)</f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122</v>
      </c>
      <c r="P55" s="24">
        <f>SUM(O49:P49)</f>
        <v>102306.19140483378</v>
      </c>
      <c r="Q55" s="2" t="s">
        <v>3</v>
      </c>
      <c r="R55" s="48">
        <f t="shared" ref="R55:R59" si="40">P55/$J$34</f>
        <v>0.16758319912992037</v>
      </c>
      <c r="S55" s="2" t="s">
        <v>4</v>
      </c>
      <c r="T55" s="2"/>
      <c r="U55" s="2"/>
      <c r="V55" s="2"/>
      <c r="W55" s="52"/>
      <c r="X55" s="2"/>
      <c r="Y55" s="35"/>
      <c r="Z55" s="35"/>
      <c r="AA55" s="52"/>
      <c r="AB55" s="35"/>
      <c r="AC55" s="28">
        <f t="shared" si="36"/>
        <v>-40</v>
      </c>
      <c r="AD55" s="32">
        <f t="shared" si="37"/>
        <v>2197.7280000000001</v>
      </c>
      <c r="AE55" s="31">
        <v>151935.59876284184</v>
      </c>
      <c r="AF55" s="36">
        <f t="shared" si="38"/>
        <v>-6.9302154775643485</v>
      </c>
      <c r="AG55" s="2"/>
      <c r="AH55" s="28">
        <f t="shared" si="39"/>
        <v>-80</v>
      </c>
      <c r="AI55" s="32">
        <f t="shared" ref="AI55:AI64" si="41">$AI$53*(1+(AH55/100))</f>
        <v>19.999999999999996</v>
      </c>
      <c r="AJ55" s="31">
        <v>163249.11413780681</v>
      </c>
      <c r="AK55" s="36">
        <f t="shared" ref="AK55:AK64" si="42">100*((AJ55-$AJ$59)/$AJ$59)</f>
        <v>0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100</v>
      </c>
      <c r="P56" s="24">
        <f>SUM(Q49:R49)</f>
        <v>19634.998290407591</v>
      </c>
      <c r="Q56" s="2" t="s">
        <v>3</v>
      </c>
      <c r="R56" s="48">
        <f t="shared" si="40"/>
        <v>3.2163213029759517E-2</v>
      </c>
      <c r="S56" s="2" t="s">
        <v>4</v>
      </c>
      <c r="T56" s="2"/>
      <c r="U56" s="2"/>
      <c r="V56" s="2"/>
      <c r="W56" s="52"/>
      <c r="X56" s="2"/>
      <c r="Y56" s="35"/>
      <c r="Z56" s="35"/>
      <c r="AA56" s="52"/>
      <c r="AB56" s="35"/>
      <c r="AC56" s="28">
        <f t="shared" si="36"/>
        <v>-30</v>
      </c>
      <c r="AD56" s="32">
        <f t="shared" si="37"/>
        <v>2564.0160000000001</v>
      </c>
      <c r="AE56" s="31">
        <v>154763.97760658304</v>
      </c>
      <c r="AF56" s="36">
        <f t="shared" si="38"/>
        <v>-5.1976616081732878</v>
      </c>
      <c r="AG56" s="2"/>
      <c r="AH56" s="28">
        <f t="shared" si="39"/>
        <v>-60</v>
      </c>
      <c r="AI56" s="32">
        <f t="shared" si="41"/>
        <v>40</v>
      </c>
      <c r="AJ56" s="31">
        <v>163249.11413780681</v>
      </c>
      <c r="AK56" s="36">
        <f t="shared" si="42"/>
        <v>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123</v>
      </c>
      <c r="P57" s="24">
        <f>SUM(S49:U49)</f>
        <v>29112.080601318106</v>
      </c>
      <c r="Q57" s="2" t="s">
        <v>3</v>
      </c>
      <c r="R57" s="48">
        <f t="shared" si="40"/>
        <v>4.7687197944761672E-2</v>
      </c>
      <c r="S57" s="2" t="s">
        <v>4</v>
      </c>
      <c r="T57" s="2"/>
      <c r="U57" s="2"/>
      <c r="V57" s="2"/>
      <c r="W57" s="52"/>
      <c r="X57" s="2"/>
      <c r="Y57" s="35"/>
      <c r="Z57" s="35"/>
      <c r="AA57" s="52"/>
      <c r="AB57" s="35"/>
      <c r="AC57" s="28">
        <f t="shared" si="36"/>
        <v>-20</v>
      </c>
      <c r="AD57" s="32">
        <f t="shared" si="37"/>
        <v>2930.3040000000001</v>
      </c>
      <c r="AE57" s="31">
        <v>157592.35645032433</v>
      </c>
      <c r="AF57" s="36">
        <f t="shared" si="38"/>
        <v>-3.4651077387821743</v>
      </c>
      <c r="AG57" s="2"/>
      <c r="AH57" s="28">
        <f>AH58-20</f>
        <v>-40</v>
      </c>
      <c r="AI57" s="32">
        <f t="shared" si="41"/>
        <v>60</v>
      </c>
      <c r="AJ57" s="31">
        <v>163249.11413780681</v>
      </c>
      <c r="AK57" s="36">
        <f t="shared" si="42"/>
        <v>0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124</v>
      </c>
      <c r="P58" s="24">
        <f>SUM(V49:W49)</f>
        <v>32035.78320620333</v>
      </c>
      <c r="Q58" s="2" t="s">
        <v>3</v>
      </c>
      <c r="R58" s="48">
        <f t="shared" si="40"/>
        <v>5.2476384494501586E-2</v>
      </c>
      <c r="S58" s="2" t="s">
        <v>4</v>
      </c>
      <c r="T58" s="2"/>
      <c r="U58" s="2"/>
      <c r="V58" s="2"/>
      <c r="W58" s="52"/>
      <c r="X58" s="2"/>
      <c r="Y58" s="35"/>
      <c r="Z58" s="35"/>
      <c r="AA58" s="52"/>
      <c r="AB58" s="35"/>
      <c r="AC58" s="28">
        <f t="shared" si="36"/>
        <v>-10</v>
      </c>
      <c r="AD58" s="32">
        <f t="shared" si="37"/>
        <v>3296.5920000000001</v>
      </c>
      <c r="AE58" s="31">
        <v>160420.73529406555</v>
      </c>
      <c r="AF58" s="36">
        <f t="shared" si="38"/>
        <v>-1.7325538693910958</v>
      </c>
      <c r="AG58" s="2"/>
      <c r="AH58" s="28">
        <f>AH59-20</f>
        <v>-20</v>
      </c>
      <c r="AI58" s="32">
        <f t="shared" si="41"/>
        <v>80</v>
      </c>
      <c r="AJ58" s="31">
        <v>163249.11413780681</v>
      </c>
      <c r="AK58" s="36">
        <f t="shared" si="42"/>
        <v>0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125</v>
      </c>
      <c r="P59" s="24">
        <f>X49</f>
        <v>-19839.939364956004</v>
      </c>
      <c r="Q59" s="2" t="s">
        <v>3</v>
      </c>
      <c r="R59" s="48">
        <f t="shared" si="40"/>
        <v>-3.2498917843264322E-2</v>
      </c>
      <c r="S59" s="2" t="s">
        <v>4</v>
      </c>
      <c r="T59" s="2"/>
      <c r="U59" s="2"/>
      <c r="V59" s="2"/>
      <c r="W59" s="52"/>
      <c r="X59" s="2"/>
      <c r="Y59" s="35"/>
      <c r="Z59" s="35"/>
      <c r="AA59" s="52"/>
      <c r="AB59" s="35"/>
      <c r="AC59" s="41">
        <v>0</v>
      </c>
      <c r="AD59" s="45">
        <f t="shared" si="37"/>
        <v>3662.88</v>
      </c>
      <c r="AE59" s="43">
        <v>163249.11413780681</v>
      </c>
      <c r="AF59" s="44">
        <f t="shared" si="38"/>
        <v>0</v>
      </c>
      <c r="AG59" s="2"/>
      <c r="AH59" s="41">
        <v>0</v>
      </c>
      <c r="AI59" s="68">
        <f t="shared" si="41"/>
        <v>100</v>
      </c>
      <c r="AJ59" s="43">
        <v>163249.11413780681</v>
      </c>
      <c r="AK59" s="69">
        <f t="shared" si="42"/>
        <v>0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163249.11413780681</v>
      </c>
      <c r="Q60" s="1" t="s">
        <v>3</v>
      </c>
      <c r="R60" s="54">
        <f>SUM(R55:R59)</f>
        <v>0.26741107675567882</v>
      </c>
      <c r="S60" s="1" t="s">
        <v>4</v>
      </c>
      <c r="T60" s="1"/>
      <c r="U60" s="1"/>
      <c r="V60" s="2"/>
      <c r="W60" s="52"/>
      <c r="X60" s="2"/>
      <c r="Y60" s="35"/>
      <c r="Z60" s="35"/>
      <c r="AA60" s="52"/>
      <c r="AB60" s="35"/>
      <c r="AC60" s="28">
        <f t="shared" ref="AC60:AC64" si="43">AC59+10</f>
        <v>10</v>
      </c>
      <c r="AD60" s="32">
        <f t="shared" si="37"/>
        <v>4029.1680000000006</v>
      </c>
      <c r="AE60" s="31">
        <v>166077.49298154804</v>
      </c>
      <c r="AF60" s="36">
        <f t="shared" si="38"/>
        <v>1.732553869391078</v>
      </c>
      <c r="AG60" s="2"/>
      <c r="AH60" s="28">
        <f>AH59+20</f>
        <v>20</v>
      </c>
      <c r="AI60" s="32">
        <f t="shared" si="41"/>
        <v>120</v>
      </c>
      <c r="AJ60" s="31">
        <v>163249.11413780681</v>
      </c>
      <c r="AK60" s="36">
        <f t="shared" si="42"/>
        <v>0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52"/>
      <c r="X61" s="2"/>
      <c r="Y61" s="35"/>
      <c r="Z61" s="35"/>
      <c r="AA61" s="52"/>
      <c r="AB61" s="35"/>
      <c r="AC61" s="28">
        <f t="shared" si="43"/>
        <v>20</v>
      </c>
      <c r="AD61" s="32">
        <f t="shared" si="37"/>
        <v>4395.4560000000001</v>
      </c>
      <c r="AE61" s="31">
        <v>168905.87182528927</v>
      </c>
      <c r="AF61" s="36">
        <f t="shared" si="38"/>
        <v>3.4651077387821561</v>
      </c>
      <c r="AG61" s="2"/>
      <c r="AH61" s="28">
        <f t="shared" ref="AH61:AH64" si="44">AH60+20</f>
        <v>40</v>
      </c>
      <c r="AI61" s="32">
        <f t="shared" si="41"/>
        <v>140</v>
      </c>
      <c r="AJ61" s="31">
        <v>163249.11413780681</v>
      </c>
      <c r="AK61" s="36">
        <f t="shared" si="42"/>
        <v>0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52"/>
      <c r="X62" s="2"/>
      <c r="Y62" s="35"/>
      <c r="Z62" s="35"/>
      <c r="AA62" s="52"/>
      <c r="AB62" s="35"/>
      <c r="AC62" s="28">
        <f t="shared" si="43"/>
        <v>30</v>
      </c>
      <c r="AD62" s="32">
        <f t="shared" si="37"/>
        <v>4761.7440000000006</v>
      </c>
      <c r="AE62" s="31">
        <v>171734.25066903053</v>
      </c>
      <c r="AF62" s="36">
        <f t="shared" si="38"/>
        <v>5.1976616081732523</v>
      </c>
      <c r="AG62" s="2"/>
      <c r="AH62" s="28">
        <f t="shared" si="44"/>
        <v>60</v>
      </c>
      <c r="AI62" s="32">
        <f t="shared" si="41"/>
        <v>160</v>
      </c>
      <c r="AJ62" s="31">
        <v>163249.11413780681</v>
      </c>
      <c r="AK62" s="36">
        <f t="shared" si="42"/>
        <v>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52"/>
      <c r="X63" s="2"/>
      <c r="Y63" s="35"/>
      <c r="Z63" s="35"/>
      <c r="AA63" s="52"/>
      <c r="AB63" s="35"/>
      <c r="AC63" s="28">
        <f t="shared" si="43"/>
        <v>40</v>
      </c>
      <c r="AD63" s="32">
        <f t="shared" si="37"/>
        <v>5128.0320000000002</v>
      </c>
      <c r="AE63" s="31">
        <v>174562.62951277179</v>
      </c>
      <c r="AF63" s="36">
        <f t="shared" si="38"/>
        <v>6.9302154775643485</v>
      </c>
      <c r="AG63" s="2"/>
      <c r="AH63" s="28">
        <f t="shared" si="44"/>
        <v>80</v>
      </c>
      <c r="AI63" s="32">
        <f t="shared" si="41"/>
        <v>180</v>
      </c>
      <c r="AJ63" s="31">
        <v>163249.11413780681</v>
      </c>
      <c r="AK63" s="36">
        <f t="shared" si="42"/>
        <v>0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52"/>
      <c r="X64" s="2"/>
      <c r="Y64" s="35"/>
      <c r="Z64" s="35"/>
      <c r="AA64" s="52"/>
      <c r="AB64" s="35"/>
      <c r="AC64" s="28">
        <f t="shared" si="43"/>
        <v>50</v>
      </c>
      <c r="AD64" s="32">
        <f t="shared" si="37"/>
        <v>5494.32</v>
      </c>
      <c r="AE64" s="31">
        <v>177391.00835651299</v>
      </c>
      <c r="AF64" s="36">
        <f t="shared" si="38"/>
        <v>8.6627693469554075</v>
      </c>
      <c r="AG64" s="2"/>
      <c r="AH64" s="28">
        <f t="shared" si="44"/>
        <v>100</v>
      </c>
      <c r="AI64" s="32">
        <f t="shared" si="41"/>
        <v>200</v>
      </c>
      <c r="AJ64" s="31">
        <v>163249.11413780681</v>
      </c>
      <c r="AK64" s="36">
        <f t="shared" si="42"/>
        <v>0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52"/>
      <c r="X65" s="2"/>
      <c r="Y65" s="35"/>
      <c r="Z65" s="35"/>
      <c r="AA65" s="52"/>
      <c r="AB65" s="35"/>
      <c r="AC65" s="2"/>
      <c r="AD65" s="2"/>
      <c r="AE65" s="2"/>
      <c r="AF65" s="2"/>
      <c r="AG65" s="2"/>
      <c r="AH65" s="2"/>
      <c r="AI65" s="20"/>
      <c r="AJ65" s="6"/>
      <c r="AK65" s="53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52"/>
      <c r="X66" s="2"/>
      <c r="Y66" s="35"/>
      <c r="Z66" s="35"/>
      <c r="AA66" s="52"/>
      <c r="AB66" s="35"/>
      <c r="AC66" s="27" t="s">
        <v>182</v>
      </c>
      <c r="AD66" s="28"/>
      <c r="AE66" s="28"/>
      <c r="AF66" s="28"/>
      <c r="AG66" s="2"/>
      <c r="AH66" s="2"/>
      <c r="AI66" s="20"/>
      <c r="AJ66" s="6"/>
      <c r="AK66" s="53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52"/>
      <c r="X67" s="2"/>
      <c r="Y67" s="35"/>
      <c r="Z67" s="35"/>
      <c r="AA67" s="52"/>
      <c r="AB67" s="35"/>
      <c r="AC67" s="28" t="s">
        <v>79</v>
      </c>
      <c r="AD67" s="28" t="s">
        <v>182</v>
      </c>
      <c r="AE67" s="28" t="s">
        <v>24</v>
      </c>
      <c r="AF67" s="28" t="s">
        <v>81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52"/>
      <c r="X68" s="2"/>
      <c r="Y68" s="35"/>
      <c r="Z68" s="35"/>
      <c r="AA68" s="52"/>
      <c r="AB68" s="35"/>
      <c r="AC68" s="28" t="s">
        <v>84</v>
      </c>
      <c r="AD68" s="30">
        <v>0.19</v>
      </c>
      <c r="AE68" s="31">
        <f>Y49</f>
        <v>163249.11413780681</v>
      </c>
      <c r="AF68" s="28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5"/>
      <c r="Z69" s="55"/>
      <c r="AA69" s="2"/>
      <c r="AB69" s="55"/>
      <c r="AC69" s="28">
        <f t="shared" ref="AC69:AC73" si="45">AC70-10</f>
        <v>-50</v>
      </c>
      <c r="AD69" s="30">
        <f>$AD$68*(1+(-AC69/100))</f>
        <v>0.28500000000000003</v>
      </c>
      <c r="AE69" s="31">
        <f t="dataTable" ref="AE69:AE79" dt2D="0" dtr="0" r1="J17" ca="1"/>
        <v>173066.61328301055</v>
      </c>
      <c r="AF69" s="36">
        <f>100*((AE69-$AE$74)/$AE$74)</f>
        <v>6.0138146519535107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8">
        <f t="shared" si="45"/>
        <v>-40</v>
      </c>
      <c r="AD70" s="30">
        <f t="shared" ref="AD70:AD79" si="46">$AD$68*(1+(-AC70/100))</f>
        <v>0.26599999999999996</v>
      </c>
      <c r="AE70" s="31">
        <v>171103.11345396983</v>
      </c>
      <c r="AF70" s="36">
        <f t="shared" ref="AF70:AF79" si="47">100*((AE70-$AE$74)/$AE$74)</f>
        <v>4.8110517215628219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8">
        <f t="shared" si="45"/>
        <v>-30</v>
      </c>
      <c r="AD71" s="30">
        <f t="shared" si="46"/>
        <v>0.24700000000000003</v>
      </c>
      <c r="AE71" s="31">
        <v>169139.6136249291</v>
      </c>
      <c r="AF71" s="36">
        <f t="shared" si="47"/>
        <v>3.6082887911721344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8">
        <f t="shared" si="45"/>
        <v>-20</v>
      </c>
      <c r="AD72" s="30">
        <f t="shared" si="46"/>
        <v>0.22799999999999998</v>
      </c>
      <c r="AE72" s="31">
        <v>167176.11379588835</v>
      </c>
      <c r="AF72" s="36">
        <f t="shared" si="47"/>
        <v>2.4055258607814292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8">
        <f t="shared" si="45"/>
        <v>-10</v>
      </c>
      <c r="AD73" s="30">
        <f t="shared" si="46"/>
        <v>0.20900000000000002</v>
      </c>
      <c r="AE73" s="31">
        <v>165212.61396684754</v>
      </c>
      <c r="AF73" s="36">
        <f t="shared" si="47"/>
        <v>1.2027629303906879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41">
        <v>0</v>
      </c>
      <c r="AD74" s="86">
        <f t="shared" si="46"/>
        <v>0.19</v>
      </c>
      <c r="AE74" s="87">
        <v>163249.11413780681</v>
      </c>
      <c r="AF74" s="69">
        <f t="shared" si="47"/>
        <v>0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8">
        <f t="shared" ref="AC75:AC79" si="48">AC74+10</f>
        <v>10</v>
      </c>
      <c r="AD75" s="30">
        <f t="shared" si="46"/>
        <v>0.17100000000000001</v>
      </c>
      <c r="AE75" s="31">
        <v>161285.614308766</v>
      </c>
      <c r="AF75" s="36">
        <f t="shared" si="47"/>
        <v>-1.2027629303907412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8">
        <f t="shared" si="48"/>
        <v>20</v>
      </c>
      <c r="AD76" s="30">
        <f t="shared" si="46"/>
        <v>0.15200000000000002</v>
      </c>
      <c r="AE76" s="31">
        <v>159322.11447972534</v>
      </c>
      <c r="AF76" s="36">
        <f t="shared" si="47"/>
        <v>-2.4055258607813936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8">
        <f t="shared" si="48"/>
        <v>30</v>
      </c>
      <c r="AD77" s="30">
        <f t="shared" si="46"/>
        <v>0.13299999999999998</v>
      </c>
      <c r="AE77" s="31">
        <v>157358.61465068453</v>
      </c>
      <c r="AF77" s="36">
        <f t="shared" si="47"/>
        <v>-3.6082887911721344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8">
        <f t="shared" si="48"/>
        <v>40</v>
      </c>
      <c r="AD78" s="30">
        <f t="shared" si="46"/>
        <v>0.11399999999999999</v>
      </c>
      <c r="AE78" s="31">
        <v>155395.11482164377</v>
      </c>
      <c r="AF78" s="36">
        <f t="shared" si="47"/>
        <v>-4.8110517215628406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8">
        <f t="shared" si="48"/>
        <v>50</v>
      </c>
      <c r="AD79" s="30">
        <f t="shared" si="46"/>
        <v>9.5000000000000001E-2</v>
      </c>
      <c r="AE79" s="31">
        <v>153431.61499260299</v>
      </c>
      <c r="AF79" s="36">
        <f t="shared" si="47"/>
        <v>-6.013814651953564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dataValidations count="1">
    <dataValidation type="list" allowBlank="1" showInputMessage="1" showErrorMessage="1" sqref="J24" xr:uid="{43E1117D-7AAB-4D27-A5A8-9A6C26D90DE8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AP1000"/>
  <sheetViews>
    <sheetView topLeftCell="I1" zoomScale="85" zoomScaleNormal="85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31.7109375" customWidth="1"/>
    <col min="20" max="20" width="12.7109375" customWidth="1"/>
    <col min="21" max="21" width="22" customWidth="1"/>
    <col min="22" max="22" width="23.85546875" customWidth="1"/>
    <col min="23" max="23" width="12.7109375" customWidth="1"/>
    <col min="24" max="24" width="19.42578125" customWidth="1"/>
    <col min="25" max="25" width="13.42578125" customWidth="1"/>
    <col min="26" max="26" width="8.85546875" customWidth="1"/>
    <col min="27" max="27" width="20.140625" customWidth="1"/>
    <col min="28" max="28" width="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</cols>
  <sheetData>
    <row r="1" spans="1:35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1" t="s">
        <v>2</v>
      </c>
      <c r="B2" s="3">
        <f>V49</f>
        <v>163894.43024819024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2"/>
      <c r="B3" s="4">
        <f>B2/F41</f>
        <v>0.26846814023094984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126</v>
      </c>
      <c r="R7" s="11" t="s">
        <v>127</v>
      </c>
      <c r="S7" s="11" t="s">
        <v>19</v>
      </c>
      <c r="T7" s="11" t="s">
        <v>20</v>
      </c>
      <c r="U7" s="11" t="s">
        <v>23</v>
      </c>
      <c r="V7" s="12" t="s">
        <v>24</v>
      </c>
      <c r="W7" s="1"/>
      <c r="X7" s="2" t="s">
        <v>25</v>
      </c>
      <c r="Y7" s="2"/>
      <c r="Z7" s="2"/>
      <c r="AA7" s="2" t="s">
        <v>26</v>
      </c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183</v>
      </c>
      <c r="J8" s="6">
        <v>345000</v>
      </c>
      <c r="K8" s="2" t="s">
        <v>30</v>
      </c>
      <c r="L8" s="15"/>
      <c r="M8" s="2"/>
      <c r="N8" s="11">
        <v>0</v>
      </c>
      <c r="O8" s="17">
        <f>F31</f>
        <v>5802.9990387191328</v>
      </c>
      <c r="P8" s="11"/>
      <c r="Q8" s="11"/>
      <c r="R8" s="11"/>
      <c r="S8" s="11"/>
      <c r="T8" s="11"/>
      <c r="U8" s="11"/>
      <c r="V8" s="18">
        <f t="shared" ref="V8:V48" si="0">SUM(O8:U8)</f>
        <v>5802.9990387191328</v>
      </c>
      <c r="W8" s="3"/>
      <c r="X8" s="6"/>
      <c r="Y8" s="2"/>
      <c r="Z8" s="2"/>
      <c r="AA8" s="2" t="s">
        <v>161</v>
      </c>
      <c r="AB8" s="19">
        <f>F36</f>
        <v>1.2856661991584855</v>
      </c>
      <c r="AC8" s="2" t="s">
        <v>129</v>
      </c>
      <c r="AD8" s="2"/>
      <c r="AE8" s="2"/>
      <c r="AF8" s="2"/>
      <c r="AG8" s="2"/>
      <c r="AH8" s="2"/>
      <c r="AI8" s="2"/>
    </row>
    <row r="9" spans="1:35" x14ac:dyDescent="0.25">
      <c r="A9" s="13"/>
      <c r="B9" s="2"/>
      <c r="C9" s="2"/>
      <c r="D9" s="2"/>
      <c r="E9" s="2"/>
      <c r="F9" s="20"/>
      <c r="G9" s="2"/>
      <c r="H9" s="15"/>
      <c r="I9" s="2"/>
      <c r="J9" s="2"/>
      <c r="K9" s="2"/>
      <c r="L9" s="15"/>
      <c r="M9" s="2"/>
      <c r="N9" s="11">
        <v>1</v>
      </c>
      <c r="O9" s="11"/>
      <c r="P9" s="21">
        <f t="shared" ref="P9:P48" si="1">IF(N9&gt;0,IF(N9&lt;=$J$15,(($F$32+$F$33)/$J$15)/((1+($F$11/100))^N9),0),0)</f>
        <v>3165.8583644567711</v>
      </c>
      <c r="Q9" s="22">
        <f t="shared" ref="Q9:Q48" si="2">IF(N9&gt;0,($F$38*((1+($F$14/100))^(N9-1)))/((1+($F$11/100))^N9),0)</f>
        <v>11959.977162091765</v>
      </c>
      <c r="R9" s="22">
        <f t="shared" ref="R9:R48" si="3">IF(N9&gt;0,$J$31/((1+($F$11/100))^N9),0)</f>
        <v>5866.9904494757229</v>
      </c>
      <c r="S9" s="22">
        <f>$J$40/((1+($F$11/100))^N9)</f>
        <v>5.3429506444934214</v>
      </c>
      <c r="T9" s="22">
        <f t="shared" ref="T9:T48" si="4">IF(AND(N9&lt;=5,N9&gt;0),$J$41/((1+($F$11/100))^N9),IF(AND(N9&gt;5,N9&lt;=10),(((1-(N9-5)*10/100)*$J$41)/((1+($F$11/100))^N9)),IF(N9&gt;10,(((1-50/100)*$J$41)/((1+($F$11/100))^N9)),0)))</f>
        <v>108.19475055099178</v>
      </c>
      <c r="U9" s="21">
        <f t="shared" ref="U9:U48" si="5">IF(N9=$B$5,((((1-$J$12/100)^N9)*$B$45)/((1+($F$11/100))^N9))*-1,0)</f>
        <v>0</v>
      </c>
      <c r="V9" s="18">
        <f t="shared" si="0"/>
        <v>21106.363677219742</v>
      </c>
      <c r="W9" s="3"/>
      <c r="X9" s="6">
        <f t="shared" ref="X9:X48" si="6">IF(N9&gt;0,((((1-$J$12/100)^N9)*$B$44/((1+($F$11/100))^N9))),0)</f>
        <v>11989.677419354839</v>
      </c>
      <c r="Y9" s="2"/>
      <c r="Z9" s="2"/>
      <c r="AA9" s="16" t="s">
        <v>160</v>
      </c>
      <c r="AB9" s="24">
        <f>B47</f>
        <v>19343.330129063776</v>
      </c>
      <c r="AC9" s="2" t="s">
        <v>3</v>
      </c>
      <c r="AD9" s="2"/>
      <c r="AE9" s="6"/>
      <c r="AF9" s="2"/>
      <c r="AG9" s="2"/>
      <c r="AH9" s="2"/>
      <c r="AI9" s="2"/>
    </row>
    <row r="10" spans="1:35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130</v>
      </c>
      <c r="J10" s="14">
        <v>0.16</v>
      </c>
      <c r="K10" s="2" t="s">
        <v>131</v>
      </c>
      <c r="L10" s="15"/>
      <c r="M10" s="2"/>
      <c r="N10" s="11">
        <f t="shared" ref="N10:N48" si="7">IF((N9+1)&gt;$B$5,,IF(N9=0,,N9+1))</f>
        <v>2</v>
      </c>
      <c r="O10" s="11"/>
      <c r="P10" s="21">
        <f t="shared" si="1"/>
        <v>3015.103204244544</v>
      </c>
      <c r="Q10" s="22">
        <f t="shared" si="2"/>
        <v>11504.35898448827</v>
      </c>
      <c r="R10" s="22">
        <f t="shared" si="3"/>
        <v>5587.6099518816409</v>
      </c>
      <c r="S10" s="22">
        <f t="shared" ref="S10:S48" si="8">IF(N10&lt;=$F$24,0,$J$40/((1+($F$11/100))^N9))</f>
        <v>0</v>
      </c>
      <c r="T10" s="22">
        <f t="shared" si="4"/>
        <v>103.04261957237313</v>
      </c>
      <c r="U10" s="21">
        <f t="shared" si="5"/>
        <v>0</v>
      </c>
      <c r="V10" s="18">
        <f t="shared" si="0"/>
        <v>20210.114760186829</v>
      </c>
      <c r="W10" s="3"/>
      <c r="X10" s="6">
        <f t="shared" si="6"/>
        <v>10610.293579109062</v>
      </c>
      <c r="Y10" s="2"/>
      <c r="Z10" s="2"/>
      <c r="AA10" s="2" t="s">
        <v>43</v>
      </c>
      <c r="AB10" s="6">
        <f>F12</f>
        <v>61048</v>
      </c>
      <c r="AC10" s="2" t="s">
        <v>44</v>
      </c>
      <c r="AD10" s="2"/>
      <c r="AE10" s="6"/>
      <c r="AF10" s="2"/>
      <c r="AG10" s="2"/>
      <c r="AH10" s="2"/>
      <c r="AI10" s="2"/>
    </row>
    <row r="11" spans="1:35" x14ac:dyDescent="0.25">
      <c r="A11" s="25" t="s">
        <v>158</v>
      </c>
      <c r="B11" s="2">
        <v>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53</v>
      </c>
      <c r="J11" s="2">
        <v>30</v>
      </c>
      <c r="K11" s="2" t="s">
        <v>54</v>
      </c>
      <c r="L11" s="15"/>
      <c r="M11" s="2"/>
      <c r="N11" s="11">
        <f t="shared" si="7"/>
        <v>3</v>
      </c>
      <c r="O11" s="11"/>
      <c r="P11" s="21">
        <f t="shared" si="1"/>
        <v>2871.5268611852798</v>
      </c>
      <c r="Q11" s="22">
        <f t="shared" si="2"/>
        <v>11066.097689841097</v>
      </c>
      <c r="R11" s="22">
        <f t="shared" si="3"/>
        <v>5321.5332875063241</v>
      </c>
      <c r="S11" s="22">
        <f t="shared" si="8"/>
        <v>0</v>
      </c>
      <c r="T11" s="22">
        <f t="shared" si="4"/>
        <v>98.135828164164877</v>
      </c>
      <c r="U11" s="21">
        <f t="shared" si="5"/>
        <v>0</v>
      </c>
      <c r="V11" s="18">
        <f t="shared" si="0"/>
        <v>19357.293666696867</v>
      </c>
      <c r="W11" s="3"/>
      <c r="X11" s="6">
        <f t="shared" si="6"/>
        <v>9389.6045654363243</v>
      </c>
      <c r="Y11" s="2"/>
      <c r="Z11" s="2"/>
      <c r="AA11" s="16" t="s">
        <v>49</v>
      </c>
      <c r="AB11" s="6">
        <f>J34</f>
        <v>6104.8</v>
      </c>
      <c r="AC11" s="2" t="s">
        <v>50</v>
      </c>
      <c r="AD11" s="2"/>
      <c r="AE11" s="6"/>
      <c r="AF11" s="2"/>
      <c r="AG11" s="2"/>
      <c r="AH11" s="2"/>
      <c r="AI11" s="2"/>
    </row>
    <row r="12" spans="1:35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61048</v>
      </c>
      <c r="G12" s="2" t="s">
        <v>44</v>
      </c>
      <c r="H12" s="15"/>
      <c r="I12" s="16" t="s">
        <v>62</v>
      </c>
      <c r="J12" s="2">
        <v>7.08</v>
      </c>
      <c r="K12" s="2" t="s">
        <v>63</v>
      </c>
      <c r="L12" s="15"/>
      <c r="M12" s="2"/>
      <c r="N12" s="11">
        <f t="shared" si="7"/>
        <v>4</v>
      </c>
      <c r="O12" s="11"/>
      <c r="P12" s="21">
        <f t="shared" si="1"/>
        <v>2734.7874868431236</v>
      </c>
      <c r="Q12" s="22">
        <f t="shared" si="2"/>
        <v>10644.532063561437</v>
      </c>
      <c r="R12" s="22">
        <f t="shared" si="3"/>
        <v>5068.1269404822142</v>
      </c>
      <c r="S12" s="22">
        <f t="shared" si="8"/>
        <v>0</v>
      </c>
      <c r="T12" s="22">
        <f t="shared" si="4"/>
        <v>93.462693489680845</v>
      </c>
      <c r="U12" s="21">
        <f t="shared" si="5"/>
        <v>0</v>
      </c>
      <c r="V12" s="18">
        <f t="shared" si="0"/>
        <v>18540.909184376455</v>
      </c>
      <c r="W12" s="3"/>
      <c r="X12" s="6">
        <f t="shared" si="6"/>
        <v>8309.3529163842213</v>
      </c>
      <c r="Y12" s="2"/>
      <c r="Z12" s="2"/>
      <c r="AA12" s="89" t="s">
        <v>182</v>
      </c>
      <c r="AB12" s="90">
        <f>J10</f>
        <v>0.16</v>
      </c>
      <c r="AC12" s="89" t="s">
        <v>131</v>
      </c>
      <c r="AD12" s="2"/>
      <c r="AE12" s="6"/>
      <c r="AF12" s="2"/>
      <c r="AG12" s="2"/>
      <c r="AH12" s="2"/>
      <c r="AI12" s="2"/>
    </row>
    <row r="13" spans="1:35" x14ac:dyDescent="0.25">
      <c r="A13" s="25" t="s">
        <v>51</v>
      </c>
      <c r="B13" s="2">
        <v>7</v>
      </c>
      <c r="C13" s="2" t="s">
        <v>40</v>
      </c>
      <c r="D13" s="2"/>
      <c r="E13" s="16" t="s">
        <v>128</v>
      </c>
      <c r="F13" s="14">
        <v>45.834000000000003</v>
      </c>
      <c r="G13" s="14" t="s">
        <v>132</v>
      </c>
      <c r="H13" s="15"/>
      <c r="I13" s="16"/>
      <c r="J13" s="6"/>
      <c r="K13" s="2"/>
      <c r="L13" s="15"/>
      <c r="M13" s="2"/>
      <c r="N13" s="11">
        <f t="shared" si="7"/>
        <v>5</v>
      </c>
      <c r="O13" s="11"/>
      <c r="P13" s="21">
        <f t="shared" si="1"/>
        <v>2604.5595112791652</v>
      </c>
      <c r="Q13" s="22">
        <f t="shared" si="2"/>
        <v>10239.026080187667</v>
      </c>
      <c r="R13" s="22">
        <f t="shared" si="3"/>
        <v>4826.787562364013</v>
      </c>
      <c r="S13" s="22">
        <f t="shared" si="8"/>
        <v>0</v>
      </c>
      <c r="T13" s="22">
        <f t="shared" si="4"/>
        <v>89.01208903779127</v>
      </c>
      <c r="U13" s="21">
        <f t="shared" si="5"/>
        <v>0</v>
      </c>
      <c r="V13" s="18">
        <f t="shared" si="0"/>
        <v>17759.385242868637</v>
      </c>
      <c r="W13" s="3"/>
      <c r="X13" s="6">
        <f t="shared" si="6"/>
        <v>7353.3816475278281</v>
      </c>
      <c r="Y13" s="2"/>
      <c r="Z13" s="2"/>
      <c r="AA13" s="2"/>
      <c r="AB13" s="2"/>
      <c r="AC13" s="2"/>
      <c r="AD13" s="2"/>
      <c r="AE13" s="6"/>
      <c r="AF13" s="2"/>
      <c r="AG13" s="2"/>
      <c r="AH13" s="2"/>
      <c r="AI13" s="2"/>
    </row>
    <row r="14" spans="1:35" x14ac:dyDescent="0.25">
      <c r="A14" s="25" t="s">
        <v>55</v>
      </c>
      <c r="B14" s="2">
        <v>20</v>
      </c>
      <c r="C14" s="2" t="s">
        <v>40</v>
      </c>
      <c r="D14" s="2"/>
      <c r="E14" s="16" t="s">
        <v>133</v>
      </c>
      <c r="F14" s="2">
        <v>1</v>
      </c>
      <c r="G14" s="2" t="s">
        <v>57</v>
      </c>
      <c r="H14" s="15"/>
      <c r="I14" s="1" t="s">
        <v>78</v>
      </c>
      <c r="J14" s="2"/>
      <c r="K14" s="2"/>
      <c r="L14" s="15"/>
      <c r="M14" s="2"/>
      <c r="N14" s="11">
        <f t="shared" si="7"/>
        <v>6</v>
      </c>
      <c r="O14" s="11"/>
      <c r="P14" s="21">
        <f t="shared" si="1"/>
        <v>0</v>
      </c>
      <c r="Q14" s="22">
        <f t="shared" si="2"/>
        <v>9848.9679437995655</v>
      </c>
      <c r="R14" s="22">
        <f t="shared" si="3"/>
        <v>4596.9405355847748</v>
      </c>
      <c r="S14" s="22">
        <f t="shared" si="8"/>
        <v>0</v>
      </c>
      <c r="T14" s="22">
        <f t="shared" si="4"/>
        <v>76.296076318106813</v>
      </c>
      <c r="U14" s="21">
        <f t="shared" si="5"/>
        <v>0</v>
      </c>
      <c r="V14" s="18">
        <f t="shared" si="0"/>
        <v>14522.204555702447</v>
      </c>
      <c r="W14" s="3"/>
      <c r="X14" s="6">
        <f t="shared" si="6"/>
        <v>6507.3925970312939</v>
      </c>
      <c r="Y14" s="2"/>
      <c r="Z14" s="2"/>
      <c r="AA14" s="2"/>
      <c r="AB14" s="2"/>
      <c r="AC14" s="2"/>
      <c r="AD14" s="2"/>
      <c r="AE14" s="6"/>
      <c r="AF14" s="2"/>
      <c r="AG14" s="2"/>
      <c r="AH14" s="2"/>
      <c r="AI14" s="2"/>
    </row>
    <row r="15" spans="1:35" x14ac:dyDescent="0.25">
      <c r="A15" s="25" t="s">
        <v>59</v>
      </c>
      <c r="B15" s="2">
        <v>0</v>
      </c>
      <c r="C15" s="2" t="s">
        <v>54</v>
      </c>
      <c r="D15" s="2"/>
      <c r="E15" s="16" t="s">
        <v>65</v>
      </c>
      <c r="F15" s="2">
        <v>0</v>
      </c>
      <c r="G15" s="2" t="s">
        <v>61</v>
      </c>
      <c r="H15" s="15"/>
      <c r="I15" s="16" t="s">
        <v>83</v>
      </c>
      <c r="J15" s="2">
        <v>5</v>
      </c>
      <c r="K15" s="2" t="s">
        <v>54</v>
      </c>
      <c r="L15" s="15"/>
      <c r="M15" s="2"/>
      <c r="N15" s="11">
        <f t="shared" si="7"/>
        <v>7</v>
      </c>
      <c r="O15" s="11"/>
      <c r="P15" s="21">
        <f t="shared" si="1"/>
        <v>0</v>
      </c>
      <c r="Q15" s="22">
        <f t="shared" si="2"/>
        <v>9473.7691649881544</v>
      </c>
      <c r="R15" s="22">
        <f t="shared" si="3"/>
        <v>4378.0386053188322</v>
      </c>
      <c r="S15" s="22">
        <f t="shared" si="8"/>
        <v>0</v>
      </c>
      <c r="T15" s="22">
        <f t="shared" si="4"/>
        <v>64.589270957127454</v>
      </c>
      <c r="U15" s="21">
        <f t="shared" si="5"/>
        <v>0</v>
      </c>
      <c r="V15" s="18">
        <f t="shared" si="0"/>
        <v>13916.397041264114</v>
      </c>
      <c r="W15" s="3"/>
      <c r="X15" s="6">
        <f t="shared" si="6"/>
        <v>5758.73257253474</v>
      </c>
      <c r="Y15" s="2"/>
      <c r="Z15" s="2"/>
      <c r="AA15" s="2"/>
      <c r="AB15" s="2"/>
      <c r="AC15" s="2"/>
      <c r="AD15" s="2"/>
      <c r="AE15" s="6"/>
      <c r="AF15" s="2"/>
      <c r="AG15" s="2"/>
      <c r="AH15" s="2"/>
      <c r="AI15" s="2"/>
    </row>
    <row r="16" spans="1:35" x14ac:dyDescent="0.25">
      <c r="A16" s="25" t="s">
        <v>64</v>
      </c>
      <c r="B16" s="2">
        <v>40</v>
      </c>
      <c r="C16" s="2" t="s">
        <v>40</v>
      </c>
      <c r="D16" s="2"/>
      <c r="E16" s="16" t="s">
        <v>67</v>
      </c>
      <c r="F16" s="6">
        <v>4050</v>
      </c>
      <c r="G16" s="2" t="s">
        <v>61</v>
      </c>
      <c r="H16" s="15"/>
      <c r="I16" s="16" t="s">
        <v>87</v>
      </c>
      <c r="J16" s="2">
        <v>30</v>
      </c>
      <c r="K16" s="2" t="s">
        <v>88</v>
      </c>
      <c r="L16" s="15"/>
      <c r="M16" s="2"/>
      <c r="N16" s="11">
        <f t="shared" si="7"/>
        <v>8</v>
      </c>
      <c r="O16" s="11"/>
      <c r="P16" s="21">
        <f t="shared" si="1"/>
        <v>0</v>
      </c>
      <c r="Q16" s="22">
        <f t="shared" si="2"/>
        <v>9112.8636729886039</v>
      </c>
      <c r="R16" s="22">
        <f t="shared" si="3"/>
        <v>4169.5605764941265</v>
      </c>
      <c r="S16" s="22">
        <f t="shared" si="8"/>
        <v>3.9869920343905831</v>
      </c>
      <c r="T16" s="22">
        <f t="shared" si="4"/>
        <v>53.824392464272876</v>
      </c>
      <c r="U16" s="21">
        <f t="shared" si="5"/>
        <v>0</v>
      </c>
      <c r="V16" s="18">
        <f t="shared" si="0"/>
        <v>13340.235633981392</v>
      </c>
      <c r="W16" s="3"/>
      <c r="X16" s="6">
        <f t="shared" si="6"/>
        <v>5096.2041013326498</v>
      </c>
      <c r="Y16" s="2"/>
      <c r="Z16" s="2"/>
      <c r="AA16" s="2"/>
      <c r="AB16" s="2"/>
      <c r="AC16" s="2"/>
      <c r="AD16" s="2"/>
      <c r="AE16" s="6"/>
      <c r="AF16" s="2"/>
      <c r="AG16" s="2"/>
      <c r="AH16" s="2"/>
      <c r="AI16" s="2"/>
    </row>
    <row r="17" spans="1:42" x14ac:dyDescent="0.25">
      <c r="A17" s="25" t="s">
        <v>167</v>
      </c>
      <c r="B17" s="2">
        <v>365</v>
      </c>
      <c r="C17" s="2" t="s">
        <v>30</v>
      </c>
      <c r="D17" s="2"/>
      <c r="E17" s="16" t="s">
        <v>71</v>
      </c>
      <c r="F17" s="2">
        <v>100</v>
      </c>
      <c r="G17" s="2" t="s">
        <v>40</v>
      </c>
      <c r="H17" s="15"/>
      <c r="I17" s="2"/>
      <c r="J17" s="2"/>
      <c r="K17" s="2"/>
      <c r="L17" s="15"/>
      <c r="M17" s="2"/>
      <c r="N17" s="11">
        <f t="shared" si="7"/>
        <v>9</v>
      </c>
      <c r="O17" s="11"/>
      <c r="P17" s="21">
        <f t="shared" si="1"/>
        <v>0</v>
      </c>
      <c r="Q17" s="22">
        <f t="shared" si="2"/>
        <v>8765.7069616366589</v>
      </c>
      <c r="R17" s="22">
        <f t="shared" si="3"/>
        <v>3971.010072851549</v>
      </c>
      <c r="S17" s="22">
        <f t="shared" si="8"/>
        <v>3.7971352708481749</v>
      </c>
      <c r="T17" s="22">
        <f t="shared" si="4"/>
        <v>43.938279562671738</v>
      </c>
      <c r="U17" s="21">
        <f t="shared" si="5"/>
        <v>0</v>
      </c>
      <c r="V17" s="18">
        <f t="shared" si="0"/>
        <v>12784.452449321727</v>
      </c>
      <c r="W17" s="3"/>
      <c r="X17" s="6">
        <f t="shared" si="6"/>
        <v>4509.8979532936164</v>
      </c>
      <c r="Y17" s="2"/>
      <c r="Z17" s="2"/>
      <c r="AA17" s="2"/>
      <c r="AB17" s="2"/>
      <c r="AC17" s="2"/>
      <c r="AD17" s="2"/>
      <c r="AE17" s="6"/>
      <c r="AF17" s="2"/>
      <c r="AG17" s="2"/>
      <c r="AH17" s="2"/>
      <c r="AI17" s="2"/>
    </row>
    <row r="18" spans="1:42" x14ac:dyDescent="0.25">
      <c r="A18" s="16" t="s">
        <v>70</v>
      </c>
      <c r="B18" s="2">
        <v>10</v>
      </c>
      <c r="C18" s="2" t="s">
        <v>40</v>
      </c>
      <c r="D18" s="2"/>
      <c r="E18" s="16" t="s">
        <v>73</v>
      </c>
      <c r="F18" s="5">
        <v>1980</v>
      </c>
      <c r="G18" s="2" t="s">
        <v>61</v>
      </c>
      <c r="H18" s="15"/>
      <c r="I18" s="16"/>
      <c r="J18" s="2"/>
      <c r="K18" s="2"/>
      <c r="L18" s="15"/>
      <c r="M18" s="2"/>
      <c r="N18" s="11">
        <f t="shared" si="7"/>
        <v>10</v>
      </c>
      <c r="O18" s="11"/>
      <c r="P18" s="21">
        <f t="shared" si="1"/>
        <v>0</v>
      </c>
      <c r="Q18" s="22">
        <f t="shared" si="2"/>
        <v>8431.7752678600245</v>
      </c>
      <c r="R18" s="22">
        <f t="shared" si="3"/>
        <v>3781.9143550967133</v>
      </c>
      <c r="S18" s="22">
        <f t="shared" si="8"/>
        <v>3.6163193055696903</v>
      </c>
      <c r="T18" s="22">
        <f t="shared" si="4"/>
        <v>34.871650446564871</v>
      </c>
      <c r="U18" s="21">
        <f t="shared" si="5"/>
        <v>-5698.10259485595</v>
      </c>
      <c r="V18" s="18">
        <f t="shared" si="0"/>
        <v>6554.0749978529211</v>
      </c>
      <c r="W18" s="3"/>
      <c r="X18" s="6">
        <f t="shared" si="6"/>
        <v>3991.0449316194563</v>
      </c>
      <c r="Y18" s="2"/>
      <c r="Z18" s="2"/>
      <c r="AA18" s="2"/>
      <c r="AB18" s="2"/>
      <c r="AC18" s="2"/>
      <c r="AD18" s="2"/>
      <c r="AE18" s="6"/>
      <c r="AF18" s="2"/>
      <c r="AG18" s="2"/>
      <c r="AH18" s="2"/>
      <c r="AI18" s="2"/>
    </row>
    <row r="19" spans="1:42" x14ac:dyDescent="0.25">
      <c r="A19" s="25" t="s">
        <v>134</v>
      </c>
      <c r="B19" s="2">
        <v>10</v>
      </c>
      <c r="C19" s="2" t="s">
        <v>40</v>
      </c>
      <c r="D19" s="2"/>
      <c r="E19" s="16" t="s">
        <v>49</v>
      </c>
      <c r="F19" s="35">
        <v>3.5649999999999999</v>
      </c>
      <c r="G19" s="2" t="s">
        <v>141</v>
      </c>
      <c r="H19" s="15"/>
      <c r="I19" s="2"/>
      <c r="J19" s="2"/>
      <c r="K19" s="2"/>
      <c r="L19" s="15"/>
      <c r="M19" s="2"/>
      <c r="N19" s="11">
        <f t="shared" si="7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8"/>
        <v>0</v>
      </c>
      <c r="T19" s="22">
        <f t="shared" si="4"/>
        <v>0</v>
      </c>
      <c r="U19" s="21">
        <f t="shared" si="5"/>
        <v>0</v>
      </c>
      <c r="V19" s="18">
        <f t="shared" si="0"/>
        <v>0</v>
      </c>
      <c r="W19" s="3"/>
      <c r="X19" s="6">
        <f t="shared" si="6"/>
        <v>0</v>
      </c>
      <c r="Y19" s="2"/>
      <c r="Z19" s="2"/>
      <c r="AA19" s="2"/>
      <c r="AB19" s="2"/>
      <c r="AC19" s="2"/>
      <c r="AD19" s="2"/>
      <c r="AE19" s="6"/>
      <c r="AF19" s="2"/>
      <c r="AG19" s="2"/>
      <c r="AH19" s="2"/>
      <c r="AI19" s="2"/>
    </row>
    <row r="20" spans="1:42" x14ac:dyDescent="0.25">
      <c r="A20" s="25" t="s">
        <v>74</v>
      </c>
      <c r="B20" s="2">
        <v>0</v>
      </c>
      <c r="C20" s="2" t="s">
        <v>40</v>
      </c>
      <c r="D20" s="2"/>
      <c r="E20" s="16" t="s">
        <v>77</v>
      </c>
      <c r="F20" s="2">
        <v>4.55</v>
      </c>
      <c r="G20" s="2" t="s">
        <v>63</v>
      </c>
      <c r="H20" s="15"/>
      <c r="I20" s="2"/>
      <c r="J20" s="2"/>
      <c r="K20" s="2"/>
      <c r="L20" s="15"/>
      <c r="M20" s="2"/>
      <c r="N20" s="11">
        <f t="shared" si="7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8"/>
        <v>0</v>
      </c>
      <c r="T20" s="22">
        <f t="shared" si="4"/>
        <v>0</v>
      </c>
      <c r="U20" s="21">
        <f t="shared" si="5"/>
        <v>0</v>
      </c>
      <c r="V20" s="18">
        <f t="shared" si="0"/>
        <v>0</v>
      </c>
      <c r="W20" s="3"/>
      <c r="X20" s="6">
        <f t="shared" si="6"/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42" ht="15.75" customHeight="1" x14ac:dyDescent="0.25">
      <c r="A21" s="25"/>
      <c r="B21" s="2"/>
      <c r="C21" s="2"/>
      <c r="D21" s="2"/>
      <c r="E21" s="2"/>
      <c r="F21" s="2"/>
      <c r="G21" s="2"/>
      <c r="H21" s="15"/>
      <c r="I21" s="2"/>
      <c r="J21" s="2"/>
      <c r="K21" s="2"/>
      <c r="L21" s="15"/>
      <c r="M21" s="2"/>
      <c r="N21" s="11">
        <f t="shared" si="7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8"/>
        <v>0</v>
      </c>
      <c r="T21" s="22">
        <f t="shared" si="4"/>
        <v>0</v>
      </c>
      <c r="U21" s="21">
        <f t="shared" si="5"/>
        <v>0</v>
      </c>
      <c r="V21" s="18">
        <f t="shared" si="0"/>
        <v>0</v>
      </c>
      <c r="W21" s="3"/>
      <c r="X21" s="6">
        <f t="shared" si="6"/>
        <v>0</v>
      </c>
      <c r="Y21" s="2"/>
      <c r="Z21" s="2"/>
      <c r="AA21" s="27" t="s">
        <v>128</v>
      </c>
      <c r="AB21" s="28"/>
      <c r="AC21" s="28"/>
      <c r="AD21" s="28"/>
      <c r="AE21" s="2"/>
      <c r="AF21" s="27" t="s">
        <v>29</v>
      </c>
      <c r="AG21" s="28"/>
      <c r="AH21" s="28"/>
      <c r="AI21" s="28"/>
      <c r="AK21" s="81" t="s">
        <v>171</v>
      </c>
      <c r="AL21" s="81" t="s">
        <v>172</v>
      </c>
      <c r="AM21" s="81" t="s">
        <v>180</v>
      </c>
      <c r="AN21" s="81" t="s">
        <v>175</v>
      </c>
      <c r="AO21" s="81" t="s">
        <v>174</v>
      </c>
      <c r="AP21" s="88" t="str">
        <f>AA51</f>
        <v>Energy Efficiency</v>
      </c>
    </row>
    <row r="22" spans="1:42" ht="15.75" customHeight="1" x14ac:dyDescent="0.25">
      <c r="A22" s="2"/>
      <c r="B22" s="2"/>
      <c r="C22" s="2"/>
      <c r="D22" s="2"/>
      <c r="E22" s="2"/>
      <c r="F22" s="5"/>
      <c r="G22" s="2"/>
      <c r="H22" s="15"/>
      <c r="I22" s="2"/>
      <c r="J22" s="2"/>
      <c r="K22" s="2"/>
      <c r="L22" s="15"/>
      <c r="M22" s="2"/>
      <c r="N22" s="11">
        <f t="shared" si="7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8"/>
        <v>0</v>
      </c>
      <c r="T22" s="22">
        <f t="shared" si="4"/>
        <v>0</v>
      </c>
      <c r="U22" s="21">
        <f t="shared" si="5"/>
        <v>0</v>
      </c>
      <c r="V22" s="18">
        <f t="shared" si="0"/>
        <v>0</v>
      </c>
      <c r="W22" s="3"/>
      <c r="X22" s="6">
        <f t="shared" si="6"/>
        <v>0</v>
      </c>
      <c r="Y22" s="2"/>
      <c r="Z22" s="2"/>
      <c r="AA22" s="28" t="s">
        <v>79</v>
      </c>
      <c r="AB22" s="28" t="s">
        <v>135</v>
      </c>
      <c r="AC22" s="28" t="s">
        <v>24</v>
      </c>
      <c r="AD22" s="28" t="s">
        <v>81</v>
      </c>
      <c r="AE22" s="2"/>
      <c r="AF22" s="28" t="s">
        <v>79</v>
      </c>
      <c r="AG22" s="28" t="s">
        <v>82</v>
      </c>
      <c r="AH22" s="28" t="s">
        <v>24</v>
      </c>
      <c r="AI22" s="28" t="s">
        <v>81</v>
      </c>
      <c r="AK22" s="82">
        <v>-50</v>
      </c>
      <c r="AL22" s="83">
        <f>AI24</f>
        <v>-6.1609276276644458</v>
      </c>
      <c r="AM22" s="83">
        <f>AD24</f>
        <v>-30.826878875146811</v>
      </c>
      <c r="AN22" s="84">
        <f t="shared" ref="AN22:AN32" si="9">AD39</f>
        <v>-14.381101091813321</v>
      </c>
      <c r="AO22" s="84">
        <f t="shared" ref="AO22:AO32" si="10">AI39</f>
        <v>-45.207979966960146</v>
      </c>
      <c r="AP22" s="53">
        <f>AD54</f>
        <v>30.826878875146889</v>
      </c>
    </row>
    <row r="23" spans="1:42" ht="15.75" customHeight="1" x14ac:dyDescent="0.25">
      <c r="A23" s="2"/>
      <c r="B23" s="2"/>
      <c r="C23" s="2"/>
      <c r="D23" s="2"/>
      <c r="E23" s="16" t="s">
        <v>86</v>
      </c>
      <c r="F23" s="6">
        <v>200</v>
      </c>
      <c r="G23" s="2" t="s">
        <v>136</v>
      </c>
      <c r="H23" s="15"/>
      <c r="I23" s="2"/>
      <c r="J23" s="2"/>
      <c r="K23" s="2"/>
      <c r="L23" s="15"/>
      <c r="M23" s="2"/>
      <c r="N23" s="11">
        <f t="shared" si="7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8"/>
        <v>0</v>
      </c>
      <c r="T23" s="22">
        <f t="shared" si="4"/>
        <v>0</v>
      </c>
      <c r="U23" s="21">
        <f t="shared" si="5"/>
        <v>0</v>
      </c>
      <c r="V23" s="18">
        <f t="shared" si="0"/>
        <v>0</v>
      </c>
      <c r="W23" s="3"/>
      <c r="X23" s="6">
        <f t="shared" si="6"/>
        <v>0</v>
      </c>
      <c r="Y23" s="2"/>
      <c r="Z23" s="2"/>
      <c r="AA23" s="28" t="s">
        <v>85</v>
      </c>
      <c r="AB23" s="30">
        <v>1.2856661991584855</v>
      </c>
      <c r="AC23" s="31">
        <f>V49</f>
        <v>163894.43024819024</v>
      </c>
      <c r="AD23" s="28"/>
      <c r="AE23" s="2"/>
      <c r="AF23" s="28" t="s">
        <v>85</v>
      </c>
      <c r="AG23" s="32">
        <v>19343.330129063776</v>
      </c>
      <c r="AH23" s="31">
        <f>V49</f>
        <v>163894.43024819024</v>
      </c>
      <c r="AI23" s="28"/>
      <c r="AK23" s="82">
        <v>-40</v>
      </c>
      <c r="AL23" s="83">
        <f>AI25</f>
        <v>-4.9287421021315598</v>
      </c>
      <c r="AM23" s="83">
        <f t="shared" ref="AM23:AM32" si="11">AD25</f>
        <v>-24.661503100117454</v>
      </c>
      <c r="AN23" s="84">
        <f t="shared" si="9"/>
        <v>-11.504880873450658</v>
      </c>
      <c r="AO23" s="84">
        <f t="shared" si="10"/>
        <v>-36.166383973568124</v>
      </c>
      <c r="AP23" s="53">
        <f t="shared" ref="AP23:AP32" si="12">AD55</f>
        <v>24.6615031001175</v>
      </c>
    </row>
    <row r="24" spans="1:42" ht="15.75" customHeight="1" x14ac:dyDescent="0.25">
      <c r="A24" s="2"/>
      <c r="B24" s="2"/>
      <c r="C24" s="2"/>
      <c r="D24" s="2"/>
      <c r="E24" s="16" t="s">
        <v>89</v>
      </c>
      <c r="F24" s="2">
        <v>7</v>
      </c>
      <c r="G24" s="2" t="s">
        <v>54</v>
      </c>
      <c r="H24" s="2"/>
      <c r="I24" s="13"/>
      <c r="J24" s="2"/>
      <c r="K24" s="2"/>
      <c r="L24" s="15"/>
      <c r="M24" s="2"/>
      <c r="N24" s="11">
        <f t="shared" si="7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8"/>
        <v>0</v>
      </c>
      <c r="T24" s="22">
        <f t="shared" si="4"/>
        <v>0</v>
      </c>
      <c r="U24" s="21">
        <f t="shared" si="5"/>
        <v>0</v>
      </c>
      <c r="V24" s="18">
        <f t="shared" si="0"/>
        <v>0</v>
      </c>
      <c r="W24" s="3"/>
      <c r="X24" s="6">
        <f t="shared" si="6"/>
        <v>0</v>
      </c>
      <c r="Y24" s="2"/>
      <c r="Z24" s="2"/>
      <c r="AA24" s="28">
        <f t="shared" ref="AA24:AA28" si="13">AA25-10</f>
        <v>-50</v>
      </c>
      <c r="AB24" s="30">
        <f t="shared" ref="AB24:AB34" si="14">$AB$23*(1+(AA24/100))</f>
        <v>0.64283309957924273</v>
      </c>
      <c r="AC24" s="31">
        <f t="dataTable" ref="AC24:AC34" dt2D="0" dtr="0" r1="F36" ca="1"/>
        <v>113370.89275246866</v>
      </c>
      <c r="AD24" s="36">
        <f t="shared" ref="AD24:AD34" si="15">100*((AC24-$AC$29)/$AC$29)</f>
        <v>-30.826878875146811</v>
      </c>
      <c r="AE24" s="2"/>
      <c r="AF24" s="28">
        <f t="shared" ref="AF24:AF28" si="16">AF25-10</f>
        <v>-50</v>
      </c>
      <c r="AG24" s="32">
        <f t="shared" ref="AG24:AG34" si="17">$AG$23*(1+(AF24/100))</f>
        <v>9671.6650645318878</v>
      </c>
      <c r="AH24" s="31">
        <f t="dataTable" ref="AH24:AH34" dt2D="0" dtr="0" r1="B47"/>
        <v>153797.01301482625</v>
      </c>
      <c r="AI24" s="36">
        <f t="shared" ref="AI24:AI34" si="18">100*((AH24-$AH$29)/$AH$29)</f>
        <v>-6.1609276276644458</v>
      </c>
      <c r="AK24" s="82">
        <v>-30</v>
      </c>
      <c r="AL24" s="83">
        <f t="shared" ref="AL24:AL32" si="19">AI26</f>
        <v>-3.6965565765986743</v>
      </c>
      <c r="AM24" s="83">
        <f t="shared" si="11"/>
        <v>-18.496127325088089</v>
      </c>
      <c r="AN24" s="84">
        <f t="shared" si="9"/>
        <v>-8.6286606550879803</v>
      </c>
      <c r="AO24" s="84">
        <f t="shared" si="10"/>
        <v>-27.12478798017608</v>
      </c>
      <c r="AP24" s="53">
        <f t="shared" si="12"/>
        <v>18.496127325088125</v>
      </c>
    </row>
    <row r="25" spans="1:42" ht="15.75" customHeight="1" x14ac:dyDescent="0.25">
      <c r="A25" s="13"/>
      <c r="B25" s="2"/>
      <c r="C25" s="2"/>
      <c r="D25" s="2"/>
      <c r="E25" s="2"/>
      <c r="F25" s="2"/>
      <c r="G25" s="2"/>
      <c r="H25" s="15"/>
      <c r="I25" s="2"/>
      <c r="J25" s="2"/>
      <c r="K25" s="2"/>
      <c r="L25" s="15"/>
      <c r="M25" s="2"/>
      <c r="N25" s="11">
        <f t="shared" si="7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8"/>
        <v>0</v>
      </c>
      <c r="T25" s="22">
        <f t="shared" si="4"/>
        <v>0</v>
      </c>
      <c r="U25" s="21">
        <f t="shared" si="5"/>
        <v>0</v>
      </c>
      <c r="V25" s="18">
        <f t="shared" si="0"/>
        <v>0</v>
      </c>
      <c r="W25" s="3"/>
      <c r="X25" s="6">
        <f t="shared" si="6"/>
        <v>0</v>
      </c>
      <c r="Y25" s="2"/>
      <c r="Z25" s="2"/>
      <c r="AA25" s="28">
        <f t="shared" si="13"/>
        <v>-40</v>
      </c>
      <c r="AB25" s="30">
        <f t="shared" si="14"/>
        <v>0.77139971949509123</v>
      </c>
      <c r="AC25" s="31">
        <v>123475.60025161297</v>
      </c>
      <c r="AD25" s="36">
        <f t="shared" si="15"/>
        <v>-24.661503100117454</v>
      </c>
      <c r="AE25" s="2"/>
      <c r="AF25" s="28">
        <f t="shared" si="16"/>
        <v>-40</v>
      </c>
      <c r="AG25" s="32">
        <f t="shared" si="17"/>
        <v>11605.998077438266</v>
      </c>
      <c r="AH25" s="31">
        <v>155816.49646149905</v>
      </c>
      <c r="AI25" s="36">
        <f t="shared" si="18"/>
        <v>-4.9287421021315598</v>
      </c>
      <c r="AK25" s="82">
        <v>-20</v>
      </c>
      <c r="AL25" s="83">
        <f t="shared" si="19"/>
        <v>-2.4643710510657715</v>
      </c>
      <c r="AM25" s="83">
        <f t="shared" si="11"/>
        <v>-12.330751550058695</v>
      </c>
      <c r="AN25" s="84">
        <f t="shared" si="9"/>
        <v>-5.7524404367253208</v>
      </c>
      <c r="AO25" s="84">
        <f t="shared" si="10"/>
        <v>-18.083191986784033</v>
      </c>
      <c r="AP25" s="53">
        <f t="shared" si="12"/>
        <v>12.33075155005875</v>
      </c>
    </row>
    <row r="26" spans="1:4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/>
      <c r="J26" s="39"/>
      <c r="K26" s="39"/>
      <c r="L26" s="40"/>
      <c r="M26" s="2"/>
      <c r="N26" s="11">
        <f t="shared" si="7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8"/>
        <v>0</v>
      </c>
      <c r="T26" s="22">
        <f t="shared" si="4"/>
        <v>0</v>
      </c>
      <c r="U26" s="21">
        <f t="shared" si="5"/>
        <v>0</v>
      </c>
      <c r="V26" s="18">
        <f t="shared" si="0"/>
        <v>0</v>
      </c>
      <c r="W26" s="3"/>
      <c r="X26" s="6">
        <f t="shared" si="6"/>
        <v>0</v>
      </c>
      <c r="Y26" s="2"/>
      <c r="Z26" s="2"/>
      <c r="AA26" s="28">
        <f t="shared" si="13"/>
        <v>-30</v>
      </c>
      <c r="AB26" s="30">
        <f t="shared" si="14"/>
        <v>0.89996633941093973</v>
      </c>
      <c r="AC26" s="31">
        <v>133580.30775075729</v>
      </c>
      <c r="AD26" s="36">
        <f t="shared" si="15"/>
        <v>-18.496127325088089</v>
      </c>
      <c r="AE26" s="2"/>
      <c r="AF26" s="28">
        <f t="shared" si="16"/>
        <v>-30</v>
      </c>
      <c r="AG26" s="32">
        <f t="shared" si="17"/>
        <v>13540.331090344642</v>
      </c>
      <c r="AH26" s="31">
        <v>157835.97990817184</v>
      </c>
      <c r="AI26" s="36">
        <f t="shared" si="18"/>
        <v>-3.6965565765986743</v>
      </c>
      <c r="AK26" s="82">
        <v>-10</v>
      </c>
      <c r="AL26" s="83">
        <f t="shared" si="19"/>
        <v>-1.2321855255328857</v>
      </c>
      <c r="AM26" s="83">
        <f t="shared" si="11"/>
        <v>-6.1653757750293563</v>
      </c>
      <c r="AN26" s="84">
        <f t="shared" si="9"/>
        <v>-2.8762202183626422</v>
      </c>
      <c r="AO26" s="84">
        <f t="shared" si="10"/>
        <v>-9.0415959933919989</v>
      </c>
      <c r="AP26" s="53">
        <f t="shared" si="12"/>
        <v>6.1653757750293918</v>
      </c>
    </row>
    <row r="27" spans="1:4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7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8"/>
        <v>0</v>
      </c>
      <c r="T27" s="22">
        <f t="shared" si="4"/>
        <v>0</v>
      </c>
      <c r="U27" s="21">
        <f t="shared" si="5"/>
        <v>0</v>
      </c>
      <c r="V27" s="18">
        <f t="shared" si="0"/>
        <v>0</v>
      </c>
      <c r="W27" s="3"/>
      <c r="X27" s="6">
        <f t="shared" si="6"/>
        <v>0</v>
      </c>
      <c r="Y27" s="2"/>
      <c r="Z27" s="2"/>
      <c r="AA27" s="28">
        <f t="shared" si="13"/>
        <v>-20</v>
      </c>
      <c r="AB27" s="30">
        <f t="shared" si="14"/>
        <v>1.0285329593267885</v>
      </c>
      <c r="AC27" s="31">
        <v>143685.01524990165</v>
      </c>
      <c r="AD27" s="36">
        <f t="shared" si="15"/>
        <v>-12.330751550058695</v>
      </c>
      <c r="AE27" s="2"/>
      <c r="AF27" s="28">
        <f t="shared" si="16"/>
        <v>-20</v>
      </c>
      <c r="AG27" s="32">
        <f t="shared" si="17"/>
        <v>15474.664103251022</v>
      </c>
      <c r="AH27" s="31">
        <v>159855.46335484466</v>
      </c>
      <c r="AI27" s="36">
        <f t="shared" si="18"/>
        <v>-2.4643710510657715</v>
      </c>
      <c r="AK27" s="82">
        <v>0</v>
      </c>
      <c r="AL27" s="83">
        <f t="shared" si="19"/>
        <v>0</v>
      </c>
      <c r="AM27" s="83">
        <f t="shared" si="11"/>
        <v>0</v>
      </c>
      <c r="AN27" s="84">
        <f t="shared" si="9"/>
        <v>0</v>
      </c>
      <c r="AO27" s="84">
        <f t="shared" si="10"/>
        <v>0</v>
      </c>
      <c r="AP27" s="53">
        <f t="shared" si="12"/>
        <v>0</v>
      </c>
    </row>
    <row r="28" spans="1:42" ht="15.75" customHeight="1" x14ac:dyDescent="0.25">
      <c r="A28" s="1" t="s">
        <v>90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7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8"/>
        <v>0</v>
      </c>
      <c r="T28" s="22">
        <f t="shared" si="4"/>
        <v>0</v>
      </c>
      <c r="U28" s="21">
        <f t="shared" si="5"/>
        <v>0</v>
      </c>
      <c r="V28" s="18">
        <f t="shared" si="0"/>
        <v>0</v>
      </c>
      <c r="W28" s="3"/>
      <c r="X28" s="6">
        <f t="shared" si="6"/>
        <v>0</v>
      </c>
      <c r="Y28" s="2"/>
      <c r="Z28" s="2"/>
      <c r="AA28" s="28">
        <f t="shared" si="13"/>
        <v>-10</v>
      </c>
      <c r="AB28" s="30">
        <f t="shared" si="14"/>
        <v>1.1570995792426368</v>
      </c>
      <c r="AC28" s="31">
        <v>153789.72274904593</v>
      </c>
      <c r="AD28" s="36">
        <f t="shared" si="15"/>
        <v>-6.1653757750293563</v>
      </c>
      <c r="AE28" s="2"/>
      <c r="AF28" s="28">
        <f t="shared" si="16"/>
        <v>-10</v>
      </c>
      <c r="AG28" s="32">
        <f t="shared" si="17"/>
        <v>17408.997116157399</v>
      </c>
      <c r="AH28" s="31">
        <v>161874.94680151745</v>
      </c>
      <c r="AI28" s="36">
        <f t="shared" si="18"/>
        <v>-1.2321855255328857</v>
      </c>
      <c r="AK28" s="82">
        <v>10</v>
      </c>
      <c r="AL28" s="83">
        <f t="shared" si="19"/>
        <v>1.2321855255329033</v>
      </c>
      <c r="AM28" s="83">
        <f t="shared" si="11"/>
        <v>6.1653757750293918</v>
      </c>
      <c r="AN28" s="84">
        <f t="shared" si="9"/>
        <v>2.8762202183626782</v>
      </c>
      <c r="AO28" s="84">
        <f t="shared" si="10"/>
        <v>9.0415959933920522</v>
      </c>
      <c r="AP28" s="53">
        <f t="shared" si="12"/>
        <v>-6.1653757750293563</v>
      </c>
    </row>
    <row r="29" spans="1:4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7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8"/>
        <v>0</v>
      </c>
      <c r="T29" s="22">
        <f t="shared" si="4"/>
        <v>0</v>
      </c>
      <c r="U29" s="21">
        <f t="shared" si="5"/>
        <v>0</v>
      </c>
      <c r="V29" s="18">
        <f t="shared" si="0"/>
        <v>0</v>
      </c>
      <c r="W29" s="3"/>
      <c r="X29" s="6">
        <f t="shared" si="6"/>
        <v>0</v>
      </c>
      <c r="Y29" s="2"/>
      <c r="Z29" s="2"/>
      <c r="AA29" s="41">
        <v>0</v>
      </c>
      <c r="AB29" s="42">
        <f t="shared" si="14"/>
        <v>1.2856661991584855</v>
      </c>
      <c r="AC29" s="43">
        <v>163894.43024819024</v>
      </c>
      <c r="AD29" s="44">
        <f t="shared" si="15"/>
        <v>0</v>
      </c>
      <c r="AE29" s="2"/>
      <c r="AF29" s="41">
        <v>0</v>
      </c>
      <c r="AG29" s="45">
        <f t="shared" si="17"/>
        <v>19343.330129063776</v>
      </c>
      <c r="AH29" s="43">
        <v>163894.43024819024</v>
      </c>
      <c r="AI29" s="44">
        <f t="shared" si="18"/>
        <v>0</v>
      </c>
      <c r="AK29" s="82">
        <v>20</v>
      </c>
      <c r="AL29" s="83">
        <f t="shared" si="19"/>
        <v>2.4643710510657888</v>
      </c>
      <c r="AM29" s="83">
        <f t="shared" si="11"/>
        <v>12.33075155005875</v>
      </c>
      <c r="AN29" s="84">
        <f t="shared" si="9"/>
        <v>5.7524404367253563</v>
      </c>
      <c r="AO29" s="84">
        <f t="shared" si="10"/>
        <v>18.083191986784069</v>
      </c>
      <c r="AP29" s="53">
        <f t="shared" si="12"/>
        <v>-12.330751550058713</v>
      </c>
    </row>
    <row r="30" spans="1:42" ht="15.75" customHeight="1" x14ac:dyDescent="0.25">
      <c r="A30" s="7" t="s">
        <v>91</v>
      </c>
      <c r="B30" s="8"/>
      <c r="C30" s="8"/>
      <c r="D30" s="8"/>
      <c r="E30" s="10" t="s">
        <v>92</v>
      </c>
      <c r="F30" s="8"/>
      <c r="G30" s="8"/>
      <c r="H30" s="8"/>
      <c r="I30" s="10"/>
      <c r="J30" s="46"/>
      <c r="K30" s="8"/>
      <c r="L30" s="9"/>
      <c r="M30" s="2"/>
      <c r="N30" s="11">
        <f t="shared" si="7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8"/>
        <v>0</v>
      </c>
      <c r="T30" s="22">
        <f t="shared" si="4"/>
        <v>0</v>
      </c>
      <c r="U30" s="21">
        <f t="shared" si="5"/>
        <v>0</v>
      </c>
      <c r="V30" s="18">
        <f t="shared" si="0"/>
        <v>0</v>
      </c>
      <c r="W30" s="3"/>
      <c r="X30" s="6">
        <f t="shared" si="6"/>
        <v>0</v>
      </c>
      <c r="Y30" s="2"/>
      <c r="Z30" s="2"/>
      <c r="AA30" s="28">
        <f t="shared" ref="AA30:AA34" si="20">AA29+10</f>
        <v>10</v>
      </c>
      <c r="AB30" s="30">
        <f t="shared" si="14"/>
        <v>1.4142328190743341</v>
      </c>
      <c r="AC30" s="31">
        <v>173999.13774733461</v>
      </c>
      <c r="AD30" s="36">
        <f t="shared" si="15"/>
        <v>6.1653757750293918</v>
      </c>
      <c r="AE30" s="2"/>
      <c r="AF30" s="28">
        <f t="shared" ref="AF30:AF34" si="21">AF29+10</f>
        <v>10</v>
      </c>
      <c r="AG30" s="32">
        <f t="shared" si="17"/>
        <v>21277.663141970155</v>
      </c>
      <c r="AH30" s="31">
        <v>165913.91369486306</v>
      </c>
      <c r="AI30" s="36">
        <f t="shared" si="18"/>
        <v>1.2321855255329033</v>
      </c>
      <c r="AK30" s="82">
        <v>30</v>
      </c>
      <c r="AL30" s="83">
        <f t="shared" si="19"/>
        <v>3.6965565765986925</v>
      </c>
      <c r="AM30" s="83">
        <f t="shared" si="11"/>
        <v>18.496127325088125</v>
      </c>
      <c r="AN30" s="84">
        <f t="shared" si="9"/>
        <v>8.6286606550880336</v>
      </c>
      <c r="AO30" s="84">
        <f t="shared" si="10"/>
        <v>27.124787980176141</v>
      </c>
      <c r="AP30" s="53">
        <f t="shared" si="12"/>
        <v>-18.496127325088089</v>
      </c>
    </row>
    <row r="31" spans="1:42" ht="15.75" customHeight="1" x14ac:dyDescent="0.25">
      <c r="A31" s="25" t="s">
        <v>158</v>
      </c>
      <c r="B31" s="6">
        <f>IF(B11=0,0,-(B11/B8))</f>
        <v>0</v>
      </c>
      <c r="C31" s="2" t="s">
        <v>3</v>
      </c>
      <c r="D31" s="2"/>
      <c r="E31" s="16" t="s">
        <v>94</v>
      </c>
      <c r="F31" s="24">
        <f>(J16/100)*B47</f>
        <v>5802.9990387191328</v>
      </c>
      <c r="G31" s="2" t="s">
        <v>3</v>
      </c>
      <c r="H31" s="2"/>
      <c r="I31" s="1" t="s">
        <v>168</v>
      </c>
      <c r="J31" s="47">
        <f>SUM(J32:J35)</f>
        <v>6160.3399719495092</v>
      </c>
      <c r="K31" s="1" t="s">
        <v>50</v>
      </c>
      <c r="L31" s="15"/>
      <c r="M31" s="2"/>
      <c r="N31" s="11">
        <f t="shared" si="7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8"/>
        <v>0</v>
      </c>
      <c r="T31" s="22">
        <f t="shared" si="4"/>
        <v>0</v>
      </c>
      <c r="U31" s="21">
        <f t="shared" si="5"/>
        <v>0</v>
      </c>
      <c r="V31" s="18">
        <f t="shared" si="0"/>
        <v>0</v>
      </c>
      <c r="W31" s="3"/>
      <c r="X31" s="6">
        <f t="shared" si="6"/>
        <v>0</v>
      </c>
      <c r="Y31" s="2"/>
      <c r="Z31" s="2"/>
      <c r="AA31" s="28">
        <f t="shared" si="20"/>
        <v>20</v>
      </c>
      <c r="AB31" s="30">
        <f t="shared" si="14"/>
        <v>1.5427994389901825</v>
      </c>
      <c r="AC31" s="31">
        <v>184103.84524647892</v>
      </c>
      <c r="AD31" s="36">
        <f t="shared" si="15"/>
        <v>12.33075155005875</v>
      </c>
      <c r="AE31" s="2"/>
      <c r="AF31" s="28">
        <f t="shared" si="21"/>
        <v>20</v>
      </c>
      <c r="AG31" s="32">
        <f t="shared" si="17"/>
        <v>23211.996154876531</v>
      </c>
      <c r="AH31" s="31">
        <v>167933.39714153585</v>
      </c>
      <c r="AI31" s="36">
        <f t="shared" si="18"/>
        <v>2.4643710510657888</v>
      </c>
      <c r="AK31" s="82">
        <v>40</v>
      </c>
      <c r="AL31" s="83">
        <f t="shared" si="19"/>
        <v>4.9287421021315776</v>
      </c>
      <c r="AM31" s="83">
        <f t="shared" si="11"/>
        <v>24.6615031001175</v>
      </c>
      <c r="AN31" s="84">
        <f t="shared" si="9"/>
        <v>11.504880873450677</v>
      </c>
      <c r="AO31" s="84">
        <f t="shared" si="10"/>
        <v>36.166383973568159</v>
      </c>
      <c r="AP31" s="53">
        <f t="shared" si="12"/>
        <v>-24.661503100117447</v>
      </c>
    </row>
    <row r="32" spans="1:42" ht="15.75" customHeight="1" x14ac:dyDescent="0.25">
      <c r="A32" s="25" t="s">
        <v>45</v>
      </c>
      <c r="B32" s="6">
        <f>IF(B12=0,0,-(B12/100)*$B$45)</f>
        <v>0</v>
      </c>
      <c r="C32" s="2" t="s">
        <v>3</v>
      </c>
      <c r="D32" s="2"/>
      <c r="E32" s="16" t="s">
        <v>96</v>
      </c>
      <c r="F32" s="6">
        <f>B47-F31</f>
        <v>13540.331090344644</v>
      </c>
      <c r="G32" s="2" t="s">
        <v>3</v>
      </c>
      <c r="H32" s="2"/>
      <c r="I32" s="16" t="s">
        <v>73</v>
      </c>
      <c r="J32" s="14">
        <f>F18/$B$8</f>
        <v>55.539971949509116</v>
      </c>
      <c r="K32" s="2" t="s">
        <v>50</v>
      </c>
      <c r="L32" s="15"/>
      <c r="M32" s="2"/>
      <c r="N32" s="11">
        <f t="shared" si="7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8"/>
        <v>0</v>
      </c>
      <c r="T32" s="22">
        <f t="shared" si="4"/>
        <v>0</v>
      </c>
      <c r="U32" s="21">
        <f t="shared" si="5"/>
        <v>0</v>
      </c>
      <c r="V32" s="18">
        <f t="shared" si="0"/>
        <v>0</v>
      </c>
      <c r="W32" s="3"/>
      <c r="X32" s="6">
        <f t="shared" si="6"/>
        <v>0</v>
      </c>
      <c r="Y32" s="2"/>
      <c r="Z32" s="2"/>
      <c r="AA32" s="28">
        <f t="shared" si="20"/>
        <v>30</v>
      </c>
      <c r="AB32" s="30">
        <f t="shared" si="14"/>
        <v>1.6713660589060311</v>
      </c>
      <c r="AC32" s="31">
        <v>194208.55274562325</v>
      </c>
      <c r="AD32" s="36">
        <f t="shared" si="15"/>
        <v>18.496127325088125</v>
      </c>
      <c r="AE32" s="2"/>
      <c r="AF32" s="28">
        <f t="shared" si="21"/>
        <v>30</v>
      </c>
      <c r="AG32" s="32">
        <f t="shared" si="17"/>
        <v>25146.329167782907</v>
      </c>
      <c r="AH32" s="31">
        <v>169952.88058820867</v>
      </c>
      <c r="AI32" s="36">
        <f t="shared" si="18"/>
        <v>3.6965565765986925</v>
      </c>
      <c r="AK32" s="82">
        <v>50</v>
      </c>
      <c r="AL32" s="83">
        <f t="shared" si="19"/>
        <v>6.1609276276644636</v>
      </c>
      <c r="AM32" s="83">
        <f t="shared" si="11"/>
        <v>30.826878875146889</v>
      </c>
      <c r="AN32" s="84">
        <f t="shared" si="9"/>
        <v>14.381101091813337</v>
      </c>
      <c r="AO32" s="84">
        <f t="shared" si="10"/>
        <v>45.207979966960195</v>
      </c>
      <c r="AP32" s="53">
        <f t="shared" si="12"/>
        <v>-30.826878875146811</v>
      </c>
    </row>
    <row r="33" spans="1:35" ht="15.75" customHeight="1" x14ac:dyDescent="0.25">
      <c r="A33" s="25" t="s">
        <v>51</v>
      </c>
      <c r="B33" s="6">
        <f>IF(B13=0,0,(B13/100)*($B$44+B36+B35))</f>
        <v>1065.6034795215658</v>
      </c>
      <c r="C33" s="2" t="s">
        <v>3</v>
      </c>
      <c r="D33" s="2"/>
      <c r="E33" s="16" t="s">
        <v>97</v>
      </c>
      <c r="F33" s="24">
        <f>F32*(F20/100)*J15</f>
        <v>3080.4253230534059</v>
      </c>
      <c r="G33" s="2" t="s">
        <v>3</v>
      </c>
      <c r="H33" s="2"/>
      <c r="I33" s="16" t="s">
        <v>65</v>
      </c>
      <c r="J33" s="14">
        <f>F15/$B$8</f>
        <v>0</v>
      </c>
      <c r="K33" s="2" t="s">
        <v>50</v>
      </c>
      <c r="L33" s="15"/>
      <c r="M33" s="2"/>
      <c r="N33" s="11">
        <f t="shared" si="7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8"/>
        <v>0</v>
      </c>
      <c r="T33" s="22">
        <f t="shared" si="4"/>
        <v>0</v>
      </c>
      <c r="U33" s="21">
        <f t="shared" si="5"/>
        <v>0</v>
      </c>
      <c r="V33" s="18">
        <f t="shared" si="0"/>
        <v>0</v>
      </c>
      <c r="W33" s="3"/>
      <c r="X33" s="6">
        <f t="shared" si="6"/>
        <v>0</v>
      </c>
      <c r="Y33" s="2"/>
      <c r="Z33" s="2"/>
      <c r="AA33" s="28">
        <f t="shared" si="20"/>
        <v>40</v>
      </c>
      <c r="AB33" s="30">
        <f t="shared" si="14"/>
        <v>1.7999326788218795</v>
      </c>
      <c r="AC33" s="31">
        <v>204313.26024476759</v>
      </c>
      <c r="AD33" s="36">
        <f t="shared" si="15"/>
        <v>24.6615031001175</v>
      </c>
      <c r="AE33" s="2"/>
      <c r="AF33" s="28">
        <f t="shared" si="21"/>
        <v>40</v>
      </c>
      <c r="AG33" s="32">
        <f t="shared" si="17"/>
        <v>27080.662180689284</v>
      </c>
      <c r="AH33" s="31">
        <v>171972.36403488147</v>
      </c>
      <c r="AI33" s="36">
        <f t="shared" si="18"/>
        <v>4.9287421021315776</v>
      </c>
    </row>
    <row r="34" spans="1:35" ht="15.75" customHeight="1" x14ac:dyDescent="0.25">
      <c r="A34" s="25" t="s">
        <v>55</v>
      </c>
      <c r="B34" s="6">
        <f>IF(B14=0,0,(B14/100)*($B$44+B35+B36))</f>
        <v>3044.5813700616163</v>
      </c>
      <c r="C34" s="2" t="s">
        <v>3</v>
      </c>
      <c r="D34" s="2"/>
      <c r="E34" s="2"/>
      <c r="F34" s="35"/>
      <c r="G34" s="2"/>
      <c r="H34" s="2"/>
      <c r="I34" s="16" t="s">
        <v>49</v>
      </c>
      <c r="J34" s="20">
        <f>F19*F12/$B$8</f>
        <v>6104.8</v>
      </c>
      <c r="K34" s="2" t="s">
        <v>50</v>
      </c>
      <c r="L34" s="15"/>
      <c r="M34" s="2"/>
      <c r="N34" s="11">
        <f t="shared" si="7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8"/>
        <v>0</v>
      </c>
      <c r="T34" s="22">
        <f t="shared" si="4"/>
        <v>0</v>
      </c>
      <c r="U34" s="21">
        <f t="shared" si="5"/>
        <v>0</v>
      </c>
      <c r="V34" s="18">
        <f t="shared" si="0"/>
        <v>0</v>
      </c>
      <c r="W34" s="3"/>
      <c r="X34" s="6">
        <f t="shared" si="6"/>
        <v>0</v>
      </c>
      <c r="Y34" s="2"/>
      <c r="Z34" s="2"/>
      <c r="AA34" s="28">
        <f t="shared" si="20"/>
        <v>50</v>
      </c>
      <c r="AB34" s="30">
        <f t="shared" si="14"/>
        <v>1.9284992987377283</v>
      </c>
      <c r="AC34" s="31">
        <v>214417.96774391196</v>
      </c>
      <c r="AD34" s="36">
        <f t="shared" si="15"/>
        <v>30.826878875146889</v>
      </c>
      <c r="AE34" s="2"/>
      <c r="AF34" s="28">
        <f t="shared" si="21"/>
        <v>50</v>
      </c>
      <c r="AG34" s="32">
        <f t="shared" si="17"/>
        <v>29014.995193595663</v>
      </c>
      <c r="AH34" s="31">
        <v>173991.84748155426</v>
      </c>
      <c r="AI34" s="36">
        <f t="shared" si="18"/>
        <v>6.1609276276644636</v>
      </c>
    </row>
    <row r="35" spans="1:35" ht="15.75" customHeight="1" x14ac:dyDescent="0.25">
      <c r="A35" s="16" t="s">
        <v>70</v>
      </c>
      <c r="B35" s="5">
        <f>IF(B18=0,0,(B18/100)*$B$44)/(1-(1.1*B18/100))</f>
        <v>1522.2906850308084</v>
      </c>
      <c r="C35" s="2" t="s">
        <v>3</v>
      </c>
      <c r="D35" s="2"/>
      <c r="E35" s="1" t="s">
        <v>100</v>
      </c>
      <c r="F35" s="2"/>
      <c r="G35" s="2"/>
      <c r="H35" s="2"/>
      <c r="I35" s="2"/>
      <c r="J35" s="35"/>
      <c r="K35" s="2"/>
      <c r="L35" s="15"/>
      <c r="M35" s="2"/>
      <c r="N35" s="11">
        <f t="shared" si="7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8"/>
        <v>0</v>
      </c>
      <c r="T35" s="22">
        <f t="shared" si="4"/>
        <v>0</v>
      </c>
      <c r="U35" s="21">
        <f t="shared" si="5"/>
        <v>0</v>
      </c>
      <c r="V35" s="18">
        <f t="shared" si="0"/>
        <v>0</v>
      </c>
      <c r="W35" s="3"/>
      <c r="X35" s="6">
        <f t="shared" si="6"/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x14ac:dyDescent="0.25">
      <c r="A36" s="25" t="s">
        <v>134</v>
      </c>
      <c r="B36" s="6">
        <f>B19%*B35</f>
        <v>152.22906850308084</v>
      </c>
      <c r="C36" s="2" t="s">
        <v>3</v>
      </c>
      <c r="D36" s="2"/>
      <c r="E36" s="16" t="s">
        <v>163</v>
      </c>
      <c r="F36" s="14">
        <f>F13/$B$8</f>
        <v>1.2856661991584855</v>
      </c>
      <c r="G36" s="2" t="s">
        <v>129</v>
      </c>
      <c r="H36" s="2"/>
      <c r="I36" s="2"/>
      <c r="J36" s="2"/>
      <c r="K36" s="2"/>
      <c r="L36" s="15"/>
      <c r="M36" s="2"/>
      <c r="N36" s="11">
        <f t="shared" si="7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8"/>
        <v>0</v>
      </c>
      <c r="T36" s="22">
        <f t="shared" si="4"/>
        <v>0</v>
      </c>
      <c r="U36" s="21">
        <f t="shared" si="5"/>
        <v>0</v>
      </c>
      <c r="V36" s="18">
        <f t="shared" si="0"/>
        <v>0</v>
      </c>
      <c r="W36" s="3"/>
      <c r="X36" s="6">
        <f t="shared" si="6"/>
        <v>0</v>
      </c>
      <c r="Y36" s="2"/>
      <c r="Z36" s="2"/>
      <c r="AA36" s="27" t="s">
        <v>49</v>
      </c>
      <c r="AB36" s="28"/>
      <c r="AC36" s="28"/>
      <c r="AD36" s="28"/>
      <c r="AE36" s="2"/>
      <c r="AF36" s="27" t="s">
        <v>101</v>
      </c>
      <c r="AG36" s="28"/>
      <c r="AH36" s="28"/>
      <c r="AI36" s="28"/>
    </row>
    <row r="37" spans="1:35" ht="15.75" customHeight="1" x14ac:dyDescent="0.25">
      <c r="A37" s="25" t="s">
        <v>74</v>
      </c>
      <c r="B37" s="6">
        <f>IF(B20=0,0,(B20/100)*$B$44)</f>
        <v>0</v>
      </c>
      <c r="C37" s="2" t="s">
        <v>3</v>
      </c>
      <c r="D37" s="2"/>
      <c r="E37" s="16" t="s">
        <v>164</v>
      </c>
      <c r="F37" s="48">
        <f>F36*J10</f>
        <v>0.20570659186535767</v>
      </c>
      <c r="G37" s="2" t="s">
        <v>4</v>
      </c>
      <c r="H37" s="2"/>
      <c r="I37" s="2"/>
      <c r="J37" s="2"/>
      <c r="K37" s="2"/>
      <c r="L37" s="15"/>
      <c r="M37" s="2"/>
      <c r="N37" s="11">
        <f t="shared" si="7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8"/>
        <v>0</v>
      </c>
      <c r="T37" s="22">
        <f t="shared" si="4"/>
        <v>0</v>
      </c>
      <c r="U37" s="21">
        <f t="shared" si="5"/>
        <v>0</v>
      </c>
      <c r="V37" s="18">
        <f t="shared" si="0"/>
        <v>0</v>
      </c>
      <c r="W37" s="3"/>
      <c r="X37" s="6">
        <f t="shared" si="6"/>
        <v>0</v>
      </c>
      <c r="Y37" s="2"/>
      <c r="Z37" s="2"/>
      <c r="AA37" s="28" t="s">
        <v>79</v>
      </c>
      <c r="AB37" s="28" t="s">
        <v>137</v>
      </c>
      <c r="AC37" s="28" t="s">
        <v>24</v>
      </c>
      <c r="AD37" s="28" t="s">
        <v>81</v>
      </c>
      <c r="AE37" s="2"/>
      <c r="AF37" s="28" t="s">
        <v>79</v>
      </c>
      <c r="AG37" s="28" t="s">
        <v>105</v>
      </c>
      <c r="AH37" s="28" t="s">
        <v>24</v>
      </c>
      <c r="AI37" s="28" t="s">
        <v>81</v>
      </c>
    </row>
    <row r="38" spans="1:35" ht="15.75" customHeight="1" x14ac:dyDescent="0.25">
      <c r="A38" s="25" t="s">
        <v>167</v>
      </c>
      <c r="B38" s="14">
        <f>IF(B17=0,0,(B17/B8))</f>
        <v>10.23842917251052</v>
      </c>
      <c r="C38" s="2" t="s">
        <v>3</v>
      </c>
      <c r="D38" s="2"/>
      <c r="E38" s="16" t="s">
        <v>138</v>
      </c>
      <c r="F38" s="35">
        <f>F37*F12</f>
        <v>12557.976020196355</v>
      </c>
      <c r="G38" s="26" t="s">
        <v>50</v>
      </c>
      <c r="H38" s="2"/>
      <c r="I38" s="2"/>
      <c r="J38" s="2"/>
      <c r="K38" s="2"/>
      <c r="L38" s="15"/>
      <c r="M38" s="2"/>
      <c r="N38" s="11">
        <f t="shared" si="7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8"/>
        <v>0</v>
      </c>
      <c r="T38" s="22">
        <f t="shared" si="4"/>
        <v>0</v>
      </c>
      <c r="U38" s="21">
        <f t="shared" si="5"/>
        <v>0</v>
      </c>
      <c r="V38" s="18">
        <f t="shared" si="0"/>
        <v>0</v>
      </c>
      <c r="W38" s="3"/>
      <c r="X38" s="6">
        <f t="shared" si="6"/>
        <v>0</v>
      </c>
      <c r="Y38" s="2"/>
      <c r="Z38" s="2"/>
      <c r="AA38" s="28" t="s">
        <v>85</v>
      </c>
      <c r="AB38" s="30">
        <v>6104.8</v>
      </c>
      <c r="AC38" s="31">
        <f>V49</f>
        <v>163894.43024819024</v>
      </c>
      <c r="AD38" s="28"/>
      <c r="AE38" s="2"/>
      <c r="AF38" s="28" t="s">
        <v>85</v>
      </c>
      <c r="AG38" s="32">
        <v>61048</v>
      </c>
      <c r="AH38" s="31">
        <f>V49</f>
        <v>163894.43024819024</v>
      </c>
      <c r="AI38" s="28"/>
    </row>
    <row r="39" spans="1:35" ht="15.75" customHeight="1" x14ac:dyDescent="0.25">
      <c r="A39" s="25"/>
      <c r="B39" s="6"/>
      <c r="C39" s="2"/>
      <c r="D39" s="2"/>
      <c r="E39" s="2"/>
      <c r="F39" s="2"/>
      <c r="G39" s="2"/>
      <c r="H39" s="2"/>
      <c r="I39" s="1" t="s">
        <v>111</v>
      </c>
      <c r="J39" s="2"/>
      <c r="K39" s="2"/>
      <c r="L39" s="15"/>
      <c r="M39" s="2"/>
      <c r="N39" s="11">
        <f t="shared" si="7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8"/>
        <v>0</v>
      </c>
      <c r="T39" s="22">
        <f t="shared" si="4"/>
        <v>0</v>
      </c>
      <c r="U39" s="21">
        <f t="shared" si="5"/>
        <v>0</v>
      </c>
      <c r="V39" s="18">
        <f t="shared" si="0"/>
        <v>0</v>
      </c>
      <c r="W39" s="3"/>
      <c r="X39" s="6">
        <f t="shared" si="6"/>
        <v>0</v>
      </c>
      <c r="Y39" s="2"/>
      <c r="Z39" s="2"/>
      <c r="AA39" s="28">
        <f t="shared" ref="AA39:AA43" si="22">AA40-10</f>
        <v>-50</v>
      </c>
      <c r="AB39" s="30">
        <f t="shared" ref="AB39:AB49" si="23">$AB$38*(1+(AA39/100))</f>
        <v>3052.4</v>
      </c>
      <c r="AC39" s="31">
        <f t="dataTable" ref="AC39:AC49" dt2D="0" dtr="0" r1="J34" ca="1"/>
        <v>140324.60655034654</v>
      </c>
      <c r="AD39" s="36">
        <f t="shared" ref="AD39:AD49" si="24">100*((AC39-$AC$44)/$AC$44)</f>
        <v>-14.381101091813321</v>
      </c>
      <c r="AE39" s="2"/>
      <c r="AF39" s="28">
        <f t="shared" ref="AF39:AF43" si="25">AF40-10</f>
        <v>-50</v>
      </c>
      <c r="AG39" s="32">
        <f t="shared" ref="AG39:AG49" si="26">$AG$38*(1+(AF39/100))</f>
        <v>30524</v>
      </c>
      <c r="AH39" s="31">
        <f t="dataTable" ref="AH39:AH49" dt2D="0" dtr="0" r1="F12" ca="1"/>
        <v>89801.069054624924</v>
      </c>
      <c r="AI39" s="36">
        <f t="shared" ref="AI39:AI49" si="27">100*((AH39-$AH$44)/$AH$44)</f>
        <v>-45.207979966960146</v>
      </c>
    </row>
    <row r="40" spans="1:35" ht="15.75" customHeight="1" x14ac:dyDescent="0.25">
      <c r="A40" s="2"/>
      <c r="B40" s="2"/>
      <c r="C40" s="2"/>
      <c r="D40" s="2"/>
      <c r="E40" s="2"/>
      <c r="F40" s="2"/>
      <c r="G40" s="2"/>
      <c r="H40" s="2"/>
      <c r="I40" s="16" t="s">
        <v>114</v>
      </c>
      <c r="J40" s="14">
        <f>F23/$B$8</f>
        <v>5.6100981767180924</v>
      </c>
      <c r="K40" s="2" t="s">
        <v>50</v>
      </c>
      <c r="L40" s="15"/>
      <c r="M40" s="2"/>
      <c r="N40" s="11">
        <f t="shared" si="7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8"/>
        <v>0</v>
      </c>
      <c r="T40" s="22">
        <f t="shared" si="4"/>
        <v>0</v>
      </c>
      <c r="U40" s="21">
        <f t="shared" si="5"/>
        <v>0</v>
      </c>
      <c r="V40" s="18">
        <f t="shared" si="0"/>
        <v>0</v>
      </c>
      <c r="W40" s="3"/>
      <c r="X40" s="6">
        <f t="shared" si="6"/>
        <v>0</v>
      </c>
      <c r="Y40" s="2"/>
      <c r="Z40" s="2"/>
      <c r="AA40" s="28">
        <f t="shared" si="22"/>
        <v>-40</v>
      </c>
      <c r="AB40" s="30">
        <f t="shared" si="23"/>
        <v>3662.88</v>
      </c>
      <c r="AC40" s="31">
        <v>145038.57128991527</v>
      </c>
      <c r="AD40" s="36">
        <f t="shared" si="24"/>
        <v>-11.504880873450658</v>
      </c>
      <c r="AE40" s="2"/>
      <c r="AF40" s="28">
        <f t="shared" si="25"/>
        <v>-40</v>
      </c>
      <c r="AG40" s="32">
        <f t="shared" si="26"/>
        <v>36628.799999999996</v>
      </c>
      <c r="AH40" s="31">
        <v>104619.74129333798</v>
      </c>
      <c r="AI40" s="36">
        <f t="shared" si="27"/>
        <v>-36.166383973568124</v>
      </c>
    </row>
    <row r="41" spans="1:35" ht="15.75" customHeight="1" x14ac:dyDescent="0.25">
      <c r="A41" s="2"/>
      <c r="B41" s="2"/>
      <c r="C41" s="2"/>
      <c r="D41" s="2"/>
      <c r="E41" s="16" t="s">
        <v>98</v>
      </c>
      <c r="F41" s="6">
        <f>F12*B5</f>
        <v>610480</v>
      </c>
      <c r="G41" s="2" t="s">
        <v>99</v>
      </c>
      <c r="H41" s="2"/>
      <c r="I41" s="16" t="s">
        <v>112</v>
      </c>
      <c r="J41" s="14">
        <f>(F17%*F16)/B8</f>
        <v>113.60448807854138</v>
      </c>
      <c r="K41" s="2" t="s">
        <v>50</v>
      </c>
      <c r="L41" s="15"/>
      <c r="M41" s="2"/>
      <c r="N41" s="11">
        <f t="shared" si="7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8"/>
        <v>0</v>
      </c>
      <c r="T41" s="22">
        <f t="shared" si="4"/>
        <v>0</v>
      </c>
      <c r="U41" s="21">
        <f t="shared" si="5"/>
        <v>0</v>
      </c>
      <c r="V41" s="18">
        <f t="shared" si="0"/>
        <v>0</v>
      </c>
      <c r="W41" s="3"/>
      <c r="X41" s="6">
        <f t="shared" si="6"/>
        <v>0</v>
      </c>
      <c r="Y41" s="2"/>
      <c r="Z41" s="2"/>
      <c r="AA41" s="28">
        <f t="shared" si="22"/>
        <v>-30</v>
      </c>
      <c r="AB41" s="30">
        <f t="shared" si="23"/>
        <v>4273.3599999999997</v>
      </c>
      <c r="AC41" s="31">
        <v>149752.53602948404</v>
      </c>
      <c r="AD41" s="36">
        <f t="shared" si="24"/>
        <v>-8.6286606550879803</v>
      </c>
      <c r="AE41" s="2"/>
      <c r="AF41" s="28">
        <f t="shared" si="25"/>
        <v>-30</v>
      </c>
      <c r="AG41" s="32">
        <f t="shared" si="26"/>
        <v>42733.599999999999</v>
      </c>
      <c r="AH41" s="31">
        <v>119438.41353205107</v>
      </c>
      <c r="AI41" s="36">
        <f t="shared" si="27"/>
        <v>-27.12478798017608</v>
      </c>
    </row>
    <row r="42" spans="1:35" ht="15.75" customHeight="1" x14ac:dyDescent="0.25">
      <c r="A42" s="23" t="s">
        <v>110</v>
      </c>
      <c r="B42" s="3"/>
      <c r="C42" s="1"/>
      <c r="D42" s="2"/>
      <c r="E42" s="16"/>
      <c r="F42" s="14"/>
      <c r="G42" s="2"/>
      <c r="H42" s="2"/>
      <c r="I42" s="1"/>
      <c r="J42" s="2"/>
      <c r="K42" s="2"/>
      <c r="L42" s="15"/>
      <c r="M42" s="2"/>
      <c r="N42" s="11">
        <f t="shared" si="7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8"/>
        <v>0</v>
      </c>
      <c r="T42" s="22">
        <f t="shared" si="4"/>
        <v>0</v>
      </c>
      <c r="U42" s="21">
        <f t="shared" si="5"/>
        <v>0</v>
      </c>
      <c r="V42" s="18">
        <f t="shared" si="0"/>
        <v>0</v>
      </c>
      <c r="W42" s="3"/>
      <c r="X42" s="6">
        <f t="shared" si="6"/>
        <v>0</v>
      </c>
      <c r="Y42" s="2"/>
      <c r="Z42" s="2"/>
      <c r="AA42" s="28">
        <f t="shared" si="22"/>
        <v>-20</v>
      </c>
      <c r="AB42" s="30">
        <f t="shared" si="23"/>
        <v>4883.84</v>
      </c>
      <c r="AC42" s="31">
        <v>154466.50076905277</v>
      </c>
      <c r="AD42" s="36">
        <f t="shared" si="24"/>
        <v>-5.7524404367253208</v>
      </c>
      <c r="AE42" s="2"/>
      <c r="AF42" s="28">
        <f t="shared" si="25"/>
        <v>-20</v>
      </c>
      <c r="AG42" s="32">
        <f t="shared" si="26"/>
        <v>48838.400000000001</v>
      </c>
      <c r="AH42" s="31">
        <v>134257.08577076416</v>
      </c>
      <c r="AI42" s="36">
        <f t="shared" si="27"/>
        <v>-18.083191986784033</v>
      </c>
    </row>
    <row r="43" spans="1:35" ht="15.75" customHeight="1" x14ac:dyDescent="0.25">
      <c r="A43" s="16" t="s">
        <v>183</v>
      </c>
      <c r="B43" s="6">
        <f>J8/B8</f>
        <v>9677.4193548387102</v>
      </c>
      <c r="C43" s="2" t="s">
        <v>3</v>
      </c>
      <c r="D43" s="2"/>
      <c r="E43" s="2"/>
      <c r="F43" s="2"/>
      <c r="G43" s="2"/>
      <c r="H43" s="2"/>
      <c r="I43" s="16"/>
      <c r="J43" s="20"/>
      <c r="K43" s="2"/>
      <c r="L43" s="15"/>
      <c r="M43" s="2"/>
      <c r="N43" s="11">
        <f t="shared" si="7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8"/>
        <v>0</v>
      </c>
      <c r="T43" s="22">
        <f t="shared" si="4"/>
        <v>0</v>
      </c>
      <c r="U43" s="21">
        <f t="shared" si="5"/>
        <v>0</v>
      </c>
      <c r="V43" s="18">
        <f t="shared" si="0"/>
        <v>0</v>
      </c>
      <c r="W43" s="3"/>
      <c r="X43" s="6">
        <f t="shared" si="6"/>
        <v>0</v>
      </c>
      <c r="Y43" s="2"/>
      <c r="Z43" s="2"/>
      <c r="AA43" s="28">
        <f t="shared" si="22"/>
        <v>-10</v>
      </c>
      <c r="AB43" s="30">
        <f t="shared" si="23"/>
        <v>5494.3200000000006</v>
      </c>
      <c r="AC43" s="31">
        <v>159180.46550862154</v>
      </c>
      <c r="AD43" s="36">
        <f t="shared" si="24"/>
        <v>-2.8762202183626422</v>
      </c>
      <c r="AE43" s="2"/>
      <c r="AF43" s="28">
        <f t="shared" si="25"/>
        <v>-10</v>
      </c>
      <c r="AG43" s="32">
        <f t="shared" si="26"/>
        <v>54943.200000000004</v>
      </c>
      <c r="AH43" s="31">
        <v>149075.75800947723</v>
      </c>
      <c r="AI43" s="36">
        <f t="shared" si="27"/>
        <v>-9.0415959933919989</v>
      </c>
    </row>
    <row r="44" spans="1:35" ht="15.75" customHeight="1" x14ac:dyDescent="0.25">
      <c r="A44" s="2" t="s">
        <v>117</v>
      </c>
      <c r="B44" s="24">
        <f>(1+B16/100)*B43</f>
        <v>13548.387096774193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7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8"/>
        <v>0</v>
      </c>
      <c r="T44" s="22">
        <f t="shared" si="4"/>
        <v>0</v>
      </c>
      <c r="U44" s="21">
        <f t="shared" si="5"/>
        <v>0</v>
      </c>
      <c r="V44" s="18">
        <f t="shared" si="0"/>
        <v>0</v>
      </c>
      <c r="W44" s="3"/>
      <c r="X44" s="6">
        <f t="shared" si="6"/>
        <v>0</v>
      </c>
      <c r="Y44" s="2"/>
      <c r="Z44" s="2"/>
      <c r="AA44" s="41">
        <v>0</v>
      </c>
      <c r="AB44" s="42">
        <f t="shared" si="23"/>
        <v>6104.8</v>
      </c>
      <c r="AC44" s="43">
        <v>163894.43024819024</v>
      </c>
      <c r="AD44" s="44">
        <f t="shared" si="24"/>
        <v>0</v>
      </c>
      <c r="AE44" s="2"/>
      <c r="AF44" s="41">
        <v>0</v>
      </c>
      <c r="AG44" s="45">
        <f t="shared" si="26"/>
        <v>61048</v>
      </c>
      <c r="AH44" s="43">
        <v>163894.43024819024</v>
      </c>
      <c r="AI44" s="44">
        <f t="shared" si="27"/>
        <v>0</v>
      </c>
    </row>
    <row r="45" spans="1:35" ht="15.75" customHeight="1" x14ac:dyDescent="0.25">
      <c r="A45" s="25" t="s">
        <v>139</v>
      </c>
      <c r="B45" s="6">
        <f>SUM(B33:B38)+B44</f>
        <v>19343.330129063776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7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8"/>
        <v>0</v>
      </c>
      <c r="T45" s="22">
        <f t="shared" si="4"/>
        <v>0</v>
      </c>
      <c r="U45" s="21">
        <f t="shared" si="5"/>
        <v>0</v>
      </c>
      <c r="V45" s="18">
        <f t="shared" si="0"/>
        <v>0</v>
      </c>
      <c r="W45" s="3"/>
      <c r="X45" s="6">
        <f t="shared" si="6"/>
        <v>0</v>
      </c>
      <c r="Y45" s="2"/>
      <c r="Z45" s="2"/>
      <c r="AA45" s="28">
        <f t="shared" ref="AA45:AA49" si="28">AA44+10</f>
        <v>10</v>
      </c>
      <c r="AB45" s="30">
        <f t="shared" si="23"/>
        <v>6715.2800000000007</v>
      </c>
      <c r="AC45" s="31">
        <v>168608.39498775901</v>
      </c>
      <c r="AD45" s="36">
        <f t="shared" si="24"/>
        <v>2.8762202183626782</v>
      </c>
      <c r="AE45" s="2"/>
      <c r="AF45" s="28">
        <f t="shared" ref="AF45:AF49" si="29">AF44+10</f>
        <v>10</v>
      </c>
      <c r="AG45" s="32">
        <f t="shared" si="26"/>
        <v>67152.800000000003</v>
      </c>
      <c r="AH45" s="31">
        <v>178713.10248690334</v>
      </c>
      <c r="AI45" s="36">
        <f t="shared" si="27"/>
        <v>9.0415959933920522</v>
      </c>
    </row>
    <row r="46" spans="1:35" ht="15.75" customHeight="1" x14ac:dyDescent="0.25">
      <c r="A46" s="25" t="s">
        <v>159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7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8"/>
        <v>0</v>
      </c>
      <c r="T46" s="22">
        <f t="shared" si="4"/>
        <v>0</v>
      </c>
      <c r="U46" s="21">
        <f t="shared" si="5"/>
        <v>0</v>
      </c>
      <c r="V46" s="18">
        <f t="shared" si="0"/>
        <v>0</v>
      </c>
      <c r="W46" s="3"/>
      <c r="X46" s="6">
        <f t="shared" si="6"/>
        <v>0</v>
      </c>
      <c r="Y46" s="2"/>
      <c r="Z46" s="2"/>
      <c r="AA46" s="28">
        <f t="shared" si="28"/>
        <v>20</v>
      </c>
      <c r="AB46" s="30">
        <f t="shared" si="23"/>
        <v>7325.76</v>
      </c>
      <c r="AC46" s="31">
        <v>173322.35972732777</v>
      </c>
      <c r="AD46" s="36">
        <f t="shared" si="24"/>
        <v>5.7524404367253563</v>
      </c>
      <c r="AE46" s="2"/>
      <c r="AF46" s="28">
        <f t="shared" si="29"/>
        <v>20</v>
      </c>
      <c r="AG46" s="32">
        <f t="shared" si="26"/>
        <v>73257.599999999991</v>
      </c>
      <c r="AH46" s="31">
        <v>193531.77472561639</v>
      </c>
      <c r="AI46" s="36">
        <f t="shared" si="27"/>
        <v>18.083191986784069</v>
      </c>
    </row>
    <row r="47" spans="1:35" ht="15.75" customHeight="1" x14ac:dyDescent="0.25">
      <c r="A47" s="25" t="s">
        <v>160</v>
      </c>
      <c r="B47" s="6">
        <f>SUM(B45:B46)</f>
        <v>19343.330129063776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7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8"/>
        <v>0</v>
      </c>
      <c r="T47" s="22">
        <f t="shared" si="4"/>
        <v>0</v>
      </c>
      <c r="U47" s="21">
        <f t="shared" si="5"/>
        <v>0</v>
      </c>
      <c r="V47" s="18">
        <f t="shared" si="0"/>
        <v>0</v>
      </c>
      <c r="W47" s="3"/>
      <c r="X47" s="6">
        <f t="shared" si="6"/>
        <v>0</v>
      </c>
      <c r="Y47" s="2"/>
      <c r="Z47" s="2"/>
      <c r="AA47" s="28">
        <f t="shared" si="28"/>
        <v>30</v>
      </c>
      <c r="AB47" s="30">
        <f t="shared" si="23"/>
        <v>7936.2400000000007</v>
      </c>
      <c r="AC47" s="31">
        <v>178036.32446689653</v>
      </c>
      <c r="AD47" s="36">
        <f t="shared" si="24"/>
        <v>8.6286606550880336</v>
      </c>
      <c r="AE47" s="2"/>
      <c r="AF47" s="28">
        <f t="shared" si="29"/>
        <v>30</v>
      </c>
      <c r="AG47" s="32">
        <f t="shared" si="26"/>
        <v>79362.400000000009</v>
      </c>
      <c r="AH47" s="31">
        <v>208350.44696432952</v>
      </c>
      <c r="AI47" s="36">
        <f t="shared" si="27"/>
        <v>27.124787980176141</v>
      </c>
    </row>
    <row r="48" spans="1:3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7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8"/>
        <v>0</v>
      </c>
      <c r="T48" s="22">
        <f t="shared" si="4"/>
        <v>0</v>
      </c>
      <c r="U48" s="21">
        <f t="shared" si="5"/>
        <v>0</v>
      </c>
      <c r="V48" s="18">
        <f t="shared" si="0"/>
        <v>0</v>
      </c>
      <c r="W48" s="3"/>
      <c r="X48" s="6">
        <f t="shared" si="6"/>
        <v>0</v>
      </c>
      <c r="Y48" s="2"/>
      <c r="Z48" s="2"/>
      <c r="AA48" s="28">
        <f t="shared" si="28"/>
        <v>40</v>
      </c>
      <c r="AB48" s="30">
        <f t="shared" si="23"/>
        <v>8546.7199999999993</v>
      </c>
      <c r="AC48" s="31">
        <v>182750.28920646524</v>
      </c>
      <c r="AD48" s="36">
        <f t="shared" si="24"/>
        <v>11.504880873450677</v>
      </c>
      <c r="AE48" s="2"/>
      <c r="AF48" s="28">
        <f t="shared" si="29"/>
        <v>40</v>
      </c>
      <c r="AG48" s="32">
        <f t="shared" si="26"/>
        <v>85467.199999999997</v>
      </c>
      <c r="AH48" s="31">
        <v>223169.11920304256</v>
      </c>
      <c r="AI48" s="36">
        <f t="shared" si="27"/>
        <v>36.166383973568159</v>
      </c>
    </row>
    <row r="49" spans="1:35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118</v>
      </c>
      <c r="O49" s="18">
        <f t="shared" ref="O49:V49" si="30">SUM(O8:O48)</f>
        <v>5802.9990387191328</v>
      </c>
      <c r="P49" s="18">
        <f t="shared" si="30"/>
        <v>14391.835428008884</v>
      </c>
      <c r="Q49" s="18">
        <f t="shared" si="30"/>
        <v>101047.07499144324</v>
      </c>
      <c r="R49" s="18">
        <f t="shared" si="30"/>
        <v>47568.512337055909</v>
      </c>
      <c r="S49" s="18">
        <f t="shared" si="30"/>
        <v>16.743397255301868</v>
      </c>
      <c r="T49" s="18">
        <f t="shared" si="30"/>
        <v>765.36765056374577</v>
      </c>
      <c r="U49" s="18">
        <f t="shared" si="30"/>
        <v>-5698.10259485595</v>
      </c>
      <c r="V49" s="18">
        <f t="shared" si="30"/>
        <v>163894.43024819024</v>
      </c>
      <c r="W49" s="3"/>
      <c r="X49" s="3"/>
      <c r="Y49" s="2"/>
      <c r="Z49" s="2"/>
      <c r="AA49" s="28">
        <f t="shared" si="28"/>
        <v>50</v>
      </c>
      <c r="AB49" s="30">
        <f t="shared" si="23"/>
        <v>9157.2000000000007</v>
      </c>
      <c r="AC49" s="31">
        <v>187464.25394603398</v>
      </c>
      <c r="AD49" s="36">
        <f t="shared" si="24"/>
        <v>14.381101091813337</v>
      </c>
      <c r="AE49" s="2"/>
      <c r="AF49" s="28">
        <f t="shared" si="29"/>
        <v>50</v>
      </c>
      <c r="AG49" s="32">
        <f t="shared" si="26"/>
        <v>91572</v>
      </c>
      <c r="AH49" s="31">
        <v>237987.79144175563</v>
      </c>
      <c r="AI49" s="36">
        <f t="shared" si="27"/>
        <v>45.207979966960195</v>
      </c>
    </row>
    <row r="50" spans="1:35" ht="15.75" customHeight="1" x14ac:dyDescent="0.25">
      <c r="A50" s="2"/>
      <c r="B50" s="35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4">
        <f>SUM(R49:T49)</f>
        <v>48350.623384874962</v>
      </c>
      <c r="S50" s="2"/>
      <c r="T50" s="2"/>
      <c r="U50" s="2"/>
      <c r="V50" s="2"/>
      <c r="W50" s="2"/>
      <c r="X50" s="2"/>
      <c r="Y50" s="24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7" t="s">
        <v>182</v>
      </c>
      <c r="AB51" s="28"/>
      <c r="AC51" s="28"/>
      <c r="AD51" s="28"/>
      <c r="AE51" s="2"/>
      <c r="AF51" s="2"/>
      <c r="AG51" s="2"/>
      <c r="AH51" s="2"/>
      <c r="AI51" s="2"/>
    </row>
    <row r="52" spans="1:35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8" t="s">
        <v>79</v>
      </c>
      <c r="AB52" s="28" t="s">
        <v>182</v>
      </c>
      <c r="AC52" s="28" t="s">
        <v>24</v>
      </c>
      <c r="AD52" s="28" t="s">
        <v>81</v>
      </c>
      <c r="AE52" s="2"/>
      <c r="AF52" s="2"/>
      <c r="AG52" s="2"/>
      <c r="AH52" s="2"/>
      <c r="AI52" s="2"/>
    </row>
    <row r="53" spans="1:35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35"/>
      <c r="Z53" s="2"/>
      <c r="AA53" s="28" t="s">
        <v>85</v>
      </c>
      <c r="AB53" s="30">
        <v>0.16</v>
      </c>
      <c r="AC53" s="31">
        <f>V49</f>
        <v>163894.43024819024</v>
      </c>
      <c r="AD53" s="28"/>
      <c r="AE53" s="2"/>
      <c r="AF53" s="2"/>
      <c r="AG53" s="2"/>
      <c r="AH53" s="2"/>
      <c r="AI53" s="2"/>
    </row>
    <row r="54" spans="1:3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121</v>
      </c>
      <c r="P54" s="51" t="str">
        <f>B1</f>
        <v>Thailand</v>
      </c>
      <c r="Q54" s="49"/>
      <c r="R54" s="49"/>
      <c r="S54" s="49"/>
      <c r="T54" s="49"/>
      <c r="U54" s="49"/>
      <c r="V54" s="2"/>
      <c r="W54" s="2"/>
      <c r="X54" s="2"/>
      <c r="Y54" s="35"/>
      <c r="Z54" s="2"/>
      <c r="AA54" s="28">
        <f t="shared" ref="AA54:AA58" si="31">AA55-10</f>
        <v>-50</v>
      </c>
      <c r="AB54" s="30">
        <f>$AB$53*(1+(-AA54/100))</f>
        <v>0.24</v>
      </c>
      <c r="AC54" s="31">
        <f t="dataTable" ref="AC54:AC64" dt2D="0" dtr="0" r1="J10" ca="1"/>
        <v>214417.96774391196</v>
      </c>
      <c r="AD54" s="36">
        <f>100*((AC54-$AC$59)/$AC$59)</f>
        <v>30.826878875146889</v>
      </c>
      <c r="AE54" s="2"/>
      <c r="AF54" s="2"/>
      <c r="AG54" s="2"/>
      <c r="AH54" s="2"/>
      <c r="AI54" s="2"/>
    </row>
    <row r="55" spans="1:3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122</v>
      </c>
      <c r="P55" s="24">
        <f>SUM(O49:P49)</f>
        <v>20194.834466728018</v>
      </c>
      <c r="Q55" s="2" t="s">
        <v>3</v>
      </c>
      <c r="R55" s="48">
        <f t="shared" ref="R55:R58" si="32">P55/$F$41</f>
        <v>3.3080255645931103E-2</v>
      </c>
      <c r="S55" s="2" t="s">
        <v>4</v>
      </c>
      <c r="T55" s="2"/>
      <c r="U55" s="2"/>
      <c r="V55" s="2"/>
      <c r="W55" s="2"/>
      <c r="X55" s="2"/>
      <c r="Y55" s="35"/>
      <c r="Z55" s="2"/>
      <c r="AA55" s="28">
        <f t="shared" si="31"/>
        <v>-40</v>
      </c>
      <c r="AB55" s="30">
        <f t="shared" ref="AB55:AB64" si="33">$AB$53*(1+(-AA55/100))</f>
        <v>0.22399999999999998</v>
      </c>
      <c r="AC55" s="31">
        <v>204313.26024476759</v>
      </c>
      <c r="AD55" s="36">
        <f t="shared" ref="AD55:AD64" si="34">100*((AC55-$AC$59)/$AC$59)</f>
        <v>24.6615031001175</v>
      </c>
      <c r="AE55" s="2"/>
      <c r="AF55" s="2"/>
      <c r="AG55" s="2"/>
      <c r="AH55" s="2"/>
      <c r="AI55" s="2"/>
    </row>
    <row r="56" spans="1:3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100</v>
      </c>
      <c r="P56" s="24">
        <f>SUM(Q49)</f>
        <v>101047.07499144324</v>
      </c>
      <c r="Q56" s="2" t="s">
        <v>3</v>
      </c>
      <c r="R56" s="48">
        <f t="shared" si="32"/>
        <v>0.16552069681470849</v>
      </c>
      <c r="S56" s="2" t="s">
        <v>4</v>
      </c>
      <c r="T56" s="2"/>
      <c r="U56" s="2"/>
      <c r="V56" s="2"/>
      <c r="W56" s="2"/>
      <c r="X56" s="2"/>
      <c r="Y56" s="35"/>
      <c r="Z56" s="2"/>
      <c r="AA56" s="28">
        <f t="shared" si="31"/>
        <v>-30</v>
      </c>
      <c r="AB56" s="30">
        <f t="shared" si="33"/>
        <v>0.20800000000000002</v>
      </c>
      <c r="AC56" s="31">
        <v>194208.55274562325</v>
      </c>
      <c r="AD56" s="36">
        <f t="shared" si="34"/>
        <v>18.496127325088125</v>
      </c>
      <c r="AE56" s="2"/>
      <c r="AF56" s="2"/>
      <c r="AG56" s="2"/>
      <c r="AH56" s="2"/>
      <c r="AI56" s="2"/>
    </row>
    <row r="57" spans="1:3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123</v>
      </c>
      <c r="P57" s="24">
        <f>SUM(R49:S49)</f>
        <v>47585.255734311213</v>
      </c>
      <c r="Q57" s="2" t="s">
        <v>3</v>
      </c>
      <c r="R57" s="48">
        <f t="shared" si="32"/>
        <v>7.7947280392987831E-2</v>
      </c>
      <c r="S57" s="2" t="s">
        <v>4</v>
      </c>
      <c r="T57" s="2"/>
      <c r="U57" s="2"/>
      <c r="V57" s="2"/>
      <c r="W57" s="2"/>
      <c r="X57" s="2"/>
      <c r="Y57" s="35"/>
      <c r="Z57" s="2"/>
      <c r="AA57" s="28">
        <f t="shared" si="31"/>
        <v>-20</v>
      </c>
      <c r="AB57" s="30">
        <f t="shared" si="33"/>
        <v>0.192</v>
      </c>
      <c r="AC57" s="31">
        <v>184103.84524647892</v>
      </c>
      <c r="AD57" s="36">
        <f t="shared" si="34"/>
        <v>12.33075155005875</v>
      </c>
      <c r="AE57" s="2"/>
      <c r="AF57" s="2"/>
      <c r="AG57" s="2"/>
      <c r="AH57" s="2"/>
      <c r="AI57" s="2"/>
    </row>
    <row r="58" spans="1:3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125</v>
      </c>
      <c r="P58" s="24">
        <f>U49</f>
        <v>-5698.10259485595</v>
      </c>
      <c r="Q58" s="2" t="s">
        <v>3</v>
      </c>
      <c r="R58" s="48">
        <f t="shared" si="32"/>
        <v>-9.3338071597037584E-3</v>
      </c>
      <c r="S58" s="2" t="s">
        <v>4</v>
      </c>
      <c r="T58" s="2"/>
      <c r="U58" s="2"/>
      <c r="V58" s="2"/>
      <c r="W58" s="2"/>
      <c r="X58" s="2"/>
      <c r="Y58" s="35"/>
      <c r="Z58" s="2"/>
      <c r="AA58" s="28">
        <f t="shared" si="31"/>
        <v>-10</v>
      </c>
      <c r="AB58" s="30">
        <f t="shared" si="33"/>
        <v>0.17600000000000002</v>
      </c>
      <c r="AC58" s="31">
        <v>173999.13774733461</v>
      </c>
      <c r="AD58" s="36">
        <f t="shared" si="34"/>
        <v>6.1653757750293918</v>
      </c>
      <c r="AE58" s="2"/>
      <c r="AF58" s="2"/>
      <c r="AG58" s="2"/>
      <c r="AH58" s="2"/>
      <c r="AI58" s="2"/>
    </row>
    <row r="59" spans="1:3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5"/>
      <c r="Z59" s="2"/>
      <c r="AA59" s="41">
        <v>0</v>
      </c>
      <c r="AB59" s="86">
        <f t="shared" si="33"/>
        <v>0.16</v>
      </c>
      <c r="AC59" s="87">
        <v>163894.43024819024</v>
      </c>
      <c r="AD59" s="69">
        <f t="shared" si="34"/>
        <v>0</v>
      </c>
      <c r="AE59" s="2"/>
      <c r="AF59" s="2"/>
      <c r="AG59" s="2"/>
      <c r="AH59" s="2"/>
      <c r="AI59" s="2"/>
    </row>
    <row r="60" spans="1:3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163129.06259762653</v>
      </c>
      <c r="Q60" s="1" t="s">
        <v>3</v>
      </c>
      <c r="R60" s="54">
        <f>SUM(R55:R58)</f>
        <v>0.26721442569392362</v>
      </c>
      <c r="S60" s="1" t="s">
        <v>4</v>
      </c>
      <c r="T60" s="1"/>
      <c r="U60" s="2"/>
      <c r="V60" s="2"/>
      <c r="W60" s="2"/>
      <c r="X60" s="2"/>
      <c r="Y60" s="35"/>
      <c r="Z60" s="2"/>
      <c r="AA60" s="28">
        <f t="shared" ref="AA60:AA64" si="35">AA59+10</f>
        <v>10</v>
      </c>
      <c r="AB60" s="30">
        <f t="shared" si="33"/>
        <v>0.14400000000000002</v>
      </c>
      <c r="AC60" s="31">
        <v>153789.72274904593</v>
      </c>
      <c r="AD60" s="36">
        <f t="shared" si="34"/>
        <v>-6.1653757750293563</v>
      </c>
      <c r="AE60" s="2"/>
      <c r="AF60" s="2"/>
      <c r="AG60" s="2"/>
      <c r="AH60" s="2"/>
      <c r="AI60" s="2"/>
    </row>
    <row r="61" spans="1:3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5"/>
      <c r="Z61" s="2"/>
      <c r="AA61" s="28">
        <f t="shared" si="35"/>
        <v>20</v>
      </c>
      <c r="AB61" s="30">
        <f t="shared" si="33"/>
        <v>0.128</v>
      </c>
      <c r="AC61" s="31">
        <v>143685.01524990163</v>
      </c>
      <c r="AD61" s="36">
        <f t="shared" si="34"/>
        <v>-12.330751550058713</v>
      </c>
      <c r="AE61" s="2"/>
      <c r="AF61" s="2"/>
      <c r="AG61" s="2"/>
      <c r="AH61" s="2"/>
      <c r="AI61" s="2"/>
    </row>
    <row r="62" spans="1:3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5"/>
      <c r="Z62" s="2"/>
      <c r="AA62" s="28">
        <f t="shared" si="35"/>
        <v>30</v>
      </c>
      <c r="AB62" s="30">
        <f t="shared" si="33"/>
        <v>0.11199999999999999</v>
      </c>
      <c r="AC62" s="31">
        <v>133580.30775075729</v>
      </c>
      <c r="AD62" s="36">
        <f t="shared" si="34"/>
        <v>-18.496127325088089</v>
      </c>
      <c r="AE62" s="2"/>
      <c r="AF62" s="2"/>
      <c r="AG62" s="2"/>
      <c r="AH62" s="2"/>
      <c r="AI62" s="2"/>
    </row>
    <row r="63" spans="1:3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5"/>
      <c r="Z63" s="2"/>
      <c r="AA63" s="28">
        <f t="shared" si="35"/>
        <v>40</v>
      </c>
      <c r="AB63" s="30">
        <f t="shared" si="33"/>
        <v>9.6000000000000002E-2</v>
      </c>
      <c r="AC63" s="31">
        <v>123475.60025161298</v>
      </c>
      <c r="AD63" s="36">
        <f t="shared" si="34"/>
        <v>-24.661503100117447</v>
      </c>
      <c r="AE63" s="2"/>
      <c r="AF63" s="2"/>
      <c r="AG63" s="2"/>
      <c r="AH63" s="2"/>
      <c r="AI63" s="2"/>
    </row>
    <row r="64" spans="1:3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5"/>
      <c r="Z64" s="2"/>
      <c r="AA64" s="28">
        <f t="shared" si="35"/>
        <v>50</v>
      </c>
      <c r="AB64" s="30">
        <f t="shared" si="33"/>
        <v>0.08</v>
      </c>
      <c r="AC64" s="31">
        <v>113370.89275246866</v>
      </c>
      <c r="AD64" s="36">
        <f t="shared" si="34"/>
        <v>-30.826878875146811</v>
      </c>
      <c r="AE64" s="2"/>
      <c r="AF64" s="2"/>
      <c r="AG64" s="2"/>
      <c r="AH64" s="2"/>
      <c r="AI64" s="2"/>
    </row>
    <row r="65" spans="1:3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5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5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5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AZ1000"/>
  <sheetViews>
    <sheetView topLeftCell="E1" zoomScale="81" zoomScaleNormal="110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37.85546875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20" width="16.5703125" customWidth="1"/>
    <col min="21" max="21" width="11.140625" customWidth="1"/>
    <col min="22" max="23" width="31.28515625" customWidth="1"/>
    <col min="24" max="24" width="23.85546875" customWidth="1"/>
    <col min="25" max="26" width="13.42578125" customWidth="1"/>
    <col min="27" max="27" width="19.5703125" customWidth="1"/>
    <col min="28" max="28" width="12.28515625" customWidth="1"/>
    <col min="29" max="29" width="20.140625" customWidth="1"/>
    <col min="30" max="30" width="19.28515625" customWidth="1"/>
    <col min="31" max="31" width="12.85546875" customWidth="1"/>
    <col min="32" max="32" width="19" customWidth="1"/>
    <col min="33" max="33" width="4.7109375" customWidth="1"/>
    <col min="34" max="34" width="20.140625" customWidth="1"/>
    <col min="35" max="35" width="19.28515625" customWidth="1"/>
    <col min="36" max="36" width="11.28515625" customWidth="1"/>
    <col min="37" max="37" width="17.85546875" customWidth="1"/>
    <col min="38" max="39" width="8.85546875" customWidth="1"/>
    <col min="40" max="40" width="17.5703125" customWidth="1"/>
    <col min="41" max="41" width="9.7109375" customWidth="1"/>
    <col min="42" max="42" width="15.5703125" customWidth="1"/>
    <col min="43" max="43" width="8.85546875" customWidth="1"/>
    <col min="44" max="45" width="12.7109375" customWidth="1"/>
    <col min="46" max="52" width="8.85546875" customWidth="1"/>
  </cols>
  <sheetData>
    <row r="1" spans="1:52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" t="s">
        <v>2</v>
      </c>
      <c r="B2" s="3">
        <f>Y49</f>
        <v>36328.036620840205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2"/>
      <c r="B3" s="4">
        <f>B2/J34</f>
        <v>0.14682740530611998</v>
      </c>
      <c r="C3" s="1" t="s">
        <v>4</v>
      </c>
      <c r="D3" s="2"/>
      <c r="E3" s="2"/>
      <c r="F3" s="2"/>
      <c r="G3" s="2"/>
      <c r="H3" s="2"/>
      <c r="I3" s="2"/>
      <c r="J3" s="2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 t="s">
        <v>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1" t="s">
        <v>22</v>
      </c>
      <c r="X7" s="11" t="s">
        <v>23</v>
      </c>
      <c r="Y7" s="12" t="s">
        <v>24</v>
      </c>
      <c r="Z7" s="1"/>
      <c r="AA7" s="2" t="s">
        <v>25</v>
      </c>
      <c r="AB7" s="2"/>
      <c r="AC7" s="2" t="s">
        <v>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183</v>
      </c>
      <c r="J8" s="6">
        <v>418600</v>
      </c>
      <c r="K8" s="2" t="s">
        <v>30</v>
      </c>
      <c r="L8" s="15"/>
      <c r="M8" s="2"/>
      <c r="N8" s="11">
        <v>0</v>
      </c>
      <c r="O8" s="17">
        <f>F31</f>
        <v>8034.6231164095352</v>
      </c>
      <c r="P8" s="11"/>
      <c r="Q8" s="11"/>
      <c r="R8" s="11"/>
      <c r="S8" s="11"/>
      <c r="T8" s="11"/>
      <c r="U8" s="11"/>
      <c r="V8" s="11"/>
      <c r="W8" s="11"/>
      <c r="X8" s="11"/>
      <c r="Y8" s="18">
        <f t="shared" ref="Y8:Y48" si="0">SUM(O8:X8)</f>
        <v>8034.6231164095352</v>
      </c>
      <c r="Z8" s="3"/>
      <c r="AA8" s="6"/>
      <c r="AB8" s="2"/>
      <c r="AC8" s="2" t="s">
        <v>31</v>
      </c>
      <c r="AD8" s="19">
        <f>F36</f>
        <v>0.21037868162692849</v>
      </c>
      <c r="AE8" s="2" t="s">
        <v>32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x14ac:dyDescent="0.25">
      <c r="A9" s="13"/>
      <c r="B9" s="2"/>
      <c r="C9" s="2"/>
      <c r="D9" s="2"/>
      <c r="E9" s="2"/>
      <c r="F9" s="20"/>
      <c r="G9" s="2"/>
      <c r="H9" s="15"/>
      <c r="I9" s="16" t="s">
        <v>33</v>
      </c>
      <c r="J9" s="6">
        <v>105</v>
      </c>
      <c r="K9" s="2" t="s">
        <v>32</v>
      </c>
      <c r="L9" s="15"/>
      <c r="M9" s="2"/>
      <c r="N9" s="11">
        <v>1</v>
      </c>
      <c r="O9" s="11"/>
      <c r="P9" s="21">
        <f t="shared" ref="P9:P48" si="1">IF(N9&gt;0,IF(N9&lt;=$J$20,(($F$32+$F$33)/$J$20)/((1+($F$11/100))^N9),0),0)</f>
        <v>4383.3332779523143</v>
      </c>
      <c r="Q9" s="22">
        <f t="shared" ref="Q9:Q48" si="2">IF(N9&gt;0,($F$41*((1+($F$14/100))^(N9-1)))/((1+($F$11/100))^N9),0)</f>
        <v>703.93989180524943</v>
      </c>
      <c r="R9" s="22">
        <f t="shared" ref="R9:R48" si="3">IF(N9&gt;0,$F$40/((1+($F$11/100))^N9),0)</f>
        <v>0</v>
      </c>
      <c r="S9" s="22">
        <f t="shared" ref="S9:S48" si="4">IF(N9&gt;0,$J$37/((1+($F$11/100))^N9),0)</f>
        <v>610.78213504307746</v>
      </c>
      <c r="T9" s="22">
        <f>$J$46/((1+($F$11/100))^N9)</f>
        <v>5.3429506444934214</v>
      </c>
      <c r="U9" s="22">
        <f t="shared" ref="U9:U48" si="5">IF(AND(N9&lt;=5,N9&gt;0),$J$45/((1+($F$11/100))^N9),IF(AND(N9&gt;5,N9&lt;=10),(((1-(N9-5)*10/100)*$J$45)/((1+($F$11/100))^N9)),IF(N9&gt;10,(((1-50/100)*$J$45)/((1+($F$11/100))^N9)),0)))</f>
        <v>26.046884391905429</v>
      </c>
      <c r="V9" s="22">
        <f t="shared" ref="V9:V48" si="6">IF(AND(MOD(N9,$J$31)=0,N9&gt;0),$B$46/((1+($F$11/100))^N9),0)</f>
        <v>0</v>
      </c>
      <c r="W9" s="22">
        <f t="shared" ref="W9:W48" si="7">IF(N9&gt;0,$J$32/((1+($F$11/100))^N9),0)</f>
        <v>0</v>
      </c>
      <c r="X9" s="21">
        <f t="shared" ref="X9:X18" si="8">IF(N9=$B$5,((((1-$J$15/100)^N9)*$B$47+((1-$J$16/100)^N9)*$B$48)/((1+($F$11/100))^N9))*-1,0)</f>
        <v>0</v>
      </c>
      <c r="Y9" s="18">
        <f t="shared" si="0"/>
        <v>5729.4451398370402</v>
      </c>
      <c r="Z9" s="3"/>
      <c r="AA9" s="6">
        <f t="shared" ref="AA9:AA48" si="9">IF(N9&gt;0,((((1-$J$15/100)^N9)*$B$47+((1-$J$16/100)^N9)*$B$48)/((1+($F$11/100))^N9)),0)</f>
        <v>19780.675268817202</v>
      </c>
      <c r="AB9" s="2"/>
      <c r="AC9" s="2" t="s">
        <v>34</v>
      </c>
      <c r="AD9" s="5">
        <f>B48</f>
        <v>6174</v>
      </c>
      <c r="AE9" s="2" t="s">
        <v>3</v>
      </c>
      <c r="AF9" s="2"/>
      <c r="AG9" s="6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37</v>
      </c>
      <c r="J10" s="6">
        <v>42</v>
      </c>
      <c r="K10" s="2" t="s">
        <v>38</v>
      </c>
      <c r="L10" s="15"/>
      <c r="M10" s="2"/>
      <c r="N10" s="11">
        <f t="shared" ref="N10:N48" si="10">IF((N9+1)&gt;$B$5,,IF(N9=0,,N9+1))</f>
        <v>2</v>
      </c>
      <c r="O10" s="11"/>
      <c r="P10" s="21">
        <f t="shared" si="1"/>
        <v>4174.6031218593471</v>
      </c>
      <c r="Q10" s="22">
        <f t="shared" si="2"/>
        <v>677.12313402219229</v>
      </c>
      <c r="R10" s="22">
        <f t="shared" si="3"/>
        <v>0</v>
      </c>
      <c r="S10" s="22">
        <f t="shared" si="4"/>
        <v>581.69727146959758</v>
      </c>
      <c r="T10" s="22">
        <f t="shared" ref="T10:T48" si="11">IF(N10&lt;=$F$25,0,$J$46/((1+($F$11/100))^N9))</f>
        <v>0</v>
      </c>
      <c r="U10" s="22">
        <f t="shared" si="5"/>
        <v>24.806556563719457</v>
      </c>
      <c r="V10" s="22">
        <f t="shared" si="6"/>
        <v>0</v>
      </c>
      <c r="W10" s="22">
        <f t="shared" si="7"/>
        <v>0</v>
      </c>
      <c r="X10" s="21">
        <f t="shared" si="8"/>
        <v>0</v>
      </c>
      <c r="Y10" s="18">
        <f t="shared" si="0"/>
        <v>5458.2300839148566</v>
      </c>
      <c r="Z10" s="3"/>
      <c r="AA10" s="6">
        <f t="shared" si="9"/>
        <v>17309.582875985659</v>
      </c>
      <c r="AB10" s="2"/>
      <c r="AC10" s="16" t="s">
        <v>160</v>
      </c>
      <c r="AD10" s="24">
        <f>B52</f>
        <v>26782.077054698453</v>
      </c>
      <c r="AE10" s="2" t="s">
        <v>3</v>
      </c>
      <c r="AF10" s="2"/>
      <c r="AG10" s="6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25">
      <c r="A11" s="25" t="s">
        <v>158</v>
      </c>
      <c r="B11" s="56">
        <v>150000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41</v>
      </c>
      <c r="J11" s="6">
        <v>536</v>
      </c>
      <c r="K11" s="2" t="s">
        <v>140</v>
      </c>
      <c r="L11" s="15"/>
      <c r="M11" s="2"/>
      <c r="N11" s="11">
        <f t="shared" si="10"/>
        <v>3</v>
      </c>
      <c r="O11" s="11"/>
      <c r="P11" s="21">
        <f t="shared" si="1"/>
        <v>3975.8124970089016</v>
      </c>
      <c r="Q11" s="22">
        <f t="shared" si="2"/>
        <v>651.32796701182303</v>
      </c>
      <c r="R11" s="22">
        <f t="shared" si="3"/>
        <v>0</v>
      </c>
      <c r="S11" s="22">
        <f t="shared" si="4"/>
        <v>553.99740139961671</v>
      </c>
      <c r="T11" s="22">
        <f t="shared" si="11"/>
        <v>0</v>
      </c>
      <c r="U11" s="22">
        <f t="shared" si="5"/>
        <v>23.625291965447101</v>
      </c>
      <c r="V11" s="22">
        <f t="shared" si="6"/>
        <v>0</v>
      </c>
      <c r="W11" s="22">
        <f t="shared" si="7"/>
        <v>0</v>
      </c>
      <c r="X11" s="21">
        <f t="shared" si="8"/>
        <v>0</v>
      </c>
      <c r="Y11" s="18">
        <f t="shared" si="0"/>
        <v>5204.7631573857889</v>
      </c>
      <c r="Z11" s="3"/>
      <c r="AA11" s="6">
        <f t="shared" si="9"/>
        <v>15152.554872729408</v>
      </c>
      <c r="AB11" s="2"/>
      <c r="AC11" s="2" t="s">
        <v>43</v>
      </c>
      <c r="AD11" s="6">
        <f>F12</f>
        <v>24742</v>
      </c>
      <c r="AE11" s="2" t="s">
        <v>44</v>
      </c>
      <c r="AF11" s="2"/>
      <c r="AG11" s="6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24742</v>
      </c>
      <c r="G12" s="2" t="s">
        <v>44</v>
      </c>
      <c r="H12" s="15"/>
      <c r="I12" s="16" t="s">
        <v>47</v>
      </c>
      <c r="J12" s="6">
        <v>300</v>
      </c>
      <c r="K12" s="2" t="s">
        <v>48</v>
      </c>
      <c r="L12" s="15"/>
      <c r="M12" s="2"/>
      <c r="N12" s="11">
        <f t="shared" si="10"/>
        <v>4</v>
      </c>
      <c r="O12" s="11"/>
      <c r="P12" s="21">
        <f t="shared" si="1"/>
        <v>3786.4880923894302</v>
      </c>
      <c r="Q12" s="22">
        <f t="shared" si="2"/>
        <v>626.51547303042037</v>
      </c>
      <c r="R12" s="22">
        <f t="shared" si="3"/>
        <v>0</v>
      </c>
      <c r="S12" s="22">
        <f t="shared" si="4"/>
        <v>527.61657276153971</v>
      </c>
      <c r="T12" s="22">
        <f t="shared" si="11"/>
        <v>0</v>
      </c>
      <c r="U12" s="22">
        <f t="shared" si="5"/>
        <v>22.500278062330572</v>
      </c>
      <c r="V12" s="22">
        <f t="shared" si="6"/>
        <v>0</v>
      </c>
      <c r="W12" s="22">
        <f t="shared" si="7"/>
        <v>0</v>
      </c>
      <c r="X12" s="21">
        <f t="shared" si="8"/>
        <v>0</v>
      </c>
      <c r="Y12" s="18">
        <f t="shared" si="0"/>
        <v>4963.1204162437216</v>
      </c>
      <c r="Z12" s="3"/>
      <c r="AA12" s="6">
        <f t="shared" si="9"/>
        <v>13268.922351244602</v>
      </c>
      <c r="AB12" s="2"/>
      <c r="AC12" s="16" t="s">
        <v>49</v>
      </c>
      <c r="AD12" s="24">
        <f>J40</f>
        <v>616.07579999999996</v>
      </c>
      <c r="AE12" s="2" t="s">
        <v>50</v>
      </c>
      <c r="AF12" s="2"/>
      <c r="AG12" s="6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x14ac:dyDescent="0.25">
      <c r="A13" s="25" t="s">
        <v>51</v>
      </c>
      <c r="B13" s="2">
        <v>7</v>
      </c>
      <c r="C13" s="2" t="s">
        <v>40</v>
      </c>
      <c r="D13" s="2"/>
      <c r="E13" s="16" t="s">
        <v>31</v>
      </c>
      <c r="F13" s="14">
        <v>7.5</v>
      </c>
      <c r="G13" s="2" t="s">
        <v>52</v>
      </c>
      <c r="H13" s="15"/>
      <c r="I13" s="16" t="s">
        <v>53</v>
      </c>
      <c r="J13" s="2">
        <v>30</v>
      </c>
      <c r="K13" s="2" t="s">
        <v>54</v>
      </c>
      <c r="L13" s="15"/>
      <c r="M13" s="2"/>
      <c r="N13" s="11">
        <f t="shared" si="10"/>
        <v>5</v>
      </c>
      <c r="O13" s="11"/>
      <c r="P13" s="21">
        <f t="shared" si="1"/>
        <v>3606.1791356089811</v>
      </c>
      <c r="Q13" s="22">
        <f t="shared" si="2"/>
        <v>602.64821691497571</v>
      </c>
      <c r="R13" s="22">
        <f t="shared" si="3"/>
        <v>0</v>
      </c>
      <c r="S13" s="22">
        <f t="shared" si="4"/>
        <v>502.49197405860923</v>
      </c>
      <c r="T13" s="22">
        <f t="shared" si="11"/>
        <v>0</v>
      </c>
      <c r="U13" s="22">
        <f t="shared" si="5"/>
        <v>21.428836249838639</v>
      </c>
      <c r="V13" s="22">
        <f t="shared" si="6"/>
        <v>0</v>
      </c>
      <c r="W13" s="22">
        <f t="shared" si="7"/>
        <v>0</v>
      </c>
      <c r="X13" s="21">
        <f t="shared" si="8"/>
        <v>0</v>
      </c>
      <c r="Y13" s="18">
        <f t="shared" si="0"/>
        <v>4732.748162832404</v>
      </c>
      <c r="Z13" s="3"/>
      <c r="AA13" s="6">
        <f t="shared" si="9"/>
        <v>11623.386548176546</v>
      </c>
      <c r="AB13" s="2"/>
      <c r="AC13" s="2" t="s">
        <v>157</v>
      </c>
      <c r="AD13" s="6">
        <f>J26</f>
        <v>150</v>
      </c>
      <c r="AE13" s="2" t="s">
        <v>147</v>
      </c>
      <c r="AF13" s="2"/>
      <c r="AG13" s="6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x14ac:dyDescent="0.25">
      <c r="A14" s="25" t="s">
        <v>55</v>
      </c>
      <c r="B14" s="2">
        <v>20</v>
      </c>
      <c r="C14" s="2" t="s">
        <v>40</v>
      </c>
      <c r="D14" s="2"/>
      <c r="E14" s="16" t="s">
        <v>56</v>
      </c>
      <c r="F14" s="2">
        <v>1</v>
      </c>
      <c r="G14" s="2" t="s">
        <v>57</v>
      </c>
      <c r="H14" s="15"/>
      <c r="I14" s="16" t="s">
        <v>58</v>
      </c>
      <c r="J14" s="5">
        <v>20</v>
      </c>
      <c r="K14" s="2" t="s">
        <v>40</v>
      </c>
      <c r="L14" s="15"/>
      <c r="M14" s="2"/>
      <c r="N14" s="11">
        <f t="shared" si="10"/>
        <v>6</v>
      </c>
      <c r="O14" s="11"/>
      <c r="P14" s="21">
        <f t="shared" si="1"/>
        <v>0</v>
      </c>
      <c r="Q14" s="22">
        <f t="shared" si="2"/>
        <v>579.69018960392907</v>
      </c>
      <c r="R14" s="22">
        <f t="shared" si="3"/>
        <v>0</v>
      </c>
      <c r="S14" s="22">
        <f t="shared" si="4"/>
        <v>478.56378481772316</v>
      </c>
      <c r="T14" s="22">
        <f t="shared" si="11"/>
        <v>0</v>
      </c>
      <c r="U14" s="22">
        <f t="shared" si="5"/>
        <v>18.367573928433121</v>
      </c>
      <c r="V14" s="22">
        <f t="shared" si="6"/>
        <v>3290.8098991675279</v>
      </c>
      <c r="W14" s="22">
        <f t="shared" si="7"/>
        <v>0</v>
      </c>
      <c r="X14" s="21">
        <f t="shared" si="8"/>
        <v>0</v>
      </c>
      <c r="Y14" s="18">
        <f t="shared" si="0"/>
        <v>4367.4314475176134</v>
      </c>
      <c r="Z14" s="3"/>
      <c r="AA14" s="6">
        <f t="shared" si="9"/>
        <v>10185.29568385836</v>
      </c>
      <c r="AB14" s="2"/>
      <c r="AC14" s="2" t="s">
        <v>182</v>
      </c>
      <c r="AD14" s="14">
        <f>J17</f>
        <v>0.14199999999999999</v>
      </c>
      <c r="AE14" s="2" t="s">
        <v>69</v>
      </c>
      <c r="AF14" s="2"/>
      <c r="AG14" s="6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A15" s="25" t="s">
        <v>59</v>
      </c>
      <c r="B15" s="2">
        <v>0</v>
      </c>
      <c r="C15" s="2" t="s">
        <v>54</v>
      </c>
      <c r="D15" s="2"/>
      <c r="E15" s="16" t="s">
        <v>60</v>
      </c>
      <c r="F15" s="2">
        <v>0</v>
      </c>
      <c r="G15" s="2" t="s">
        <v>61</v>
      </c>
      <c r="H15" s="15"/>
      <c r="I15" s="16" t="s">
        <v>62</v>
      </c>
      <c r="J15" s="2">
        <v>7.08</v>
      </c>
      <c r="K15" s="2" t="s">
        <v>63</v>
      </c>
      <c r="L15" s="15"/>
      <c r="M15" s="2"/>
      <c r="N15" s="11">
        <f t="shared" si="10"/>
        <v>7</v>
      </c>
      <c r="O15" s="11"/>
      <c r="P15" s="21">
        <f t="shared" si="1"/>
        <v>0</v>
      </c>
      <c r="Q15" s="22">
        <f t="shared" si="2"/>
        <v>557.60675380949363</v>
      </c>
      <c r="R15" s="22">
        <f t="shared" si="3"/>
        <v>0</v>
      </c>
      <c r="S15" s="22">
        <f t="shared" si="4"/>
        <v>455.77503315973627</v>
      </c>
      <c r="T15" s="22">
        <f t="shared" si="11"/>
        <v>0</v>
      </c>
      <c r="U15" s="22">
        <f t="shared" si="5"/>
        <v>15.549268934123276</v>
      </c>
      <c r="V15" s="22">
        <f t="shared" si="6"/>
        <v>0</v>
      </c>
      <c r="W15" s="22">
        <f t="shared" si="7"/>
        <v>0</v>
      </c>
      <c r="X15" s="21">
        <f t="shared" si="8"/>
        <v>0</v>
      </c>
      <c r="Y15" s="18">
        <f t="shared" si="0"/>
        <v>1028.9310559033531</v>
      </c>
      <c r="Z15" s="3"/>
      <c r="AA15" s="6">
        <f t="shared" si="9"/>
        <v>8928.0210510434972</v>
      </c>
      <c r="AB15" s="2"/>
      <c r="AC15" s="2"/>
      <c r="AD15" s="2"/>
      <c r="AE15" s="2"/>
      <c r="AF15" s="2"/>
      <c r="AG15" s="6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x14ac:dyDescent="0.25">
      <c r="A16" s="25" t="s">
        <v>64</v>
      </c>
      <c r="B16" s="2">
        <v>40</v>
      </c>
      <c r="C16" s="2" t="s">
        <v>40</v>
      </c>
      <c r="D16" s="2"/>
      <c r="E16" s="16" t="s">
        <v>65</v>
      </c>
      <c r="F16" s="2">
        <v>0</v>
      </c>
      <c r="G16" s="2" t="s">
        <v>61</v>
      </c>
      <c r="H16" s="15"/>
      <c r="I16" s="16" t="s">
        <v>66</v>
      </c>
      <c r="J16" s="2">
        <v>11</v>
      </c>
      <c r="K16" s="2" t="s">
        <v>63</v>
      </c>
      <c r="L16" s="15"/>
      <c r="M16" s="2"/>
      <c r="N16" s="11">
        <f t="shared" si="10"/>
        <v>8</v>
      </c>
      <c r="O16" s="11"/>
      <c r="P16" s="21">
        <f t="shared" si="1"/>
        <v>0</v>
      </c>
      <c r="Q16" s="22">
        <f t="shared" si="2"/>
        <v>536.36459175960806</v>
      </c>
      <c r="R16" s="22">
        <f t="shared" si="3"/>
        <v>0</v>
      </c>
      <c r="S16" s="22">
        <f t="shared" si="4"/>
        <v>434.07146015212982</v>
      </c>
      <c r="T16" s="22">
        <f t="shared" si="11"/>
        <v>3.9869920343905831</v>
      </c>
      <c r="U16" s="22">
        <f t="shared" si="5"/>
        <v>12.957724111769398</v>
      </c>
      <c r="V16" s="22">
        <f t="shared" si="6"/>
        <v>0</v>
      </c>
      <c r="W16" s="22">
        <f t="shared" si="7"/>
        <v>0</v>
      </c>
      <c r="X16" s="21">
        <f t="shared" si="8"/>
        <v>0</v>
      </c>
      <c r="Y16" s="18">
        <f t="shared" si="0"/>
        <v>987.38076805789785</v>
      </c>
      <c r="Z16" s="3"/>
      <c r="AA16" s="6">
        <f t="shared" si="9"/>
        <v>7828.4184887606289</v>
      </c>
      <c r="AB16" s="2"/>
      <c r="AC16" s="2"/>
      <c r="AD16" s="2"/>
      <c r="AE16" s="2"/>
      <c r="AF16" s="2"/>
      <c r="AG16" s="6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5" t="s">
        <v>167</v>
      </c>
      <c r="B17" s="2">
        <v>365</v>
      </c>
      <c r="C17" s="2" t="s">
        <v>30</v>
      </c>
      <c r="D17" s="2"/>
      <c r="E17" s="16" t="s">
        <v>67</v>
      </c>
      <c r="F17" s="2">
        <v>1950</v>
      </c>
      <c r="G17" s="2" t="s">
        <v>61</v>
      </c>
      <c r="H17" s="15"/>
      <c r="I17" s="16" t="s">
        <v>68</v>
      </c>
      <c r="J17" s="14">
        <v>0.14199999999999999</v>
      </c>
      <c r="K17" s="2" t="s">
        <v>69</v>
      </c>
      <c r="L17" s="15"/>
      <c r="M17" s="2"/>
      <c r="N17" s="11">
        <f t="shared" si="10"/>
        <v>9</v>
      </c>
      <c r="O17" s="11"/>
      <c r="P17" s="21">
        <f t="shared" si="1"/>
        <v>0</v>
      </c>
      <c r="Q17" s="22">
        <f t="shared" si="2"/>
        <v>515.93165493067079</v>
      </c>
      <c r="R17" s="22">
        <f t="shared" si="3"/>
        <v>0</v>
      </c>
      <c r="S17" s="22">
        <f t="shared" si="4"/>
        <v>413.40139062107602</v>
      </c>
      <c r="T17" s="22">
        <f t="shared" si="11"/>
        <v>3.7971352708481749</v>
      </c>
      <c r="U17" s="22">
        <f t="shared" si="5"/>
        <v>10.577733968791344</v>
      </c>
      <c r="V17" s="22">
        <f t="shared" si="6"/>
        <v>0</v>
      </c>
      <c r="W17" s="22">
        <f t="shared" si="7"/>
        <v>0</v>
      </c>
      <c r="X17" s="21">
        <f t="shared" si="8"/>
        <v>0</v>
      </c>
      <c r="Y17" s="18">
        <f t="shared" si="0"/>
        <v>943.70791479138643</v>
      </c>
      <c r="Z17" s="3"/>
      <c r="AA17" s="6">
        <f t="shared" si="9"/>
        <v>6866.3633446989934</v>
      </c>
      <c r="AB17" s="2"/>
      <c r="AC17" s="2"/>
      <c r="AD17" s="2"/>
      <c r="AE17" s="2"/>
      <c r="AF17" s="2"/>
      <c r="AG17" s="6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x14ac:dyDescent="0.25">
      <c r="A18" s="25" t="s">
        <v>70</v>
      </c>
      <c r="B18" s="2">
        <v>0</v>
      </c>
      <c r="C18" s="2" t="s">
        <v>40</v>
      </c>
      <c r="D18" s="2"/>
      <c r="E18" s="16" t="s">
        <v>71</v>
      </c>
      <c r="F18" s="2">
        <v>50</v>
      </c>
      <c r="G18" s="2" t="s">
        <v>40</v>
      </c>
      <c r="H18" s="15"/>
      <c r="I18" s="2"/>
      <c r="J18" s="2"/>
      <c r="K18" s="2"/>
      <c r="L18" s="15"/>
      <c r="M18" s="2"/>
      <c r="N18" s="11">
        <f t="shared" si="10"/>
        <v>10</v>
      </c>
      <c r="O18" s="11"/>
      <c r="P18" s="21">
        <f t="shared" si="1"/>
        <v>0</v>
      </c>
      <c r="Q18" s="22">
        <f t="shared" si="2"/>
        <v>496.27711569521665</v>
      </c>
      <c r="R18" s="22">
        <f t="shared" si="3"/>
        <v>0</v>
      </c>
      <c r="S18" s="22">
        <f t="shared" si="4"/>
        <v>393.71561011531048</v>
      </c>
      <c r="T18" s="22">
        <f t="shared" si="11"/>
        <v>3.6163193055696903</v>
      </c>
      <c r="U18" s="22">
        <f t="shared" si="5"/>
        <v>8.3950269593582103</v>
      </c>
      <c r="V18" s="22">
        <f t="shared" si="6"/>
        <v>0</v>
      </c>
      <c r="W18" s="22">
        <f t="shared" si="7"/>
        <v>0</v>
      </c>
      <c r="X18" s="21">
        <f t="shared" si="8"/>
        <v>-6024.3487141288479</v>
      </c>
      <c r="Y18" s="18">
        <f t="shared" si="0"/>
        <v>-5122.3446420533928</v>
      </c>
      <c r="Z18" s="3"/>
      <c r="AA18" s="6">
        <f t="shared" si="9"/>
        <v>6024.3487141288479</v>
      </c>
      <c r="AB18" s="2"/>
      <c r="AC18" s="2"/>
      <c r="AD18" s="2"/>
      <c r="AE18" s="2"/>
      <c r="AF18" s="2"/>
      <c r="AG18" s="6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25" t="s">
        <v>72</v>
      </c>
      <c r="B19" s="2">
        <v>10</v>
      </c>
      <c r="C19" s="2" t="s">
        <v>40</v>
      </c>
      <c r="D19" s="2"/>
      <c r="E19" s="16" t="s">
        <v>73</v>
      </c>
      <c r="F19" s="6">
        <v>900</v>
      </c>
      <c r="G19" s="2" t="s">
        <v>61</v>
      </c>
      <c r="H19" s="15"/>
      <c r="I19" s="1" t="s">
        <v>78</v>
      </c>
      <c r="J19" s="2"/>
      <c r="K19" s="2"/>
      <c r="L19" s="15"/>
      <c r="M19" s="2"/>
      <c r="N19" s="11">
        <f t="shared" si="10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>
        <f t="shared" si="11"/>
        <v>0</v>
      </c>
      <c r="U19" s="22">
        <f t="shared" si="5"/>
        <v>0</v>
      </c>
      <c r="V19" s="22">
        <f t="shared" si="6"/>
        <v>0</v>
      </c>
      <c r="W19" s="22">
        <f t="shared" si="7"/>
        <v>0</v>
      </c>
      <c r="X19" s="21">
        <f t="shared" ref="X19:X48" si="12">IF(N19=$B$5,((((1-$J$15/100)^N19)*$B$52+((1-$J$16/100)^N19)*$B$48)/((1+($F$11/100))^N19))*-1,0)</f>
        <v>0</v>
      </c>
      <c r="Y19" s="18">
        <f t="shared" si="0"/>
        <v>0</v>
      </c>
      <c r="Z19" s="3"/>
      <c r="AA19" s="6">
        <f t="shared" si="9"/>
        <v>0</v>
      </c>
      <c r="AB19" s="2"/>
      <c r="AC19" s="2"/>
      <c r="AD19" s="2"/>
      <c r="AE19" s="2"/>
      <c r="AF19" s="2"/>
      <c r="AG19" s="6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x14ac:dyDescent="0.25">
      <c r="A20" s="25" t="s">
        <v>74</v>
      </c>
      <c r="B20" s="2">
        <v>0</v>
      </c>
      <c r="C20" s="2" t="s">
        <v>40</v>
      </c>
      <c r="D20" s="2"/>
      <c r="E20" s="16" t="s">
        <v>75</v>
      </c>
      <c r="F20" s="6">
        <v>0</v>
      </c>
      <c r="G20" s="2" t="s">
        <v>76</v>
      </c>
      <c r="H20" s="15"/>
      <c r="I20" s="16" t="s">
        <v>83</v>
      </c>
      <c r="J20" s="2">
        <v>5</v>
      </c>
      <c r="K20" s="2" t="s">
        <v>54</v>
      </c>
      <c r="L20" s="15"/>
      <c r="M20" s="2"/>
      <c r="N20" s="11">
        <f t="shared" si="10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>
        <f t="shared" si="11"/>
        <v>0</v>
      </c>
      <c r="U20" s="22">
        <f t="shared" si="5"/>
        <v>0</v>
      </c>
      <c r="V20" s="22">
        <f t="shared" si="6"/>
        <v>0</v>
      </c>
      <c r="W20" s="22">
        <f t="shared" si="7"/>
        <v>0</v>
      </c>
      <c r="X20" s="21">
        <f t="shared" si="12"/>
        <v>0</v>
      </c>
      <c r="Y20" s="18">
        <f t="shared" si="0"/>
        <v>0</v>
      </c>
      <c r="Z20" s="3"/>
      <c r="AA20" s="6">
        <f t="shared" si="9"/>
        <v>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.75" customHeight="1" x14ac:dyDescent="0.25">
      <c r="A21" s="2"/>
      <c r="B21" s="2"/>
      <c r="C21" s="2"/>
      <c r="D21" s="2"/>
      <c r="E21" s="16" t="s">
        <v>49</v>
      </c>
      <c r="F21" s="35">
        <v>0.88768499999999995</v>
      </c>
      <c r="G21" s="2" t="s">
        <v>141</v>
      </c>
      <c r="H21" s="15"/>
      <c r="I21" s="16" t="s">
        <v>87</v>
      </c>
      <c r="J21" s="2">
        <v>30</v>
      </c>
      <c r="K21" s="2" t="s">
        <v>88</v>
      </c>
      <c r="L21" s="15"/>
      <c r="M21" s="2"/>
      <c r="N21" s="11">
        <f t="shared" si="10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>
        <f t="shared" si="11"/>
        <v>0</v>
      </c>
      <c r="U21" s="22">
        <f t="shared" si="5"/>
        <v>0</v>
      </c>
      <c r="V21" s="22">
        <f t="shared" si="6"/>
        <v>0</v>
      </c>
      <c r="W21" s="22">
        <f t="shared" si="7"/>
        <v>0</v>
      </c>
      <c r="X21" s="21">
        <f t="shared" si="12"/>
        <v>0</v>
      </c>
      <c r="Y21" s="18">
        <f t="shared" si="0"/>
        <v>0</v>
      </c>
      <c r="Z21" s="3"/>
      <c r="AA21" s="6">
        <f t="shared" si="9"/>
        <v>0</v>
      </c>
      <c r="AB21" s="2"/>
      <c r="AC21" s="27" t="s">
        <v>31</v>
      </c>
      <c r="AD21" s="28"/>
      <c r="AE21" s="28"/>
      <c r="AF21" s="28"/>
      <c r="AG21" s="2"/>
      <c r="AH21" s="27" t="s">
        <v>29</v>
      </c>
      <c r="AI21" s="28"/>
      <c r="AJ21" s="28"/>
      <c r="AK21" s="28"/>
      <c r="AL21" s="2"/>
      <c r="AM21" s="81" t="s">
        <v>171</v>
      </c>
      <c r="AN21" s="81" t="s">
        <v>172</v>
      </c>
      <c r="AO21" s="81" t="s">
        <v>173</v>
      </c>
      <c r="AP21" s="81" t="s">
        <v>34</v>
      </c>
      <c r="AQ21" s="81" t="s">
        <v>174</v>
      </c>
      <c r="AR21" s="81" t="s">
        <v>175</v>
      </c>
      <c r="AS21" s="88" t="str">
        <f>AC66</f>
        <v>Energy Efficiency</v>
      </c>
      <c r="AT21" s="2"/>
      <c r="AU21" s="2"/>
      <c r="AV21" s="2"/>
      <c r="AW21" s="2"/>
      <c r="AX21" s="2"/>
      <c r="AY21" s="2"/>
      <c r="AZ21" s="2"/>
    </row>
    <row r="22" spans="1:52" ht="15.75" customHeight="1" x14ac:dyDescent="0.25">
      <c r="A22" s="2"/>
      <c r="B22" s="2"/>
      <c r="C22" s="2"/>
      <c r="D22" s="2"/>
      <c r="E22" s="16" t="s">
        <v>77</v>
      </c>
      <c r="F22" s="2">
        <v>4.55</v>
      </c>
      <c r="G22" s="2" t="s">
        <v>63</v>
      </c>
      <c r="H22" s="15"/>
      <c r="I22" s="63"/>
      <c r="J22" s="63"/>
      <c r="K22" s="63"/>
      <c r="L22" s="15"/>
      <c r="M22" s="2"/>
      <c r="N22" s="11">
        <f t="shared" si="10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>
        <f t="shared" si="11"/>
        <v>0</v>
      </c>
      <c r="U22" s="22">
        <f t="shared" si="5"/>
        <v>0</v>
      </c>
      <c r="V22" s="22">
        <f t="shared" si="6"/>
        <v>0</v>
      </c>
      <c r="W22" s="22">
        <f t="shared" si="7"/>
        <v>0</v>
      </c>
      <c r="X22" s="21">
        <f t="shared" si="12"/>
        <v>0</v>
      </c>
      <c r="Y22" s="18">
        <f t="shared" si="0"/>
        <v>0</v>
      </c>
      <c r="Z22" s="3"/>
      <c r="AA22" s="6">
        <f t="shared" si="9"/>
        <v>0</v>
      </c>
      <c r="AB22" s="2"/>
      <c r="AC22" s="28" t="s">
        <v>79</v>
      </c>
      <c r="AD22" s="28" t="s">
        <v>80</v>
      </c>
      <c r="AE22" s="28" t="s">
        <v>24</v>
      </c>
      <c r="AF22" s="28" t="s">
        <v>81</v>
      </c>
      <c r="AG22" s="2"/>
      <c r="AH22" s="28" t="s">
        <v>79</v>
      </c>
      <c r="AI22" s="28" t="s">
        <v>82</v>
      </c>
      <c r="AJ22" s="28" t="s">
        <v>24</v>
      </c>
      <c r="AK22" s="28" t="s">
        <v>81</v>
      </c>
      <c r="AL22" s="2"/>
      <c r="AM22" s="82">
        <v>-50</v>
      </c>
      <c r="AN22" s="83">
        <f>AK24</f>
        <v>-38.484104622912902</v>
      </c>
      <c r="AO22" s="83">
        <f>AF24</f>
        <v>-8.1857231243426618</v>
      </c>
      <c r="AP22" s="84">
        <f t="shared" ref="AP22:AP32" si="13">AF39</f>
        <v>-10.527463801339621</v>
      </c>
      <c r="AQ22" s="84">
        <f t="shared" ref="AQ22:AQ32" si="14">AK39</f>
        <v>-23.7918429107831</v>
      </c>
      <c r="AR22" s="84">
        <f>AF54</f>
        <v>-6.5475242627844752</v>
      </c>
      <c r="AS22" s="53">
        <f>AF69</f>
        <v>8.1857231243427009</v>
      </c>
      <c r="AT22" s="2"/>
      <c r="AU22" s="2"/>
      <c r="AV22" s="2"/>
      <c r="AW22" s="2"/>
      <c r="AX22" s="2"/>
      <c r="AY22" s="2"/>
      <c r="AZ22" s="2"/>
    </row>
    <row r="23" spans="1:52" ht="15.75" customHeight="1" x14ac:dyDescent="0.25">
      <c r="A23" s="2"/>
      <c r="B23" s="2"/>
      <c r="C23" s="2"/>
      <c r="D23" s="2"/>
      <c r="E23" s="2"/>
      <c r="F23" s="2"/>
      <c r="G23" s="2"/>
      <c r="H23" s="15"/>
      <c r="I23" s="57" t="s">
        <v>142</v>
      </c>
      <c r="J23" s="58"/>
      <c r="K23" s="58"/>
      <c r="L23" s="59"/>
      <c r="M23" s="2"/>
      <c r="N23" s="11">
        <f t="shared" si="10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>
        <f t="shared" si="11"/>
        <v>0</v>
      </c>
      <c r="U23" s="22">
        <f t="shared" si="5"/>
        <v>0</v>
      </c>
      <c r="V23" s="22">
        <f t="shared" si="6"/>
        <v>0</v>
      </c>
      <c r="W23" s="22">
        <f t="shared" si="7"/>
        <v>0</v>
      </c>
      <c r="X23" s="21">
        <f t="shared" si="12"/>
        <v>0</v>
      </c>
      <c r="Y23" s="18">
        <f t="shared" si="0"/>
        <v>0</v>
      </c>
      <c r="Z23" s="3"/>
      <c r="AA23" s="6">
        <f t="shared" si="9"/>
        <v>0</v>
      </c>
      <c r="AB23" s="2"/>
      <c r="AC23" s="28" t="s">
        <v>84</v>
      </c>
      <c r="AD23" s="30">
        <v>0.21037868162692849</v>
      </c>
      <c r="AE23" s="31">
        <f>Y49</f>
        <v>36328.036620840205</v>
      </c>
      <c r="AF23" s="28"/>
      <c r="AG23" s="2"/>
      <c r="AH23" s="28" t="s">
        <v>85</v>
      </c>
      <c r="AI23" s="32">
        <v>26782.077054698453</v>
      </c>
      <c r="AJ23" s="31">
        <f>Y49</f>
        <v>36328.036620840205</v>
      </c>
      <c r="AK23" s="28"/>
      <c r="AL23" s="2"/>
      <c r="AM23" s="82">
        <v>-40</v>
      </c>
      <c r="AN23" s="83">
        <f>AK25</f>
        <v>-30.787283698330327</v>
      </c>
      <c r="AO23" s="83">
        <f t="shared" ref="AO23:AO32" si="15">AF25</f>
        <v>-6.5485784994741651</v>
      </c>
      <c r="AP23" s="84">
        <f t="shared" si="13"/>
        <v>-8.4219710410717283</v>
      </c>
      <c r="AQ23" s="84">
        <f t="shared" si="14"/>
        <v>-13.392664477907257</v>
      </c>
      <c r="AR23" s="84">
        <f t="shared" ref="AR23:AR32" si="16">AF55</f>
        <v>-5.2380194102275679</v>
      </c>
      <c r="AS23" s="53">
        <f t="shared" ref="AS23:AS32" si="17">AF70</f>
        <v>6.5485784994741252</v>
      </c>
      <c r="AT23" s="35"/>
      <c r="AU23" s="35"/>
      <c r="AV23" s="35"/>
      <c r="AW23" s="35"/>
      <c r="AX23" s="35"/>
      <c r="AY23" s="35"/>
      <c r="AZ23" s="35"/>
    </row>
    <row r="24" spans="1:52" ht="15.75" customHeight="1" x14ac:dyDescent="0.25">
      <c r="A24" s="13"/>
      <c r="B24" s="2"/>
      <c r="C24" s="2"/>
      <c r="D24" s="2"/>
      <c r="E24" s="16" t="s">
        <v>86</v>
      </c>
      <c r="F24" s="6">
        <v>200</v>
      </c>
      <c r="G24" s="2" t="s">
        <v>61</v>
      </c>
      <c r="H24" s="15"/>
      <c r="I24" s="58" t="s">
        <v>143</v>
      </c>
      <c r="J24" s="60" t="s">
        <v>148</v>
      </c>
      <c r="K24" s="58"/>
      <c r="L24" s="59"/>
      <c r="M24" s="2"/>
      <c r="N24" s="11">
        <f t="shared" si="10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>
        <f t="shared" si="11"/>
        <v>0</v>
      </c>
      <c r="U24" s="22">
        <f t="shared" si="5"/>
        <v>0</v>
      </c>
      <c r="V24" s="22">
        <f t="shared" si="6"/>
        <v>0</v>
      </c>
      <c r="W24" s="22">
        <f t="shared" si="7"/>
        <v>0</v>
      </c>
      <c r="X24" s="21">
        <f t="shared" si="12"/>
        <v>0</v>
      </c>
      <c r="Y24" s="18">
        <f t="shared" si="0"/>
        <v>0</v>
      </c>
      <c r="Z24" s="3"/>
      <c r="AA24" s="6">
        <f t="shared" si="9"/>
        <v>0</v>
      </c>
      <c r="AB24" s="2"/>
      <c r="AC24" s="28">
        <f t="shared" ref="AC24:AC28" si="18">AC25-10</f>
        <v>-50</v>
      </c>
      <c r="AD24" s="30">
        <f t="shared" ref="AD24:AD34" si="19">$AD$23*(1+(AC24/100))</f>
        <v>0.10518934081346425</v>
      </c>
      <c r="AE24" s="31">
        <f t="dataTable" ref="AE24:AE34" dt2D="0" dtr="0" r1="F36" ca="1"/>
        <v>33354.324126548418</v>
      </c>
      <c r="AF24" s="36">
        <f t="shared" ref="AF24:AF34" si="20">100*((AE24-$AE$29)/$AE$29)</f>
        <v>-8.1857231243426618</v>
      </c>
      <c r="AG24" s="2"/>
      <c r="AH24" s="28">
        <f t="shared" ref="AH24:AH28" si="21">AH25-10</f>
        <v>-50</v>
      </c>
      <c r="AI24" s="32">
        <f t="shared" ref="AI24:AI34" si="22">$AI$23*(1+(AH24/100))</f>
        <v>13391.038527349227</v>
      </c>
      <c r="AJ24" s="31">
        <f t="dataTable" ref="AJ24:AJ34" dt2D="0" dtr="0" r1="B52"/>
        <v>22347.517000225947</v>
      </c>
      <c r="AK24" s="36">
        <f t="shared" ref="AK24:AK34" si="23">100*((AJ24-$AJ$29)/$AJ$29)</f>
        <v>-38.484104622912902</v>
      </c>
      <c r="AL24" s="2"/>
      <c r="AM24" s="82">
        <v>-30</v>
      </c>
      <c r="AN24" s="83">
        <f t="shared" ref="AN24:AN32" si="24">AK26</f>
        <v>-23.090462773747749</v>
      </c>
      <c r="AO24" s="83">
        <f t="shared" si="15"/>
        <v>-4.911433874605609</v>
      </c>
      <c r="AP24" s="84">
        <f t="shared" si="13"/>
        <v>-6.3164782808037767</v>
      </c>
      <c r="AQ24" s="84">
        <f t="shared" si="14"/>
        <v>-10.073388552709297</v>
      </c>
      <c r="AR24" s="84">
        <f t="shared" si="16"/>
        <v>-3.928514557670701</v>
      </c>
      <c r="AS24" s="53">
        <f t="shared" si="17"/>
        <v>4.911433874605609</v>
      </c>
      <c r="AT24" s="35"/>
      <c r="AU24" s="35"/>
      <c r="AV24" s="35"/>
      <c r="AW24" s="35"/>
      <c r="AX24" s="35"/>
      <c r="AY24" s="35"/>
      <c r="AZ24" s="35"/>
    </row>
    <row r="25" spans="1:52" ht="15.75" customHeight="1" x14ac:dyDescent="0.25">
      <c r="A25" s="13"/>
      <c r="B25" s="2"/>
      <c r="C25" s="2"/>
      <c r="D25" s="2"/>
      <c r="E25" s="16" t="s">
        <v>89</v>
      </c>
      <c r="F25" s="2">
        <v>7</v>
      </c>
      <c r="G25" s="2" t="s">
        <v>54</v>
      </c>
      <c r="H25" s="15"/>
      <c r="I25" s="61" t="s">
        <v>144</v>
      </c>
      <c r="J25" s="61">
        <v>1.3</v>
      </c>
      <c r="K25" s="61" t="s">
        <v>145</v>
      </c>
      <c r="L25" s="59"/>
      <c r="M25" s="2"/>
      <c r="N25" s="11">
        <f t="shared" si="10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>
        <f t="shared" si="11"/>
        <v>0</v>
      </c>
      <c r="U25" s="22">
        <f t="shared" si="5"/>
        <v>0</v>
      </c>
      <c r="V25" s="22">
        <f t="shared" si="6"/>
        <v>0</v>
      </c>
      <c r="W25" s="22">
        <f t="shared" si="7"/>
        <v>0</v>
      </c>
      <c r="X25" s="21">
        <f t="shared" si="12"/>
        <v>0</v>
      </c>
      <c r="Y25" s="18">
        <f t="shared" si="0"/>
        <v>0</v>
      </c>
      <c r="Z25" s="3"/>
      <c r="AA25" s="6">
        <f t="shared" si="9"/>
        <v>0</v>
      </c>
      <c r="AB25" s="2"/>
      <c r="AC25" s="28">
        <f t="shared" si="18"/>
        <v>-40</v>
      </c>
      <c r="AD25" s="30">
        <f t="shared" si="19"/>
        <v>0.12622720897615708</v>
      </c>
      <c r="AE25" s="31">
        <v>33949.066625406762</v>
      </c>
      <c r="AF25" s="36">
        <f t="shared" si="20"/>
        <v>-6.5485784994741651</v>
      </c>
      <c r="AG25" s="2"/>
      <c r="AH25" s="28">
        <f t="shared" si="21"/>
        <v>-40</v>
      </c>
      <c r="AI25" s="32">
        <f t="shared" si="22"/>
        <v>16069.24623281907</v>
      </c>
      <c r="AJ25" s="31">
        <v>25143.620924348797</v>
      </c>
      <c r="AK25" s="36">
        <f t="shared" si="23"/>
        <v>-30.787283698330327</v>
      </c>
      <c r="AL25" s="2"/>
      <c r="AM25" s="82">
        <v>-20</v>
      </c>
      <c r="AN25" s="83">
        <f t="shared" si="24"/>
        <v>-15.393641849165151</v>
      </c>
      <c r="AO25" s="83">
        <f t="shared" si="15"/>
        <v>-3.2742892497370328</v>
      </c>
      <c r="AP25" s="84">
        <f t="shared" si="13"/>
        <v>-4.2109855205358437</v>
      </c>
      <c r="AQ25" s="84">
        <f t="shared" si="14"/>
        <v>-6.7354813051226774</v>
      </c>
      <c r="AR25" s="84">
        <f t="shared" si="16"/>
        <v>-2.6190097051137942</v>
      </c>
      <c r="AS25" s="53">
        <f t="shared" si="17"/>
        <v>3.2742892497370528</v>
      </c>
      <c r="AT25" s="35"/>
      <c r="AU25" s="35"/>
      <c r="AV25" s="35"/>
      <c r="AW25" s="35"/>
      <c r="AX25" s="35"/>
      <c r="AY25" s="35"/>
      <c r="AZ25" s="35"/>
    </row>
    <row r="26" spans="1:5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 t="s">
        <v>146</v>
      </c>
      <c r="J26" s="62">
        <f>J12/2</f>
        <v>150</v>
      </c>
      <c r="K26" s="39" t="s">
        <v>147</v>
      </c>
      <c r="L26" s="40"/>
      <c r="M26" s="2"/>
      <c r="N26" s="11">
        <f t="shared" si="10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>
        <f t="shared" si="11"/>
        <v>0</v>
      </c>
      <c r="U26" s="22">
        <f t="shared" si="5"/>
        <v>0</v>
      </c>
      <c r="V26" s="22">
        <f t="shared" si="6"/>
        <v>0</v>
      </c>
      <c r="W26" s="22">
        <f t="shared" si="7"/>
        <v>0</v>
      </c>
      <c r="X26" s="21">
        <f t="shared" si="12"/>
        <v>0</v>
      </c>
      <c r="Y26" s="18">
        <f t="shared" si="0"/>
        <v>0</v>
      </c>
      <c r="Z26" s="3"/>
      <c r="AA26" s="6">
        <f t="shared" si="9"/>
        <v>0</v>
      </c>
      <c r="AB26" s="2"/>
      <c r="AC26" s="28">
        <f t="shared" si="18"/>
        <v>-30</v>
      </c>
      <c r="AD26" s="30">
        <f t="shared" si="19"/>
        <v>0.14726507713884993</v>
      </c>
      <c r="AE26" s="31">
        <v>34543.809124265128</v>
      </c>
      <c r="AF26" s="36">
        <f t="shared" si="20"/>
        <v>-4.911433874605609</v>
      </c>
      <c r="AG26" s="2"/>
      <c r="AH26" s="28">
        <f t="shared" si="21"/>
        <v>-30</v>
      </c>
      <c r="AI26" s="32">
        <f t="shared" si="22"/>
        <v>18747.453938288916</v>
      </c>
      <c r="AJ26" s="31">
        <v>27939.724848471647</v>
      </c>
      <c r="AK26" s="36">
        <f t="shared" si="23"/>
        <v>-23.090462773747749</v>
      </c>
      <c r="AL26" s="2"/>
      <c r="AM26" s="82">
        <v>-10</v>
      </c>
      <c r="AN26" s="83">
        <f t="shared" si="24"/>
        <v>-7.6968209245825969</v>
      </c>
      <c r="AO26" s="83">
        <f t="shared" si="15"/>
        <v>-1.6371446248685366</v>
      </c>
      <c r="AP26" s="84">
        <f t="shared" si="13"/>
        <v>-2.1054927602678921</v>
      </c>
      <c r="AQ26" s="84">
        <f t="shared" si="14"/>
        <v>-3.3780111690280958</v>
      </c>
      <c r="AR26" s="84">
        <f t="shared" si="16"/>
        <v>-1.3095048525568871</v>
      </c>
      <c r="AS26" s="53">
        <f t="shared" si="17"/>
        <v>1.6371446248685366</v>
      </c>
      <c r="AT26" s="35"/>
      <c r="AU26" s="35"/>
      <c r="AV26" s="35"/>
      <c r="AW26" s="35"/>
      <c r="AX26" s="35"/>
      <c r="AY26" s="35"/>
      <c r="AZ26" s="35"/>
    </row>
    <row r="27" spans="1:5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10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>
        <f t="shared" si="11"/>
        <v>0</v>
      </c>
      <c r="U27" s="22">
        <f t="shared" si="5"/>
        <v>0</v>
      </c>
      <c r="V27" s="22">
        <f t="shared" si="6"/>
        <v>0</v>
      </c>
      <c r="W27" s="22">
        <f t="shared" si="7"/>
        <v>0</v>
      </c>
      <c r="X27" s="21">
        <f t="shared" si="12"/>
        <v>0</v>
      </c>
      <c r="Y27" s="18">
        <f t="shared" si="0"/>
        <v>0</v>
      </c>
      <c r="Z27" s="3"/>
      <c r="AA27" s="6">
        <f t="shared" si="9"/>
        <v>0</v>
      </c>
      <c r="AB27" s="2"/>
      <c r="AC27" s="28">
        <f t="shared" si="18"/>
        <v>-20</v>
      </c>
      <c r="AD27" s="30">
        <f t="shared" si="19"/>
        <v>0.1683029453015428</v>
      </c>
      <c r="AE27" s="31">
        <v>35138.551623123501</v>
      </c>
      <c r="AF27" s="36">
        <f t="shared" si="20"/>
        <v>-3.2742892497370328</v>
      </c>
      <c r="AG27" s="2"/>
      <c r="AH27" s="28">
        <f t="shared" si="21"/>
        <v>-20</v>
      </c>
      <c r="AI27" s="32">
        <f t="shared" si="22"/>
        <v>21425.661643758765</v>
      </c>
      <c r="AJ27" s="31">
        <v>30735.828772594505</v>
      </c>
      <c r="AK27" s="36">
        <f t="shared" si="23"/>
        <v>-15.393641849165151</v>
      </c>
      <c r="AL27" s="2"/>
      <c r="AM27" s="82">
        <v>0</v>
      </c>
      <c r="AN27" s="83">
        <f t="shared" si="24"/>
        <v>0</v>
      </c>
      <c r="AO27" s="83">
        <f t="shared" si="15"/>
        <v>0</v>
      </c>
      <c r="AP27" s="84">
        <f t="shared" si="13"/>
        <v>0</v>
      </c>
      <c r="AQ27" s="84">
        <f t="shared" si="14"/>
        <v>0</v>
      </c>
      <c r="AR27" s="84">
        <f t="shared" si="16"/>
        <v>0</v>
      </c>
      <c r="AS27" s="53">
        <f t="shared" si="17"/>
        <v>0</v>
      </c>
      <c r="AT27" s="35"/>
      <c r="AU27" s="35"/>
      <c r="AV27" s="35"/>
      <c r="AW27" s="35"/>
      <c r="AX27" s="35"/>
      <c r="AY27" s="35"/>
      <c r="AZ27" s="35"/>
    </row>
    <row r="28" spans="1:52" ht="15.75" customHeight="1" x14ac:dyDescent="0.25">
      <c r="A28" s="1" t="s">
        <v>90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10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>
        <f t="shared" si="11"/>
        <v>0</v>
      </c>
      <c r="U28" s="22">
        <f t="shared" si="5"/>
        <v>0</v>
      </c>
      <c r="V28" s="22">
        <f t="shared" si="6"/>
        <v>0</v>
      </c>
      <c r="W28" s="22">
        <f t="shared" si="7"/>
        <v>0</v>
      </c>
      <c r="X28" s="21">
        <f t="shared" si="12"/>
        <v>0</v>
      </c>
      <c r="Y28" s="18">
        <f t="shared" si="0"/>
        <v>0</v>
      </c>
      <c r="Z28" s="3"/>
      <c r="AA28" s="6">
        <f t="shared" si="9"/>
        <v>0</v>
      </c>
      <c r="AB28" s="2"/>
      <c r="AC28" s="28">
        <f t="shared" si="18"/>
        <v>-10</v>
      </c>
      <c r="AD28" s="30">
        <f t="shared" si="19"/>
        <v>0.18934081346423565</v>
      </c>
      <c r="AE28" s="31">
        <v>35733.294121981846</v>
      </c>
      <c r="AF28" s="36">
        <f t="shared" si="20"/>
        <v>-1.6371446248685366</v>
      </c>
      <c r="AG28" s="2"/>
      <c r="AH28" s="28">
        <f t="shared" si="21"/>
        <v>-10</v>
      </c>
      <c r="AI28" s="32">
        <f t="shared" si="22"/>
        <v>24103.869349228607</v>
      </c>
      <c r="AJ28" s="31">
        <v>33531.932696717347</v>
      </c>
      <c r="AK28" s="36">
        <f t="shared" si="23"/>
        <v>-7.6968209245825969</v>
      </c>
      <c r="AL28" s="2"/>
      <c r="AM28" s="82">
        <v>10</v>
      </c>
      <c r="AN28" s="83">
        <f t="shared" si="24"/>
        <v>7.6968209245825969</v>
      </c>
      <c r="AO28" s="83">
        <f t="shared" si="15"/>
        <v>1.6371446248685366</v>
      </c>
      <c r="AP28" s="84">
        <f t="shared" si="13"/>
        <v>2.1054927602679121</v>
      </c>
      <c r="AQ28" s="84">
        <f t="shared" si="14"/>
        <v>10.852108209058626</v>
      </c>
      <c r="AR28" s="84">
        <f t="shared" si="16"/>
        <v>1.3095048525568871</v>
      </c>
      <c r="AS28" s="53">
        <f t="shared" si="17"/>
        <v>-1.6371446248685366</v>
      </c>
      <c r="AT28" s="35"/>
      <c r="AU28" s="35"/>
      <c r="AV28" s="35"/>
      <c r="AW28" s="35"/>
      <c r="AX28" s="35"/>
      <c r="AY28" s="35"/>
      <c r="AZ28" s="35"/>
    </row>
    <row r="29" spans="1:5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10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>
        <f t="shared" si="11"/>
        <v>0</v>
      </c>
      <c r="U29" s="22">
        <f t="shared" si="5"/>
        <v>0</v>
      </c>
      <c r="V29" s="22">
        <f t="shared" si="6"/>
        <v>0</v>
      </c>
      <c r="W29" s="22">
        <f t="shared" si="7"/>
        <v>0</v>
      </c>
      <c r="X29" s="21">
        <f t="shared" si="12"/>
        <v>0</v>
      </c>
      <c r="Y29" s="18">
        <f t="shared" si="0"/>
        <v>0</v>
      </c>
      <c r="Z29" s="3"/>
      <c r="AA29" s="6">
        <f t="shared" si="9"/>
        <v>0</v>
      </c>
      <c r="AB29" s="2"/>
      <c r="AC29" s="41">
        <v>0</v>
      </c>
      <c r="AD29" s="42">
        <f t="shared" si="19"/>
        <v>0.21037868162692849</v>
      </c>
      <c r="AE29" s="43">
        <v>36328.036620840205</v>
      </c>
      <c r="AF29" s="44">
        <f t="shared" si="20"/>
        <v>0</v>
      </c>
      <c r="AG29" s="2"/>
      <c r="AH29" s="41">
        <v>0</v>
      </c>
      <c r="AI29" s="45">
        <f t="shared" si="22"/>
        <v>26782.077054698453</v>
      </c>
      <c r="AJ29" s="43">
        <v>36328.036620840205</v>
      </c>
      <c r="AK29" s="44">
        <f t="shared" si="23"/>
        <v>0</v>
      </c>
      <c r="AL29" s="2"/>
      <c r="AM29" s="82">
        <v>20</v>
      </c>
      <c r="AN29" s="83">
        <f t="shared" si="24"/>
        <v>15.393641849165112</v>
      </c>
      <c r="AO29" s="83">
        <f t="shared" si="15"/>
        <v>3.2742892497370528</v>
      </c>
      <c r="AP29" s="84">
        <f t="shared" si="13"/>
        <v>4.2109855205358437</v>
      </c>
      <c r="AQ29" s="84">
        <f t="shared" si="14"/>
        <v>13.79875768648405</v>
      </c>
      <c r="AR29" s="84">
        <f t="shared" si="16"/>
        <v>2.6190097051137542</v>
      </c>
      <c r="AS29" s="53">
        <f t="shared" si="17"/>
        <v>-3.2742892497370328</v>
      </c>
      <c r="AT29" s="35"/>
      <c r="AU29" s="35"/>
      <c r="AV29" s="35"/>
      <c r="AW29" s="35"/>
      <c r="AX29" s="35"/>
      <c r="AY29" s="35"/>
      <c r="AZ29" s="35"/>
    </row>
    <row r="30" spans="1:52" ht="15.75" customHeight="1" x14ac:dyDescent="0.25">
      <c r="A30" s="7" t="s">
        <v>91</v>
      </c>
      <c r="B30" s="8"/>
      <c r="C30" s="8"/>
      <c r="D30" s="8"/>
      <c r="E30" s="10" t="s">
        <v>92</v>
      </c>
      <c r="F30" s="8"/>
      <c r="G30" s="8"/>
      <c r="H30" s="8"/>
      <c r="I30" s="10" t="s">
        <v>93</v>
      </c>
      <c r="J30" s="46"/>
      <c r="K30" s="8"/>
      <c r="L30" s="9"/>
      <c r="M30" s="2"/>
      <c r="N30" s="11">
        <f t="shared" si="10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>
        <f t="shared" si="11"/>
        <v>0</v>
      </c>
      <c r="U30" s="22">
        <f t="shared" si="5"/>
        <v>0</v>
      </c>
      <c r="V30" s="22">
        <f t="shared" si="6"/>
        <v>0</v>
      </c>
      <c r="W30" s="22">
        <f t="shared" si="7"/>
        <v>0</v>
      </c>
      <c r="X30" s="21">
        <f t="shared" si="12"/>
        <v>0</v>
      </c>
      <c r="Y30" s="18">
        <f t="shared" si="0"/>
        <v>0</v>
      </c>
      <c r="Z30" s="3"/>
      <c r="AA30" s="6">
        <f t="shared" si="9"/>
        <v>0</v>
      </c>
      <c r="AB30" s="2"/>
      <c r="AC30" s="28">
        <f t="shared" ref="AC30:AC34" si="25">AC29+10</f>
        <v>10</v>
      </c>
      <c r="AD30" s="30">
        <f t="shared" si="19"/>
        <v>0.23141654978962137</v>
      </c>
      <c r="AE30" s="31">
        <v>36922.779119698564</v>
      </c>
      <c r="AF30" s="36">
        <f t="shared" si="20"/>
        <v>1.6371446248685366</v>
      </c>
      <c r="AG30" s="2"/>
      <c r="AH30" s="28">
        <f t="shared" ref="AH30:AH34" si="26">AH29+10</f>
        <v>10</v>
      </c>
      <c r="AI30" s="32">
        <f t="shared" si="22"/>
        <v>29460.284760168302</v>
      </c>
      <c r="AJ30" s="31">
        <v>39124.140544963062</v>
      </c>
      <c r="AK30" s="36">
        <f t="shared" si="23"/>
        <v>7.6968209245825969</v>
      </c>
      <c r="AL30" s="2"/>
      <c r="AM30" s="82">
        <v>30</v>
      </c>
      <c r="AN30" s="83">
        <f t="shared" si="24"/>
        <v>23.090462773747749</v>
      </c>
      <c r="AO30" s="83">
        <f t="shared" si="15"/>
        <v>4.911433874605609</v>
      </c>
      <c r="AP30" s="84">
        <f t="shared" si="13"/>
        <v>6.3164782808037971</v>
      </c>
      <c r="AQ30" s="84">
        <f t="shared" si="14"/>
        <v>17.984867646835145</v>
      </c>
      <c r="AR30" s="84">
        <f t="shared" si="16"/>
        <v>3.928514557670701</v>
      </c>
      <c r="AS30" s="53">
        <f t="shared" si="17"/>
        <v>-4.911433874605609</v>
      </c>
      <c r="AT30" s="35"/>
      <c r="AU30" s="35"/>
      <c r="AV30" s="35"/>
      <c r="AW30" s="35"/>
      <c r="AX30" s="35"/>
      <c r="AY30" s="35"/>
      <c r="AZ30" s="35"/>
    </row>
    <row r="31" spans="1:52" ht="15.75" customHeight="1" x14ac:dyDescent="0.25">
      <c r="A31" s="25" t="s">
        <v>158</v>
      </c>
      <c r="B31" s="6">
        <f>IF(B11=0,0,-B11/B8)</f>
        <v>-4207.5736325385697</v>
      </c>
      <c r="C31" s="2" t="s">
        <v>3</v>
      </c>
      <c r="D31" s="2"/>
      <c r="E31" s="16" t="s">
        <v>94</v>
      </c>
      <c r="F31" s="24">
        <f>(J21/100)*B52</f>
        <v>8034.6231164095352</v>
      </c>
      <c r="G31" s="2" t="s">
        <v>3</v>
      </c>
      <c r="H31" s="2"/>
      <c r="I31" s="16" t="s">
        <v>95</v>
      </c>
      <c r="J31" s="35">
        <f>ROUNDDOWN(J11/(F12/J12),0)</f>
        <v>6</v>
      </c>
      <c r="K31" s="2" t="s">
        <v>54</v>
      </c>
      <c r="L31" s="15"/>
      <c r="M31" s="2"/>
      <c r="N31" s="11">
        <f t="shared" si="10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>
        <f t="shared" si="11"/>
        <v>0</v>
      </c>
      <c r="U31" s="22">
        <f t="shared" si="5"/>
        <v>0</v>
      </c>
      <c r="V31" s="22">
        <f t="shared" si="6"/>
        <v>0</v>
      </c>
      <c r="W31" s="22">
        <f t="shared" si="7"/>
        <v>0</v>
      </c>
      <c r="X31" s="21">
        <f t="shared" si="12"/>
        <v>0</v>
      </c>
      <c r="Y31" s="18">
        <f t="shared" si="0"/>
        <v>0</v>
      </c>
      <c r="Z31" s="3"/>
      <c r="AA31" s="6">
        <f t="shared" si="9"/>
        <v>0</v>
      </c>
      <c r="AB31" s="2"/>
      <c r="AC31" s="28">
        <f t="shared" si="25"/>
        <v>20</v>
      </c>
      <c r="AD31" s="30">
        <f t="shared" si="19"/>
        <v>0.25245441795231416</v>
      </c>
      <c r="AE31" s="31">
        <v>37517.521618556915</v>
      </c>
      <c r="AF31" s="36">
        <f t="shared" si="20"/>
        <v>3.2742892497370528</v>
      </c>
      <c r="AG31" s="2"/>
      <c r="AH31" s="28">
        <f t="shared" si="26"/>
        <v>20</v>
      </c>
      <c r="AI31" s="32">
        <f t="shared" si="22"/>
        <v>32138.492465638141</v>
      </c>
      <c r="AJ31" s="31">
        <v>41920.24446908589</v>
      </c>
      <c r="AK31" s="36">
        <f t="shared" si="23"/>
        <v>15.393641849165112</v>
      </c>
      <c r="AL31" s="2"/>
      <c r="AM31" s="82">
        <v>40</v>
      </c>
      <c r="AN31" s="83">
        <f t="shared" si="24"/>
        <v>30.787283698330302</v>
      </c>
      <c r="AO31" s="83">
        <f t="shared" si="15"/>
        <v>6.5485784994741252</v>
      </c>
      <c r="AP31" s="84">
        <f t="shared" si="13"/>
        <v>8.4219710410716484</v>
      </c>
      <c r="AQ31" s="84">
        <f t="shared" si="14"/>
        <v>20.93151712426053</v>
      </c>
      <c r="AR31" s="84">
        <f t="shared" si="16"/>
        <v>5.2380194102275679</v>
      </c>
      <c r="AS31" s="53">
        <f t="shared" si="17"/>
        <v>-6.5485784994741651</v>
      </c>
      <c r="AT31" s="35"/>
      <c r="AU31" s="35"/>
      <c r="AV31" s="35"/>
      <c r="AW31" s="35"/>
      <c r="AX31" s="35"/>
      <c r="AY31" s="35"/>
      <c r="AZ31" s="35"/>
    </row>
    <row r="32" spans="1:52" ht="15.75" customHeight="1" x14ac:dyDescent="0.25">
      <c r="A32" s="25" t="s">
        <v>45</v>
      </c>
      <c r="B32" s="6">
        <f>IF(B12=0,0,-(B12/100)*$B$50)</f>
        <v>0</v>
      </c>
      <c r="C32" s="2" t="s">
        <v>3</v>
      </c>
      <c r="D32" s="2"/>
      <c r="E32" s="16" t="s">
        <v>96</v>
      </c>
      <c r="F32" s="6">
        <f>B52-F31</f>
        <v>18747.45393828892</v>
      </c>
      <c r="G32" s="2" t="s">
        <v>3</v>
      </c>
      <c r="H32" s="2"/>
      <c r="I32" s="16" t="s">
        <v>60</v>
      </c>
      <c r="J32" s="14">
        <f>IF(J24="Yes",SUM(F50:F51),0)</f>
        <v>0</v>
      </c>
      <c r="K32" s="2" t="s">
        <v>50</v>
      </c>
      <c r="L32" s="15"/>
      <c r="M32" s="2"/>
      <c r="N32" s="11">
        <f t="shared" si="10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>
        <f t="shared" si="11"/>
        <v>0</v>
      </c>
      <c r="U32" s="22">
        <f t="shared" si="5"/>
        <v>0</v>
      </c>
      <c r="V32" s="22">
        <f t="shared" si="6"/>
        <v>0</v>
      </c>
      <c r="W32" s="22">
        <f t="shared" si="7"/>
        <v>0</v>
      </c>
      <c r="X32" s="21">
        <f t="shared" si="12"/>
        <v>0</v>
      </c>
      <c r="Y32" s="18">
        <f t="shared" si="0"/>
        <v>0</v>
      </c>
      <c r="Z32" s="3"/>
      <c r="AA32" s="6">
        <f t="shared" si="9"/>
        <v>0</v>
      </c>
      <c r="AB32" s="2"/>
      <c r="AC32" s="28">
        <f t="shared" si="25"/>
        <v>30</v>
      </c>
      <c r="AD32" s="30">
        <f t="shared" si="19"/>
        <v>0.27349228611500703</v>
      </c>
      <c r="AE32" s="31">
        <v>38112.264117415281</v>
      </c>
      <c r="AF32" s="36">
        <f t="shared" si="20"/>
        <v>4.911433874605609</v>
      </c>
      <c r="AG32" s="2"/>
      <c r="AH32" s="28">
        <f t="shared" si="26"/>
        <v>30</v>
      </c>
      <c r="AI32" s="32">
        <f t="shared" si="22"/>
        <v>34816.700171107994</v>
      </c>
      <c r="AJ32" s="31">
        <v>44716.348393208762</v>
      </c>
      <c r="AK32" s="36">
        <f t="shared" si="23"/>
        <v>23.090462773747749</v>
      </c>
      <c r="AL32" s="2"/>
      <c r="AM32" s="82">
        <v>50</v>
      </c>
      <c r="AN32" s="83">
        <f t="shared" si="24"/>
        <v>38.484104622912859</v>
      </c>
      <c r="AO32" s="83">
        <f t="shared" si="15"/>
        <v>8.1857231243427009</v>
      </c>
      <c r="AP32" s="84">
        <f t="shared" si="13"/>
        <v>10.527463801339602</v>
      </c>
      <c r="AQ32" s="84">
        <f t="shared" si="14"/>
        <v>23.878166601685951</v>
      </c>
      <c r="AR32" s="84">
        <f t="shared" si="16"/>
        <v>6.5475242627844557</v>
      </c>
      <c r="AS32" s="53">
        <f t="shared" si="17"/>
        <v>-8.1857231243426618</v>
      </c>
      <c r="AT32" s="35"/>
      <c r="AU32" s="35"/>
      <c r="AV32" s="35"/>
      <c r="AW32" s="35"/>
      <c r="AX32" s="35"/>
      <c r="AY32" s="35"/>
      <c r="AZ32" s="35"/>
    </row>
    <row r="33" spans="1:52" ht="15.75" customHeight="1" x14ac:dyDescent="0.25">
      <c r="A33" s="25" t="s">
        <v>51</v>
      </c>
      <c r="B33" s="6">
        <f>IF(B13=0,0,(B13/100)*($B$49))</f>
        <v>1582.8896774193547</v>
      </c>
      <c r="C33" s="2" t="s">
        <v>3</v>
      </c>
      <c r="D33" s="2"/>
      <c r="E33" s="16" t="s">
        <v>97</v>
      </c>
      <c r="F33" s="24">
        <f>F32*(F22/100)*J20</f>
        <v>4265.045770960729</v>
      </c>
      <c r="G33" s="2" t="s">
        <v>3</v>
      </c>
      <c r="H33" s="2"/>
      <c r="I33" s="2"/>
      <c r="J33" s="2"/>
      <c r="K33" s="2"/>
      <c r="L33" s="15"/>
      <c r="M33" s="2"/>
      <c r="N33" s="11">
        <f t="shared" si="10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>
        <f t="shared" si="11"/>
        <v>0</v>
      </c>
      <c r="U33" s="22">
        <f t="shared" si="5"/>
        <v>0</v>
      </c>
      <c r="V33" s="22">
        <f t="shared" si="6"/>
        <v>0</v>
      </c>
      <c r="W33" s="22">
        <f t="shared" si="7"/>
        <v>0</v>
      </c>
      <c r="X33" s="21">
        <f t="shared" si="12"/>
        <v>0</v>
      </c>
      <c r="Y33" s="18">
        <f t="shared" si="0"/>
        <v>0</v>
      </c>
      <c r="Z33" s="3"/>
      <c r="AA33" s="6">
        <f t="shared" si="9"/>
        <v>0</v>
      </c>
      <c r="AB33" s="2"/>
      <c r="AC33" s="28">
        <f t="shared" si="25"/>
        <v>40</v>
      </c>
      <c r="AD33" s="30">
        <f t="shared" si="19"/>
        <v>0.29453015427769985</v>
      </c>
      <c r="AE33" s="31">
        <v>38707.006616273633</v>
      </c>
      <c r="AF33" s="36">
        <f t="shared" si="20"/>
        <v>6.5485784994741252</v>
      </c>
      <c r="AG33" s="2"/>
      <c r="AH33" s="28">
        <f t="shared" si="26"/>
        <v>40</v>
      </c>
      <c r="AI33" s="32">
        <f t="shared" si="22"/>
        <v>37494.907876577832</v>
      </c>
      <c r="AJ33" s="31">
        <v>47512.452317331605</v>
      </c>
      <c r="AK33" s="36">
        <f t="shared" si="23"/>
        <v>30.787283698330302</v>
      </c>
      <c r="AL33" s="2"/>
      <c r="AM33" s="29"/>
      <c r="AN33" s="33"/>
      <c r="AO33" s="34"/>
      <c r="AP33" s="37"/>
      <c r="AQ33" s="2"/>
      <c r="AR33" s="35"/>
      <c r="AS33" s="35"/>
      <c r="AT33" s="35"/>
      <c r="AU33" s="35"/>
      <c r="AV33" s="35"/>
      <c r="AW33" s="35"/>
      <c r="AX33" s="35"/>
      <c r="AY33" s="35"/>
      <c r="AZ33" s="35"/>
    </row>
    <row r="34" spans="1:52" ht="15.75" customHeight="1" x14ac:dyDescent="0.25">
      <c r="A34" s="25" t="s">
        <v>55</v>
      </c>
      <c r="B34" s="6">
        <f>IF(B14=0,0,(B14/100)*$B$49)</f>
        <v>4522.5419354838705</v>
      </c>
      <c r="C34" s="2" t="s">
        <v>3</v>
      </c>
      <c r="D34" s="2"/>
      <c r="E34" s="2"/>
      <c r="F34" s="35"/>
      <c r="G34" s="2"/>
      <c r="H34" s="2"/>
      <c r="I34" s="16" t="s">
        <v>98</v>
      </c>
      <c r="J34" s="6">
        <f>F12*B5</f>
        <v>247420</v>
      </c>
      <c r="K34" s="2" t="s">
        <v>99</v>
      </c>
      <c r="L34" s="15"/>
      <c r="M34" s="2"/>
      <c r="N34" s="11">
        <f t="shared" si="10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>
        <f t="shared" si="11"/>
        <v>0</v>
      </c>
      <c r="U34" s="22">
        <f t="shared" si="5"/>
        <v>0</v>
      </c>
      <c r="V34" s="22">
        <f t="shared" si="6"/>
        <v>0</v>
      </c>
      <c r="W34" s="22">
        <f t="shared" si="7"/>
        <v>0</v>
      </c>
      <c r="X34" s="21">
        <f t="shared" si="12"/>
        <v>0</v>
      </c>
      <c r="Y34" s="18">
        <f t="shared" si="0"/>
        <v>0</v>
      </c>
      <c r="Z34" s="3"/>
      <c r="AA34" s="6">
        <f t="shared" si="9"/>
        <v>0</v>
      </c>
      <c r="AB34" s="2"/>
      <c r="AC34" s="28">
        <f t="shared" si="25"/>
        <v>50</v>
      </c>
      <c r="AD34" s="30">
        <f t="shared" si="19"/>
        <v>0.31556802244039273</v>
      </c>
      <c r="AE34" s="31">
        <v>39301.749115132006</v>
      </c>
      <c r="AF34" s="36">
        <f t="shared" si="20"/>
        <v>8.1857231243427009</v>
      </c>
      <c r="AG34" s="2"/>
      <c r="AH34" s="28">
        <f t="shared" si="26"/>
        <v>50</v>
      </c>
      <c r="AI34" s="32">
        <f t="shared" si="22"/>
        <v>40173.115582047678</v>
      </c>
      <c r="AJ34" s="31">
        <v>50308.556241454447</v>
      </c>
      <c r="AK34" s="36">
        <f t="shared" si="23"/>
        <v>38.484104622912859</v>
      </c>
      <c r="AL34" s="2"/>
      <c r="AM34" s="29"/>
      <c r="AN34" s="33"/>
      <c r="AO34" s="34"/>
      <c r="AP34" s="37"/>
      <c r="AQ34" s="2"/>
      <c r="AR34" s="35"/>
      <c r="AS34" s="35"/>
      <c r="AT34" s="35"/>
      <c r="AU34" s="35"/>
      <c r="AV34" s="35"/>
      <c r="AW34" s="35"/>
      <c r="AX34" s="35"/>
      <c r="AY34" s="35"/>
      <c r="AZ34" s="35"/>
    </row>
    <row r="35" spans="1:52" ht="15.75" customHeight="1" x14ac:dyDescent="0.25">
      <c r="A35" s="16" t="s">
        <v>70</v>
      </c>
      <c r="B35" s="6">
        <f>IF(B18=0,0,(B18/100)*$B$49)</f>
        <v>0</v>
      </c>
      <c r="C35" s="2" t="s">
        <v>3</v>
      </c>
      <c r="D35" s="2"/>
      <c r="E35" s="1" t="s">
        <v>100</v>
      </c>
      <c r="F35" s="2"/>
      <c r="G35" s="2"/>
      <c r="H35" s="2"/>
      <c r="I35" s="2"/>
      <c r="J35" s="2"/>
      <c r="K35" s="2"/>
      <c r="L35" s="15"/>
      <c r="M35" s="2"/>
      <c r="N35" s="11">
        <f t="shared" si="10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>
        <f t="shared" si="11"/>
        <v>0</v>
      </c>
      <c r="U35" s="22">
        <f t="shared" si="5"/>
        <v>0</v>
      </c>
      <c r="V35" s="22">
        <f t="shared" si="6"/>
        <v>0</v>
      </c>
      <c r="W35" s="22">
        <f t="shared" si="7"/>
        <v>0</v>
      </c>
      <c r="X35" s="21">
        <f t="shared" si="12"/>
        <v>0</v>
      </c>
      <c r="Y35" s="18">
        <f t="shared" si="0"/>
        <v>0</v>
      </c>
      <c r="Z35" s="3"/>
      <c r="AA35" s="6">
        <f t="shared" si="9"/>
        <v>0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5.75" customHeight="1" x14ac:dyDescent="0.25">
      <c r="A36" s="25" t="s">
        <v>72</v>
      </c>
      <c r="B36" s="6">
        <f>IF(B19=0,0,(B19/100)*$B$49)</f>
        <v>2261.2709677419352</v>
      </c>
      <c r="C36" s="2" t="s">
        <v>3</v>
      </c>
      <c r="D36" s="2"/>
      <c r="E36" s="16" t="s">
        <v>31</v>
      </c>
      <c r="F36" s="14">
        <f>F13/$B$8</f>
        <v>0.21037868162692849</v>
      </c>
      <c r="G36" s="2" t="s">
        <v>32</v>
      </c>
      <c r="H36" s="2"/>
      <c r="I36" s="2"/>
      <c r="J36" s="2"/>
      <c r="K36" s="2"/>
      <c r="L36" s="15"/>
      <c r="M36" s="2"/>
      <c r="N36" s="11">
        <f t="shared" si="10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>
        <f t="shared" si="11"/>
        <v>0</v>
      </c>
      <c r="U36" s="22">
        <f t="shared" si="5"/>
        <v>0</v>
      </c>
      <c r="V36" s="22">
        <f t="shared" si="6"/>
        <v>0</v>
      </c>
      <c r="W36" s="22">
        <f t="shared" si="7"/>
        <v>0</v>
      </c>
      <c r="X36" s="21">
        <f t="shared" si="12"/>
        <v>0</v>
      </c>
      <c r="Y36" s="18">
        <f t="shared" si="0"/>
        <v>0</v>
      </c>
      <c r="Z36" s="3"/>
      <c r="AA36" s="6">
        <f t="shared" si="9"/>
        <v>0</v>
      </c>
      <c r="AB36" s="2"/>
      <c r="AC36" s="27" t="s">
        <v>34</v>
      </c>
      <c r="AD36" s="28"/>
      <c r="AE36" s="28"/>
      <c r="AF36" s="28"/>
      <c r="AG36" s="2"/>
      <c r="AH36" s="27" t="s">
        <v>101</v>
      </c>
      <c r="AI36" s="28"/>
      <c r="AJ36" s="28"/>
      <c r="AK36" s="28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5.75" customHeight="1" x14ac:dyDescent="0.25">
      <c r="A37" s="25" t="s">
        <v>74</v>
      </c>
      <c r="B37" s="6">
        <f>IF(B20=0,0,(B20/100)*$B$49)</f>
        <v>0</v>
      </c>
      <c r="C37" s="2" t="s">
        <v>3</v>
      </c>
      <c r="D37" s="2"/>
      <c r="E37" s="16" t="s">
        <v>102</v>
      </c>
      <c r="F37" s="6">
        <f>(F20/((1-J14%)*J10))/B8</f>
        <v>0</v>
      </c>
      <c r="G37" s="2" t="s">
        <v>32</v>
      </c>
      <c r="H37" s="2"/>
      <c r="I37" s="1" t="s">
        <v>103</v>
      </c>
      <c r="J37" s="47">
        <f>SUM(J38:J40)</f>
        <v>641.32124179523134</v>
      </c>
      <c r="K37" s="1" t="s">
        <v>50</v>
      </c>
      <c r="L37" s="15"/>
      <c r="M37" s="2"/>
      <c r="N37" s="11">
        <f t="shared" si="10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>
        <f t="shared" si="11"/>
        <v>0</v>
      </c>
      <c r="U37" s="22">
        <f t="shared" si="5"/>
        <v>0</v>
      </c>
      <c r="V37" s="22">
        <f t="shared" si="6"/>
        <v>0</v>
      </c>
      <c r="W37" s="22">
        <f t="shared" si="7"/>
        <v>0</v>
      </c>
      <c r="X37" s="21">
        <f t="shared" si="12"/>
        <v>0</v>
      </c>
      <c r="Y37" s="18">
        <f t="shared" si="0"/>
        <v>0</v>
      </c>
      <c r="Z37" s="3"/>
      <c r="AA37" s="6">
        <f t="shared" si="9"/>
        <v>0</v>
      </c>
      <c r="AB37" s="2"/>
      <c r="AC37" s="28" t="s">
        <v>79</v>
      </c>
      <c r="AD37" s="28" t="s">
        <v>104</v>
      </c>
      <c r="AE37" s="28" t="s">
        <v>24</v>
      </c>
      <c r="AF37" s="28" t="s">
        <v>81</v>
      </c>
      <c r="AG37" s="2"/>
      <c r="AH37" s="28" t="s">
        <v>79</v>
      </c>
      <c r="AI37" s="28" t="s">
        <v>105</v>
      </c>
      <c r="AJ37" s="28" t="s">
        <v>24</v>
      </c>
      <c r="AK37" s="28" t="s">
        <v>81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5.75" customHeight="1" x14ac:dyDescent="0.25">
      <c r="A38" s="25" t="s">
        <v>167</v>
      </c>
      <c r="B38" s="14">
        <f>IF(B17=0,0,(B17/B8))</f>
        <v>10.23842917251052</v>
      </c>
      <c r="C38" s="2" t="s">
        <v>3</v>
      </c>
      <c r="D38" s="2"/>
      <c r="E38" s="16" t="s">
        <v>106</v>
      </c>
      <c r="F38" s="48">
        <f>F36*J17</f>
        <v>2.9873772791023843E-2</v>
      </c>
      <c r="G38" s="2" t="s">
        <v>4</v>
      </c>
      <c r="H38" s="2"/>
      <c r="I38" s="16" t="s">
        <v>73</v>
      </c>
      <c r="J38" s="14">
        <f>F19/$B$8</f>
        <v>25.245441795231418</v>
      </c>
      <c r="K38" s="2" t="s">
        <v>50</v>
      </c>
      <c r="L38" s="15"/>
      <c r="M38" s="2"/>
      <c r="N38" s="11">
        <f t="shared" si="10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>
        <f t="shared" si="11"/>
        <v>0</v>
      </c>
      <c r="U38" s="22">
        <f t="shared" si="5"/>
        <v>0</v>
      </c>
      <c r="V38" s="22">
        <f t="shared" si="6"/>
        <v>0</v>
      </c>
      <c r="W38" s="22">
        <f t="shared" si="7"/>
        <v>0</v>
      </c>
      <c r="X38" s="21">
        <f t="shared" si="12"/>
        <v>0</v>
      </c>
      <c r="Y38" s="18">
        <f t="shared" si="0"/>
        <v>0</v>
      </c>
      <c r="Z38" s="3"/>
      <c r="AA38" s="6">
        <f t="shared" si="9"/>
        <v>0</v>
      </c>
      <c r="AB38" s="2"/>
      <c r="AC38" s="28" t="s">
        <v>84</v>
      </c>
      <c r="AD38" s="32">
        <v>6174</v>
      </c>
      <c r="AE38" s="31">
        <f>Y49</f>
        <v>36328.036620840205</v>
      </c>
      <c r="AF38" s="28"/>
      <c r="AG38" s="2"/>
      <c r="AH38" s="28" t="s">
        <v>84</v>
      </c>
      <c r="AI38" s="32">
        <v>24742</v>
      </c>
      <c r="AJ38" s="31">
        <f>Y49</f>
        <v>36328.036620840205</v>
      </c>
      <c r="AK38" s="28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5.75" customHeight="1" x14ac:dyDescent="0.25">
      <c r="A39" s="2"/>
      <c r="B39" s="2"/>
      <c r="C39" s="2"/>
      <c r="D39" s="2"/>
      <c r="E39" s="2"/>
      <c r="F39" s="2"/>
      <c r="G39" s="2"/>
      <c r="H39" s="2"/>
      <c r="I39" s="16" t="s">
        <v>65</v>
      </c>
      <c r="J39" s="14">
        <f>F16/$B$8</f>
        <v>0</v>
      </c>
      <c r="K39" s="2" t="s">
        <v>50</v>
      </c>
      <c r="L39" s="15"/>
      <c r="M39" s="2"/>
      <c r="N39" s="11">
        <f t="shared" si="10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>
        <f t="shared" si="11"/>
        <v>0</v>
      </c>
      <c r="U39" s="22">
        <f t="shared" si="5"/>
        <v>0</v>
      </c>
      <c r="V39" s="22">
        <f t="shared" si="6"/>
        <v>0</v>
      </c>
      <c r="W39" s="22">
        <f t="shared" si="7"/>
        <v>0</v>
      </c>
      <c r="X39" s="21">
        <f t="shared" si="12"/>
        <v>0</v>
      </c>
      <c r="Y39" s="18">
        <f t="shared" si="0"/>
        <v>0</v>
      </c>
      <c r="Z39" s="3"/>
      <c r="AA39" s="6">
        <f t="shared" si="9"/>
        <v>0</v>
      </c>
      <c r="AB39" s="2"/>
      <c r="AC39" s="28">
        <f t="shared" ref="AC39:AC43" si="27">AC40-10</f>
        <v>-50</v>
      </c>
      <c r="AD39" s="32">
        <f t="shared" ref="AD39:AD49" si="28">$AD$38*(1+(AC39/100))</f>
        <v>3087</v>
      </c>
      <c r="AE39" s="31">
        <f t="dataTable" ref="AE39:AE49" dt2D="0" dtr="0" r1="B48" ca="1"/>
        <v>32503.615715843851</v>
      </c>
      <c r="AF39" s="36">
        <f>100*((AE39-$AE$44)/$AE$44)</f>
        <v>-10.527463801339621</v>
      </c>
      <c r="AG39" s="2"/>
      <c r="AH39" s="28">
        <f t="shared" ref="AH39:AH43" si="29">AH40-10</f>
        <v>-50</v>
      </c>
      <c r="AI39" s="32">
        <f t="shared" ref="AI39:AI49" si="30">$AI$38*(1+(AH39/100))</f>
        <v>12371</v>
      </c>
      <c r="AJ39" s="31">
        <f t="dataTable" ref="AJ39:AJ49" dt2D="0" dtr="0" r1="F12" ca="1"/>
        <v>27684.927215438147</v>
      </c>
      <c r="AK39" s="36">
        <f t="shared" ref="AK39:AK49" si="31">100*((AJ39-$AJ$44)/$AJ$44)</f>
        <v>-23.7918429107831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5.75" customHeight="1" x14ac:dyDescent="0.25">
      <c r="A40" s="16" t="s">
        <v>107</v>
      </c>
      <c r="B40" s="6">
        <f>-B34*B15</f>
        <v>0</v>
      </c>
      <c r="C40" s="2" t="s">
        <v>3</v>
      </c>
      <c r="D40" s="2"/>
      <c r="E40" s="16" t="s">
        <v>108</v>
      </c>
      <c r="F40" s="14">
        <f>F37*F12*J17</f>
        <v>0</v>
      </c>
      <c r="G40" s="2" t="s">
        <v>50</v>
      </c>
      <c r="H40" s="2"/>
      <c r="I40" s="16" t="s">
        <v>49</v>
      </c>
      <c r="J40" s="20">
        <f>F21*F12/$B$8</f>
        <v>616.07579999999996</v>
      </c>
      <c r="K40" s="2" t="s">
        <v>50</v>
      </c>
      <c r="L40" s="15"/>
      <c r="M40" s="2"/>
      <c r="N40" s="11">
        <f t="shared" si="10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>
        <f t="shared" si="11"/>
        <v>0</v>
      </c>
      <c r="U40" s="22">
        <f t="shared" si="5"/>
        <v>0</v>
      </c>
      <c r="V40" s="22">
        <f t="shared" si="6"/>
        <v>0</v>
      </c>
      <c r="W40" s="22">
        <f t="shared" si="7"/>
        <v>0</v>
      </c>
      <c r="X40" s="21">
        <f t="shared" si="12"/>
        <v>0</v>
      </c>
      <c r="Y40" s="18">
        <f t="shared" si="0"/>
        <v>0</v>
      </c>
      <c r="Z40" s="3"/>
      <c r="AA40" s="6">
        <f t="shared" si="9"/>
        <v>0</v>
      </c>
      <c r="AB40" s="2"/>
      <c r="AC40" s="28">
        <f t="shared" si="27"/>
        <v>-40</v>
      </c>
      <c r="AD40" s="32">
        <f t="shared" si="28"/>
        <v>3704.3999999999996</v>
      </c>
      <c r="AE40" s="31">
        <v>33268.49989684311</v>
      </c>
      <c r="AF40" s="36">
        <f t="shared" ref="AF40:AF49" si="32">100*((AE40-$AE$29)/$AE$29)</f>
        <v>-8.4219710410717283</v>
      </c>
      <c r="AG40" s="2"/>
      <c r="AH40" s="28">
        <f t="shared" si="29"/>
        <v>-40</v>
      </c>
      <c r="AI40" s="32">
        <f t="shared" si="30"/>
        <v>14845.199999999999</v>
      </c>
      <c r="AJ40" s="31">
        <v>31462.744564799799</v>
      </c>
      <c r="AK40" s="36">
        <f t="shared" si="31"/>
        <v>-13.392664477907257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5.75" customHeight="1" x14ac:dyDescent="0.25">
      <c r="A41" s="2"/>
      <c r="B41" s="2"/>
      <c r="C41" s="2"/>
      <c r="D41" s="2"/>
      <c r="E41" s="16" t="s">
        <v>109</v>
      </c>
      <c r="F41" s="35">
        <f>F38*F12</f>
        <v>739.13688639551197</v>
      </c>
      <c r="G41" s="26" t="s">
        <v>50</v>
      </c>
      <c r="H41" s="2"/>
      <c r="I41" s="2"/>
      <c r="J41" s="2"/>
      <c r="K41" s="2"/>
      <c r="L41" s="15"/>
      <c r="M41" s="2"/>
      <c r="N41" s="11">
        <f t="shared" si="10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>
        <f t="shared" si="11"/>
        <v>0</v>
      </c>
      <c r="U41" s="22">
        <f t="shared" si="5"/>
        <v>0</v>
      </c>
      <c r="V41" s="22">
        <f t="shared" si="6"/>
        <v>0</v>
      </c>
      <c r="W41" s="22">
        <f t="shared" si="7"/>
        <v>0</v>
      </c>
      <c r="X41" s="21">
        <f t="shared" si="12"/>
        <v>0</v>
      </c>
      <c r="Y41" s="18">
        <f t="shared" si="0"/>
        <v>0</v>
      </c>
      <c r="Z41" s="3"/>
      <c r="AA41" s="6">
        <f t="shared" si="9"/>
        <v>0</v>
      </c>
      <c r="AB41" s="2"/>
      <c r="AC41" s="28">
        <f t="shared" si="27"/>
        <v>-30</v>
      </c>
      <c r="AD41" s="32">
        <f t="shared" si="28"/>
        <v>4321.7999999999993</v>
      </c>
      <c r="AE41" s="31">
        <v>34033.384077842391</v>
      </c>
      <c r="AF41" s="36">
        <f t="shared" si="32"/>
        <v>-6.3164782808037767</v>
      </c>
      <c r="AG41" s="2"/>
      <c r="AH41" s="28">
        <f t="shared" si="29"/>
        <v>-30</v>
      </c>
      <c r="AI41" s="32">
        <f t="shared" si="30"/>
        <v>17319.399999999998</v>
      </c>
      <c r="AJ41" s="31">
        <v>32668.572338452446</v>
      </c>
      <c r="AK41" s="36">
        <f t="shared" si="31"/>
        <v>-10.073388552709297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5"/>
      <c r="M42" s="2"/>
      <c r="N42" s="11">
        <f t="shared" si="10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>
        <f t="shared" si="11"/>
        <v>0</v>
      </c>
      <c r="U42" s="22">
        <f t="shared" si="5"/>
        <v>0</v>
      </c>
      <c r="V42" s="22">
        <f t="shared" si="6"/>
        <v>0</v>
      </c>
      <c r="W42" s="22">
        <f t="shared" si="7"/>
        <v>0</v>
      </c>
      <c r="X42" s="21">
        <f t="shared" si="12"/>
        <v>0</v>
      </c>
      <c r="Y42" s="18">
        <f t="shared" si="0"/>
        <v>0</v>
      </c>
      <c r="Z42" s="3"/>
      <c r="AA42" s="6">
        <f t="shared" si="9"/>
        <v>0</v>
      </c>
      <c r="AB42" s="2"/>
      <c r="AC42" s="28">
        <f t="shared" si="27"/>
        <v>-20</v>
      </c>
      <c r="AD42" s="32">
        <f t="shared" si="28"/>
        <v>4939.2000000000007</v>
      </c>
      <c r="AE42" s="31">
        <v>34798.268258841665</v>
      </c>
      <c r="AF42" s="36">
        <f t="shared" si="32"/>
        <v>-4.2109855205358437</v>
      </c>
      <c r="AG42" s="2"/>
      <c r="AH42" s="28">
        <f t="shared" si="29"/>
        <v>-20</v>
      </c>
      <c r="AI42" s="32">
        <f t="shared" si="30"/>
        <v>19793.600000000002</v>
      </c>
      <c r="AJ42" s="31">
        <v>33881.168505725393</v>
      </c>
      <c r="AK42" s="36">
        <f t="shared" si="31"/>
        <v>-6.7354813051226774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2"/>
      <c r="N43" s="11">
        <f t="shared" si="10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>
        <f t="shared" si="11"/>
        <v>0</v>
      </c>
      <c r="U43" s="22">
        <f t="shared" si="5"/>
        <v>0</v>
      </c>
      <c r="V43" s="22">
        <f t="shared" si="6"/>
        <v>0</v>
      </c>
      <c r="W43" s="22">
        <f t="shared" si="7"/>
        <v>0</v>
      </c>
      <c r="X43" s="21">
        <f t="shared" si="12"/>
        <v>0</v>
      </c>
      <c r="Y43" s="18">
        <f t="shared" si="0"/>
        <v>0</v>
      </c>
      <c r="Z43" s="3"/>
      <c r="AA43" s="6">
        <f t="shared" si="9"/>
        <v>0</v>
      </c>
      <c r="AB43" s="2"/>
      <c r="AC43" s="28">
        <f t="shared" si="27"/>
        <v>-10</v>
      </c>
      <c r="AD43" s="32">
        <f t="shared" si="28"/>
        <v>5556.6</v>
      </c>
      <c r="AE43" s="31">
        <v>35563.152439840946</v>
      </c>
      <c r="AF43" s="36">
        <f t="shared" si="32"/>
        <v>-2.1054927602678921</v>
      </c>
      <c r="AG43" s="2"/>
      <c r="AH43" s="28">
        <f t="shared" si="29"/>
        <v>-10</v>
      </c>
      <c r="AI43" s="32">
        <f t="shared" si="30"/>
        <v>22267.8</v>
      </c>
      <c r="AJ43" s="31">
        <v>35100.871486299606</v>
      </c>
      <c r="AK43" s="36">
        <f t="shared" si="31"/>
        <v>-3.3780111690280958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5.75" customHeight="1" x14ac:dyDescent="0.25">
      <c r="A44" s="23" t="s">
        <v>110</v>
      </c>
      <c r="B44" s="3"/>
      <c r="C44" s="1"/>
      <c r="D44" s="2"/>
      <c r="E44" s="1" t="s">
        <v>149</v>
      </c>
      <c r="F44" s="2"/>
      <c r="G44" s="2"/>
      <c r="H44" s="2"/>
      <c r="I44" s="1" t="s">
        <v>111</v>
      </c>
      <c r="J44" s="2"/>
      <c r="K44" s="2"/>
      <c r="L44" s="15"/>
      <c r="M44" s="2"/>
      <c r="N44" s="11">
        <f t="shared" si="10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>
        <f t="shared" si="11"/>
        <v>0</v>
      </c>
      <c r="U44" s="22">
        <f t="shared" si="5"/>
        <v>0</v>
      </c>
      <c r="V44" s="22">
        <f t="shared" si="6"/>
        <v>0</v>
      </c>
      <c r="W44" s="22">
        <f t="shared" si="7"/>
        <v>0</v>
      </c>
      <c r="X44" s="21">
        <f t="shared" si="12"/>
        <v>0</v>
      </c>
      <c r="Y44" s="18">
        <f t="shared" si="0"/>
        <v>0</v>
      </c>
      <c r="Z44" s="3"/>
      <c r="AA44" s="6">
        <f t="shared" si="9"/>
        <v>0</v>
      </c>
      <c r="AB44" s="2"/>
      <c r="AC44" s="41">
        <v>0</v>
      </c>
      <c r="AD44" s="45">
        <f t="shared" si="28"/>
        <v>6174</v>
      </c>
      <c r="AE44" s="43">
        <v>36328.036620840205</v>
      </c>
      <c r="AF44" s="44">
        <f t="shared" si="32"/>
        <v>0</v>
      </c>
      <c r="AG44" s="2"/>
      <c r="AH44" s="41">
        <v>0</v>
      </c>
      <c r="AI44" s="45">
        <f t="shared" si="30"/>
        <v>24742</v>
      </c>
      <c r="AJ44" s="43">
        <v>36328.036620840205</v>
      </c>
      <c r="AK44" s="44">
        <f t="shared" si="31"/>
        <v>0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5.75" customHeight="1" x14ac:dyDescent="0.25">
      <c r="A45" s="16" t="s">
        <v>183</v>
      </c>
      <c r="B45" s="6">
        <f>J8/B8</f>
        <v>11741.935483870968</v>
      </c>
      <c r="C45" s="2" t="s">
        <v>3</v>
      </c>
      <c r="D45" s="2"/>
      <c r="E45" s="16" t="s">
        <v>150</v>
      </c>
      <c r="F45" s="64">
        <f>((1+(B16/100))*J9*J10)*(1+(B13%+B19%))</f>
        <v>7223.58</v>
      </c>
      <c r="G45" s="2" t="s">
        <v>3</v>
      </c>
      <c r="H45" s="2"/>
      <c r="I45" s="16" t="s">
        <v>112</v>
      </c>
      <c r="J45" s="48">
        <f>(F18%*F17)/B8</f>
        <v>27.349228611500703</v>
      </c>
      <c r="K45" s="2" t="s">
        <v>50</v>
      </c>
      <c r="L45" s="15"/>
      <c r="M45" s="2"/>
      <c r="N45" s="11">
        <f t="shared" si="10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>
        <f t="shared" si="11"/>
        <v>0</v>
      </c>
      <c r="U45" s="22">
        <f t="shared" si="5"/>
        <v>0</v>
      </c>
      <c r="V45" s="22">
        <f t="shared" si="6"/>
        <v>0</v>
      </c>
      <c r="W45" s="22">
        <f t="shared" si="7"/>
        <v>0</v>
      </c>
      <c r="X45" s="21">
        <f t="shared" si="12"/>
        <v>0</v>
      </c>
      <c r="Y45" s="18">
        <f t="shared" si="0"/>
        <v>0</v>
      </c>
      <c r="Z45" s="3"/>
      <c r="AA45" s="6">
        <f t="shared" si="9"/>
        <v>0</v>
      </c>
      <c r="AB45" s="2"/>
      <c r="AC45" s="28">
        <f t="shared" ref="AC45:AC49" si="33">AC44+10</f>
        <v>10</v>
      </c>
      <c r="AD45" s="32">
        <f t="shared" si="28"/>
        <v>6791.4000000000005</v>
      </c>
      <c r="AE45" s="31">
        <v>37092.920801839471</v>
      </c>
      <c r="AF45" s="36">
        <f t="shared" si="32"/>
        <v>2.1054927602679121</v>
      </c>
      <c r="AG45" s="2"/>
      <c r="AH45" s="28">
        <f t="shared" ref="AH45:AH49" si="34">AH44+10</f>
        <v>10</v>
      </c>
      <c r="AI45" s="32">
        <f t="shared" si="30"/>
        <v>27216.2</v>
      </c>
      <c r="AJ45" s="31">
        <v>40270.394465160229</v>
      </c>
      <c r="AK45" s="36">
        <f t="shared" si="31"/>
        <v>10.852108209058626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5.75" customHeight="1" x14ac:dyDescent="0.25">
      <c r="A46" s="16" t="s">
        <v>113</v>
      </c>
      <c r="B46" s="6">
        <f>IF(J24="No",J9*J10,0)</f>
        <v>4410</v>
      </c>
      <c r="C46" s="2" t="s">
        <v>3</v>
      </c>
      <c r="D46" s="2"/>
      <c r="E46" s="2" t="s">
        <v>151</v>
      </c>
      <c r="F46" s="64">
        <f>((J21%)*F45)+(((1-J21%)*F45)*(1+(F22%*J20)))</f>
        <v>8373.9351150000002</v>
      </c>
      <c r="G46" s="2" t="s">
        <v>3</v>
      </c>
      <c r="H46" s="2"/>
      <c r="I46" s="16" t="s">
        <v>114</v>
      </c>
      <c r="J46" s="14">
        <f>F24/$B$8</f>
        <v>5.6100981767180924</v>
      </c>
      <c r="K46" s="2" t="s">
        <v>50</v>
      </c>
      <c r="L46" s="15"/>
      <c r="M46" s="2"/>
      <c r="N46" s="11">
        <f t="shared" si="10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>
        <f t="shared" si="11"/>
        <v>0</v>
      </c>
      <c r="U46" s="22">
        <f t="shared" si="5"/>
        <v>0</v>
      </c>
      <c r="V46" s="22">
        <f t="shared" si="6"/>
        <v>0</v>
      </c>
      <c r="W46" s="22">
        <f t="shared" si="7"/>
        <v>0</v>
      </c>
      <c r="X46" s="21">
        <f t="shared" si="12"/>
        <v>0</v>
      </c>
      <c r="Y46" s="18">
        <f t="shared" si="0"/>
        <v>0</v>
      </c>
      <c r="Z46" s="3"/>
      <c r="AA46" s="6">
        <f t="shared" si="9"/>
        <v>0</v>
      </c>
      <c r="AB46" s="2"/>
      <c r="AC46" s="28">
        <f t="shared" si="33"/>
        <v>20</v>
      </c>
      <c r="AD46" s="32">
        <f t="shared" si="28"/>
        <v>7408.7999999999993</v>
      </c>
      <c r="AE46" s="31">
        <v>37857.804982838745</v>
      </c>
      <c r="AF46" s="36">
        <f t="shared" si="32"/>
        <v>4.2109855205358437</v>
      </c>
      <c r="AG46" s="2"/>
      <c r="AH46" s="28">
        <f t="shared" si="34"/>
        <v>20</v>
      </c>
      <c r="AI46" s="32">
        <f t="shared" si="30"/>
        <v>29690.399999999998</v>
      </c>
      <c r="AJ46" s="31">
        <v>41340.854366407133</v>
      </c>
      <c r="AK46" s="36">
        <f t="shared" si="31"/>
        <v>13.79875768648405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5.75" customHeight="1" x14ac:dyDescent="0.25">
      <c r="A47" s="25" t="s">
        <v>115</v>
      </c>
      <c r="B47" s="24">
        <f>(1+(B16/100))*B45</f>
        <v>16438.709677419352</v>
      </c>
      <c r="C47" s="2" t="s">
        <v>3</v>
      </c>
      <c r="D47" s="2"/>
      <c r="E47" s="2" t="s">
        <v>95</v>
      </c>
      <c r="F47" s="64">
        <f>J12*J11</f>
        <v>160800</v>
      </c>
      <c r="G47" s="2" t="s">
        <v>99</v>
      </c>
      <c r="H47" s="2"/>
      <c r="I47" s="2"/>
      <c r="J47" s="2"/>
      <c r="K47" s="2"/>
      <c r="L47" s="15"/>
      <c r="M47" s="2"/>
      <c r="N47" s="11">
        <f t="shared" si="10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>
        <f t="shared" si="11"/>
        <v>0</v>
      </c>
      <c r="U47" s="22">
        <f t="shared" si="5"/>
        <v>0</v>
      </c>
      <c r="V47" s="22">
        <f t="shared" si="6"/>
        <v>0</v>
      </c>
      <c r="W47" s="22">
        <f t="shared" si="7"/>
        <v>0</v>
      </c>
      <c r="X47" s="21">
        <f t="shared" si="12"/>
        <v>0</v>
      </c>
      <c r="Y47" s="18">
        <f t="shared" si="0"/>
        <v>0</v>
      </c>
      <c r="Z47" s="3"/>
      <c r="AA47" s="6">
        <f t="shared" si="9"/>
        <v>0</v>
      </c>
      <c r="AB47" s="2"/>
      <c r="AC47" s="28">
        <f t="shared" si="33"/>
        <v>30</v>
      </c>
      <c r="AD47" s="32">
        <f t="shared" si="28"/>
        <v>8026.2000000000007</v>
      </c>
      <c r="AE47" s="31">
        <v>38622.689163838026</v>
      </c>
      <c r="AF47" s="36">
        <f t="shared" si="32"/>
        <v>6.3164782808037971</v>
      </c>
      <c r="AG47" s="2"/>
      <c r="AH47" s="28">
        <f t="shared" si="34"/>
        <v>30</v>
      </c>
      <c r="AI47" s="32">
        <f t="shared" si="30"/>
        <v>32164.600000000002</v>
      </c>
      <c r="AJ47" s="31">
        <v>42861.585925792118</v>
      </c>
      <c r="AK47" s="36">
        <f t="shared" si="31"/>
        <v>17.984867646835145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5.75" customHeight="1" x14ac:dyDescent="0.25">
      <c r="A48" s="25" t="s">
        <v>116</v>
      </c>
      <c r="B48" s="5">
        <f>(1+(B16/100))*B46</f>
        <v>6174</v>
      </c>
      <c r="C48" s="2" t="s">
        <v>3</v>
      </c>
      <c r="D48" s="2"/>
      <c r="E48" s="2" t="s">
        <v>152</v>
      </c>
      <c r="F48" s="65">
        <f>(F46/F47)*J25</f>
        <v>6.7699724188432842E-2</v>
      </c>
      <c r="G48" s="2" t="s">
        <v>4</v>
      </c>
      <c r="H48" s="2"/>
      <c r="I48" s="2"/>
      <c r="J48" s="2"/>
      <c r="K48" s="2"/>
      <c r="L48" s="15"/>
      <c r="M48" s="2"/>
      <c r="N48" s="11">
        <f t="shared" si="10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>
        <f t="shared" si="11"/>
        <v>0</v>
      </c>
      <c r="U48" s="22">
        <f t="shared" si="5"/>
        <v>0</v>
      </c>
      <c r="V48" s="22">
        <f t="shared" si="6"/>
        <v>0</v>
      </c>
      <c r="W48" s="22">
        <f t="shared" si="7"/>
        <v>0</v>
      </c>
      <c r="X48" s="21">
        <f t="shared" si="12"/>
        <v>0</v>
      </c>
      <c r="Y48" s="18">
        <f t="shared" si="0"/>
        <v>0</v>
      </c>
      <c r="Z48" s="3"/>
      <c r="AA48" s="6">
        <f t="shared" si="9"/>
        <v>0</v>
      </c>
      <c r="AB48" s="2"/>
      <c r="AC48" s="28">
        <f t="shared" si="33"/>
        <v>40</v>
      </c>
      <c r="AD48" s="32">
        <f t="shared" si="28"/>
        <v>8643.5999999999985</v>
      </c>
      <c r="AE48" s="31">
        <v>39387.57334483727</v>
      </c>
      <c r="AF48" s="36">
        <f t="shared" si="32"/>
        <v>8.4219710410716484</v>
      </c>
      <c r="AG48" s="2"/>
      <c r="AH48" s="28">
        <f t="shared" si="34"/>
        <v>40</v>
      </c>
      <c r="AI48" s="32">
        <f t="shared" si="30"/>
        <v>34638.799999999996</v>
      </c>
      <c r="AJ48" s="31">
        <v>43932.045827039008</v>
      </c>
      <c r="AK48" s="36">
        <f t="shared" si="31"/>
        <v>20.93151712426053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5.75" customHeight="1" x14ac:dyDescent="0.25">
      <c r="A49" s="2" t="s">
        <v>117</v>
      </c>
      <c r="B49" s="24">
        <f>B47+B48</f>
        <v>22612.709677419352</v>
      </c>
      <c r="C49" s="2" t="s">
        <v>3</v>
      </c>
      <c r="D49" s="2"/>
      <c r="E49" s="2" t="s">
        <v>153</v>
      </c>
      <c r="F49" s="6">
        <f>J26*365</f>
        <v>54750</v>
      </c>
      <c r="G49" s="2" t="s">
        <v>44</v>
      </c>
      <c r="H49" s="2"/>
      <c r="I49" s="2"/>
      <c r="J49" s="2"/>
      <c r="K49" s="2"/>
      <c r="L49" s="15"/>
      <c r="M49" s="2"/>
      <c r="N49" s="12" t="s">
        <v>118</v>
      </c>
      <c r="O49" s="18">
        <f t="shared" ref="O49:Y49" si="35">SUM(O8:O48)</f>
        <v>8034.6231164095352</v>
      </c>
      <c r="P49" s="18">
        <f t="shared" si="35"/>
        <v>19926.416124818974</v>
      </c>
      <c r="Q49" s="18">
        <f t="shared" si="35"/>
        <v>5947.4249885835789</v>
      </c>
      <c r="R49" s="18">
        <f t="shared" si="35"/>
        <v>0</v>
      </c>
      <c r="S49" s="18">
        <f t="shared" si="35"/>
        <v>4952.1126335984163</v>
      </c>
      <c r="T49" s="18">
        <f t="shared" si="35"/>
        <v>16.743397255301868</v>
      </c>
      <c r="U49" s="18">
        <f t="shared" si="35"/>
        <v>184.25517513571657</v>
      </c>
      <c r="V49" s="18">
        <f t="shared" si="35"/>
        <v>3290.8098991675279</v>
      </c>
      <c r="W49" s="18">
        <f t="shared" si="35"/>
        <v>0</v>
      </c>
      <c r="X49" s="18">
        <f t="shared" si="35"/>
        <v>-6024.3487141288479</v>
      </c>
      <c r="Y49" s="18">
        <f t="shared" si="35"/>
        <v>36328.036620840205</v>
      </c>
      <c r="Z49" s="3"/>
      <c r="AA49" s="3"/>
      <c r="AB49" s="2"/>
      <c r="AC49" s="28">
        <f t="shared" si="33"/>
        <v>50</v>
      </c>
      <c r="AD49" s="32">
        <f t="shared" si="28"/>
        <v>9261</v>
      </c>
      <c r="AE49" s="31">
        <v>40152.457525836551</v>
      </c>
      <c r="AF49" s="36">
        <f t="shared" si="32"/>
        <v>10.527463801339602</v>
      </c>
      <c r="AG49" s="2"/>
      <c r="AH49" s="28">
        <f t="shared" si="34"/>
        <v>50</v>
      </c>
      <c r="AI49" s="32">
        <f t="shared" si="30"/>
        <v>37113</v>
      </c>
      <c r="AJ49" s="31">
        <v>45002.505728285912</v>
      </c>
      <c r="AK49" s="36">
        <f t="shared" si="31"/>
        <v>23.878166601685951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5.75" customHeight="1" x14ac:dyDescent="0.25">
      <c r="A50" s="25" t="s">
        <v>119</v>
      </c>
      <c r="B50" s="6">
        <f>SUM(B33:B38)+SUM(B49)</f>
        <v>30989.650687237023</v>
      </c>
      <c r="C50" s="2" t="s">
        <v>3</v>
      </c>
      <c r="D50" s="2"/>
      <c r="E50" s="2" t="s">
        <v>154</v>
      </c>
      <c r="F50" s="5">
        <f>F48*F49</f>
        <v>3706.5598993166982</v>
      </c>
      <c r="G50" s="66" t="s">
        <v>50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24">
        <f>SUM(S49:U49)</f>
        <v>5153.1112059894349</v>
      </c>
      <c r="T50" s="2"/>
      <c r="U50" s="2"/>
      <c r="V50" s="2"/>
      <c r="W50" s="2"/>
      <c r="X50" s="2"/>
      <c r="Y50" s="24"/>
      <c r="Z50" s="2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5.75" customHeight="1" x14ac:dyDescent="0.25">
      <c r="A51" s="25" t="s">
        <v>159</v>
      </c>
      <c r="B51" s="6">
        <f>SUM(B31:B32)</f>
        <v>-4207.5736325385697</v>
      </c>
      <c r="C51" s="2" t="s">
        <v>3</v>
      </c>
      <c r="D51" s="2"/>
      <c r="E51" s="2" t="s">
        <v>155</v>
      </c>
      <c r="F51" s="67">
        <f>IF(F12&gt;F49,(F12-F49)*F48,0)</f>
        <v>0</v>
      </c>
      <c r="G51" s="66" t="s">
        <v>50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7" t="s">
        <v>49</v>
      </c>
      <c r="AD51" s="28"/>
      <c r="AE51" s="28"/>
      <c r="AF51" s="28"/>
      <c r="AG51" s="2"/>
      <c r="AH51" s="27" t="s">
        <v>146</v>
      </c>
      <c r="AI51" s="28"/>
      <c r="AJ51" s="28"/>
      <c r="AK51" s="28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5.75" customHeight="1" x14ac:dyDescent="0.25">
      <c r="A52" s="25" t="s">
        <v>160</v>
      </c>
      <c r="B52" s="6">
        <f>B50+B51</f>
        <v>26782.077054698453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8" t="s">
        <v>79</v>
      </c>
      <c r="AD52" s="28" t="s">
        <v>82</v>
      </c>
      <c r="AE52" s="28" t="s">
        <v>24</v>
      </c>
      <c r="AF52" s="28" t="s">
        <v>81</v>
      </c>
      <c r="AG52" s="2"/>
      <c r="AH52" s="28" t="s">
        <v>79</v>
      </c>
      <c r="AI52" s="28" t="s">
        <v>156</v>
      </c>
      <c r="AJ52" s="28" t="s">
        <v>24</v>
      </c>
      <c r="AK52" s="28" t="s">
        <v>81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8" t="s">
        <v>84</v>
      </c>
      <c r="AD53" s="32">
        <v>616.07579999999996</v>
      </c>
      <c r="AE53" s="31">
        <f>Y49</f>
        <v>36328.036620840205</v>
      </c>
      <c r="AF53" s="28"/>
      <c r="AG53" s="2"/>
      <c r="AH53" s="28" t="s">
        <v>84</v>
      </c>
      <c r="AI53" s="32">
        <v>150</v>
      </c>
      <c r="AJ53" s="31">
        <f>Y49</f>
        <v>36328.036620840205</v>
      </c>
      <c r="AK53" s="28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121</v>
      </c>
      <c r="P54" s="51" t="str">
        <f>B1</f>
        <v>Thailand</v>
      </c>
      <c r="Q54" s="49"/>
      <c r="R54" s="49"/>
      <c r="S54" s="49"/>
      <c r="T54" s="49"/>
      <c r="U54" s="49"/>
      <c r="V54" s="49"/>
      <c r="W54" s="52"/>
      <c r="X54" s="2"/>
      <c r="Y54" s="35"/>
      <c r="Z54" s="35"/>
      <c r="AA54" s="52"/>
      <c r="AB54" s="35"/>
      <c r="AC54" s="28">
        <f t="shared" ref="AC54:AC58" si="36">AC55-10</f>
        <v>-50</v>
      </c>
      <c r="AD54" s="32">
        <f t="shared" ref="AD54:AD64" si="37">$AD$53*(1+(AC54/100))</f>
        <v>308.03789999999998</v>
      </c>
      <c r="AE54" s="31">
        <f t="dataTable" ref="AE54:AE64" dt2D="0" dtr="0" r1="J40" ca="1"/>
        <v>33949.449608897463</v>
      </c>
      <c r="AF54" s="36">
        <f t="shared" ref="AF54:AF64" si="38">100*((AE54-$AE$59)/$AE$59)</f>
        <v>-6.5475242627844752</v>
      </c>
      <c r="AG54" s="2"/>
      <c r="AH54" s="28">
        <f t="shared" ref="AH54:AH56" si="39">AH55-20</f>
        <v>-100</v>
      </c>
      <c r="AI54" s="32">
        <f>$AI$53*(1+(AH54/100))</f>
        <v>0</v>
      </c>
      <c r="AJ54" s="31">
        <f t="dataTable" ref="AJ54:AJ64" dt2D="0" dtr="0" r1="J26" ca="1"/>
        <v>36328.036620840205</v>
      </c>
      <c r="AK54" s="36">
        <f>100*((AJ54-$AJ$59)/$AJ$59)</f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122</v>
      </c>
      <c r="P55" s="24">
        <f>SUM(O49:P49)</f>
        <v>27961.039241228507</v>
      </c>
      <c r="Q55" s="2" t="s">
        <v>3</v>
      </c>
      <c r="R55" s="48">
        <f t="shared" ref="R55:R59" si="40">P55/$J$34</f>
        <v>0.11301042454623113</v>
      </c>
      <c r="S55" s="2" t="s">
        <v>4</v>
      </c>
      <c r="T55" s="2"/>
      <c r="U55" s="2"/>
      <c r="V55" s="2"/>
      <c r="W55" s="52"/>
      <c r="X55" s="2"/>
      <c r="Y55" s="35"/>
      <c r="Z55" s="35"/>
      <c r="AA55" s="52"/>
      <c r="AB55" s="35"/>
      <c r="AC55" s="28">
        <f t="shared" si="36"/>
        <v>-40</v>
      </c>
      <c r="AD55" s="32">
        <f t="shared" si="37"/>
        <v>369.64547999999996</v>
      </c>
      <c r="AE55" s="31">
        <v>34425.167011286016</v>
      </c>
      <c r="AF55" s="36">
        <f t="shared" si="38"/>
        <v>-5.2380194102275679</v>
      </c>
      <c r="AG55" s="2"/>
      <c r="AH55" s="28">
        <f t="shared" si="39"/>
        <v>-80</v>
      </c>
      <c r="AI55" s="32">
        <f t="shared" ref="AI55:AI64" si="41">$AI$53*(1+(AH55/100))</f>
        <v>29.999999999999993</v>
      </c>
      <c r="AJ55" s="31">
        <v>36328.036620840205</v>
      </c>
      <c r="AK55" s="36">
        <f t="shared" ref="AK55:AK64" si="42">100*((AJ55-$AJ$59)/$AJ$59)</f>
        <v>0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100</v>
      </c>
      <c r="P56" s="24">
        <f>SUM(Q49:R49)</f>
        <v>5947.4249885835789</v>
      </c>
      <c r="Q56" s="2" t="s">
        <v>3</v>
      </c>
      <c r="R56" s="48">
        <f t="shared" si="40"/>
        <v>2.4037769738030793E-2</v>
      </c>
      <c r="S56" s="2" t="s">
        <v>4</v>
      </c>
      <c r="T56" s="2"/>
      <c r="U56" s="2"/>
      <c r="V56" s="2"/>
      <c r="W56" s="52"/>
      <c r="X56" s="2"/>
      <c r="Y56" s="35"/>
      <c r="Z56" s="35"/>
      <c r="AA56" s="52"/>
      <c r="AB56" s="35"/>
      <c r="AC56" s="28">
        <f t="shared" si="36"/>
        <v>-30</v>
      </c>
      <c r="AD56" s="32">
        <f t="shared" si="37"/>
        <v>431.25305999999995</v>
      </c>
      <c r="AE56" s="31">
        <v>34900.884413674554</v>
      </c>
      <c r="AF56" s="36">
        <f t="shared" si="38"/>
        <v>-3.928514557670701</v>
      </c>
      <c r="AG56" s="2"/>
      <c r="AH56" s="28">
        <f t="shared" si="39"/>
        <v>-60</v>
      </c>
      <c r="AI56" s="32">
        <f t="shared" si="41"/>
        <v>60</v>
      </c>
      <c r="AJ56" s="31">
        <v>36328.036620840205</v>
      </c>
      <c r="AK56" s="36">
        <f t="shared" si="42"/>
        <v>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123</v>
      </c>
      <c r="P57" s="24">
        <f>SUM(S49:U49)</f>
        <v>5153.1112059894349</v>
      </c>
      <c r="Q57" s="2" t="s">
        <v>3</v>
      </c>
      <c r="R57" s="48">
        <f t="shared" si="40"/>
        <v>2.0827383420861025E-2</v>
      </c>
      <c r="S57" s="2" t="s">
        <v>4</v>
      </c>
      <c r="T57" s="2"/>
      <c r="U57" s="2"/>
      <c r="V57" s="2"/>
      <c r="W57" s="52"/>
      <c r="X57" s="2"/>
      <c r="Y57" s="35"/>
      <c r="Z57" s="35"/>
      <c r="AA57" s="52"/>
      <c r="AB57" s="35"/>
      <c r="AC57" s="28">
        <f t="shared" si="36"/>
        <v>-20</v>
      </c>
      <c r="AD57" s="32">
        <f t="shared" si="37"/>
        <v>492.86063999999999</v>
      </c>
      <c r="AE57" s="31">
        <v>35376.601816063107</v>
      </c>
      <c r="AF57" s="36">
        <f t="shared" si="38"/>
        <v>-2.6190097051137942</v>
      </c>
      <c r="AG57" s="2"/>
      <c r="AH57" s="28">
        <f>AH58-20</f>
        <v>-40</v>
      </c>
      <c r="AI57" s="32">
        <f t="shared" si="41"/>
        <v>90</v>
      </c>
      <c r="AJ57" s="31">
        <v>36328.036620840205</v>
      </c>
      <c r="AK57" s="36">
        <f t="shared" si="42"/>
        <v>0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124</v>
      </c>
      <c r="P58" s="24">
        <f>SUM(V49:W49)</f>
        <v>3290.8098991675279</v>
      </c>
      <c r="Q58" s="2" t="s">
        <v>3</v>
      </c>
      <c r="R58" s="48">
        <f t="shared" si="40"/>
        <v>1.3300500764560375E-2</v>
      </c>
      <c r="S58" s="2" t="s">
        <v>4</v>
      </c>
      <c r="T58" s="2"/>
      <c r="U58" s="2"/>
      <c r="V58" s="2"/>
      <c r="W58" s="52"/>
      <c r="X58" s="2"/>
      <c r="Y58" s="35"/>
      <c r="Z58" s="35"/>
      <c r="AA58" s="52"/>
      <c r="AB58" s="35"/>
      <c r="AC58" s="28">
        <f t="shared" si="36"/>
        <v>-10</v>
      </c>
      <c r="AD58" s="32">
        <f t="shared" si="37"/>
        <v>554.46821999999997</v>
      </c>
      <c r="AE58" s="31">
        <v>35852.319218451659</v>
      </c>
      <c r="AF58" s="36">
        <f t="shared" si="38"/>
        <v>-1.3095048525568871</v>
      </c>
      <c r="AG58" s="2"/>
      <c r="AH58" s="28">
        <f>AH59-20</f>
        <v>-20</v>
      </c>
      <c r="AI58" s="32">
        <f t="shared" si="41"/>
        <v>120</v>
      </c>
      <c r="AJ58" s="31">
        <v>36328.036620840205</v>
      </c>
      <c r="AK58" s="36">
        <f t="shared" si="42"/>
        <v>0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125</v>
      </c>
      <c r="P59" s="24">
        <f>X49</f>
        <v>-6024.3487141288479</v>
      </c>
      <c r="Q59" s="2" t="s">
        <v>3</v>
      </c>
      <c r="R59" s="48">
        <f t="shared" si="40"/>
        <v>-2.4348673163563365E-2</v>
      </c>
      <c r="S59" s="2" t="s">
        <v>4</v>
      </c>
      <c r="T59" s="2"/>
      <c r="U59" s="2"/>
      <c r="V59" s="2"/>
      <c r="W59" s="52"/>
      <c r="X59" s="2"/>
      <c r="Y59" s="35"/>
      <c r="Z59" s="35"/>
      <c r="AA59" s="52"/>
      <c r="AB59" s="35"/>
      <c r="AC59" s="41">
        <v>0</v>
      </c>
      <c r="AD59" s="45">
        <f t="shared" si="37"/>
        <v>616.07579999999996</v>
      </c>
      <c r="AE59" s="43">
        <v>36328.036620840205</v>
      </c>
      <c r="AF59" s="44">
        <f t="shared" si="38"/>
        <v>0</v>
      </c>
      <c r="AG59" s="2"/>
      <c r="AH59" s="41">
        <v>0</v>
      </c>
      <c r="AI59" s="68">
        <f t="shared" si="41"/>
        <v>150</v>
      </c>
      <c r="AJ59" s="43">
        <v>36328.036620840205</v>
      </c>
      <c r="AK59" s="69">
        <f t="shared" si="42"/>
        <v>0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36328.036620840205</v>
      </c>
      <c r="Q60" s="1" t="s">
        <v>3</v>
      </c>
      <c r="R60" s="54">
        <f>SUM(R55:R59)</f>
        <v>0.14682740530611996</v>
      </c>
      <c r="S60" s="1" t="s">
        <v>4</v>
      </c>
      <c r="T60" s="1"/>
      <c r="U60" s="1"/>
      <c r="V60" s="2"/>
      <c r="W60" s="52"/>
      <c r="X60" s="2"/>
      <c r="Y60" s="35"/>
      <c r="Z60" s="35"/>
      <c r="AA60" s="52"/>
      <c r="AB60" s="35"/>
      <c r="AC60" s="28">
        <f t="shared" ref="AC60:AC64" si="43">AC59+10</f>
        <v>10</v>
      </c>
      <c r="AD60" s="32">
        <f t="shared" si="37"/>
        <v>677.68338000000006</v>
      </c>
      <c r="AE60" s="31">
        <v>36803.75402322875</v>
      </c>
      <c r="AF60" s="36">
        <f t="shared" si="38"/>
        <v>1.3095048525568871</v>
      </c>
      <c r="AG60" s="2"/>
      <c r="AH60" s="28">
        <f>AH59+20</f>
        <v>20</v>
      </c>
      <c r="AI60" s="32">
        <f t="shared" si="41"/>
        <v>180</v>
      </c>
      <c r="AJ60" s="31">
        <v>36328.036620840205</v>
      </c>
      <c r="AK60" s="36">
        <f t="shared" si="42"/>
        <v>0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52"/>
      <c r="X61" s="2"/>
      <c r="Y61" s="35"/>
      <c r="Z61" s="35"/>
      <c r="AA61" s="52"/>
      <c r="AB61" s="35"/>
      <c r="AC61" s="28">
        <f t="shared" si="43"/>
        <v>20</v>
      </c>
      <c r="AD61" s="32">
        <f t="shared" si="37"/>
        <v>739.29095999999993</v>
      </c>
      <c r="AE61" s="31">
        <v>37279.471425617288</v>
      </c>
      <c r="AF61" s="36">
        <f t="shared" si="38"/>
        <v>2.6190097051137542</v>
      </c>
      <c r="AG61" s="2"/>
      <c r="AH61" s="28">
        <f t="shared" ref="AH61:AH64" si="44">AH60+20</f>
        <v>40</v>
      </c>
      <c r="AI61" s="32">
        <f t="shared" si="41"/>
        <v>210</v>
      </c>
      <c r="AJ61" s="31">
        <v>36328.036620840205</v>
      </c>
      <c r="AK61" s="36">
        <f t="shared" si="42"/>
        <v>0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52"/>
      <c r="X62" s="2"/>
      <c r="Y62" s="35"/>
      <c r="Z62" s="35"/>
      <c r="AA62" s="52"/>
      <c r="AB62" s="35"/>
      <c r="AC62" s="28">
        <f t="shared" si="43"/>
        <v>30</v>
      </c>
      <c r="AD62" s="32">
        <f t="shared" si="37"/>
        <v>800.89854000000003</v>
      </c>
      <c r="AE62" s="31">
        <v>37755.188828005856</v>
      </c>
      <c r="AF62" s="36">
        <f t="shared" si="38"/>
        <v>3.928514557670701</v>
      </c>
      <c r="AG62" s="2"/>
      <c r="AH62" s="28">
        <f t="shared" si="44"/>
        <v>60</v>
      </c>
      <c r="AI62" s="32">
        <f t="shared" si="41"/>
        <v>240</v>
      </c>
      <c r="AJ62" s="31">
        <v>36328.036620840205</v>
      </c>
      <c r="AK62" s="36">
        <f t="shared" si="42"/>
        <v>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52"/>
      <c r="X63" s="2"/>
      <c r="Y63" s="35"/>
      <c r="Z63" s="35"/>
      <c r="AA63" s="52"/>
      <c r="AB63" s="35"/>
      <c r="AC63" s="28">
        <f t="shared" si="43"/>
        <v>40</v>
      </c>
      <c r="AD63" s="32">
        <f t="shared" si="37"/>
        <v>862.5061199999999</v>
      </c>
      <c r="AE63" s="31">
        <v>38230.906230394394</v>
      </c>
      <c r="AF63" s="36">
        <f t="shared" si="38"/>
        <v>5.2380194102275679</v>
      </c>
      <c r="AG63" s="2"/>
      <c r="AH63" s="28">
        <f t="shared" si="44"/>
        <v>80</v>
      </c>
      <c r="AI63" s="32">
        <f t="shared" si="41"/>
        <v>270</v>
      </c>
      <c r="AJ63" s="31">
        <v>36328.036620840205</v>
      </c>
      <c r="AK63" s="36">
        <f t="shared" si="42"/>
        <v>0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52"/>
      <c r="X64" s="2"/>
      <c r="Y64" s="35"/>
      <c r="Z64" s="35"/>
      <c r="AA64" s="52"/>
      <c r="AB64" s="35"/>
      <c r="AC64" s="28">
        <f t="shared" si="43"/>
        <v>50</v>
      </c>
      <c r="AD64" s="32">
        <f t="shared" si="37"/>
        <v>924.11369999999988</v>
      </c>
      <c r="AE64" s="31">
        <v>38706.623632782939</v>
      </c>
      <c r="AF64" s="36">
        <f t="shared" si="38"/>
        <v>6.5475242627844557</v>
      </c>
      <c r="AG64" s="2"/>
      <c r="AH64" s="28">
        <f t="shared" si="44"/>
        <v>100</v>
      </c>
      <c r="AI64" s="32">
        <f t="shared" si="41"/>
        <v>300</v>
      </c>
      <c r="AJ64" s="31">
        <v>36328.036620840205</v>
      </c>
      <c r="AK64" s="36">
        <f t="shared" si="42"/>
        <v>0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52"/>
      <c r="X65" s="2"/>
      <c r="Y65" s="35"/>
      <c r="Z65" s="35"/>
      <c r="AA65" s="52"/>
      <c r="AB65" s="35"/>
      <c r="AC65" s="2"/>
      <c r="AD65" s="2"/>
      <c r="AE65" s="2"/>
      <c r="AF65" s="2"/>
      <c r="AG65" s="2"/>
      <c r="AH65" s="2"/>
      <c r="AI65" s="20"/>
      <c r="AJ65" s="6"/>
      <c r="AK65" s="53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52"/>
      <c r="X66" s="2"/>
      <c r="Y66" s="35"/>
      <c r="Z66" s="35"/>
      <c r="AA66" s="52"/>
      <c r="AB66" s="35"/>
      <c r="AC66" s="27" t="s">
        <v>182</v>
      </c>
      <c r="AD66" s="28"/>
      <c r="AE66" s="28"/>
      <c r="AF66" s="28"/>
      <c r="AG66" s="2"/>
      <c r="AH66" s="2"/>
      <c r="AI66" s="20"/>
      <c r="AJ66" s="6"/>
      <c r="AK66" s="53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52"/>
      <c r="X67" s="2"/>
      <c r="Y67" s="35"/>
      <c r="Z67" s="35"/>
      <c r="AA67" s="52"/>
      <c r="AB67" s="35"/>
      <c r="AC67" s="28" t="s">
        <v>79</v>
      </c>
      <c r="AD67" s="28" t="s">
        <v>182</v>
      </c>
      <c r="AE67" s="28" t="s">
        <v>24</v>
      </c>
      <c r="AF67" s="28" t="s">
        <v>81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52"/>
      <c r="X68" s="2"/>
      <c r="Y68" s="35"/>
      <c r="Z68" s="35"/>
      <c r="AA68" s="52"/>
      <c r="AB68" s="35"/>
      <c r="AC68" s="28" t="s">
        <v>84</v>
      </c>
      <c r="AD68" s="30">
        <v>0.14199999999999999</v>
      </c>
      <c r="AE68" s="31">
        <f>Y49</f>
        <v>36328.036620840205</v>
      </c>
      <c r="AF68" s="28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5"/>
      <c r="Z69" s="55"/>
      <c r="AA69" s="2"/>
      <c r="AB69" s="55"/>
      <c r="AC69" s="28">
        <f t="shared" ref="AC69:AC73" si="45">AC70-10</f>
        <v>-50</v>
      </c>
      <c r="AD69" s="30">
        <f>$AD$68*(1+(-AC69/100))</f>
        <v>0.21299999999999997</v>
      </c>
      <c r="AE69" s="31">
        <f t="dataTable" ref="AE69:AE79" dt2D="0" dtr="0" r1="J17" ca="1"/>
        <v>39301.749115132006</v>
      </c>
      <c r="AF69" s="36">
        <f>100*((AE69-$AE$74)/$AE$74)</f>
        <v>8.1857231243427009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8">
        <f t="shared" si="45"/>
        <v>-40</v>
      </c>
      <c r="AD70" s="30">
        <f t="shared" ref="AD70:AD79" si="46">$AD$68*(1+(-AC70/100))</f>
        <v>0.19879999999999998</v>
      </c>
      <c r="AE70" s="31">
        <v>38707.006616273633</v>
      </c>
      <c r="AF70" s="36">
        <f t="shared" ref="AF70:AF79" si="47">100*((AE70-$AE$74)/$AE$74)</f>
        <v>6.5485784994741252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8">
        <f t="shared" si="45"/>
        <v>-30</v>
      </c>
      <c r="AD71" s="30">
        <f t="shared" si="46"/>
        <v>0.18459999999999999</v>
      </c>
      <c r="AE71" s="31">
        <v>38112.264117415281</v>
      </c>
      <c r="AF71" s="36">
        <f t="shared" si="47"/>
        <v>4.911433874605609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8">
        <f t="shared" si="45"/>
        <v>-20</v>
      </c>
      <c r="AD72" s="30">
        <f t="shared" si="46"/>
        <v>0.17039999999999997</v>
      </c>
      <c r="AE72" s="31">
        <v>37517.521618556915</v>
      </c>
      <c r="AF72" s="36">
        <f t="shared" si="47"/>
        <v>3.2742892497370528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8">
        <f t="shared" si="45"/>
        <v>-10</v>
      </c>
      <c r="AD73" s="30">
        <f t="shared" si="46"/>
        <v>0.15620000000000001</v>
      </c>
      <c r="AE73" s="31">
        <v>36922.779119698564</v>
      </c>
      <c r="AF73" s="36">
        <f t="shared" si="47"/>
        <v>1.6371446248685366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41">
        <v>0</v>
      </c>
      <c r="AD74" s="86">
        <f t="shared" si="46"/>
        <v>0.14199999999999999</v>
      </c>
      <c r="AE74" s="87">
        <v>36328.036620840205</v>
      </c>
      <c r="AF74" s="69">
        <f t="shared" si="47"/>
        <v>0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8">
        <f t="shared" ref="AC75:AC79" si="48">AC74+10</f>
        <v>10</v>
      </c>
      <c r="AD75" s="30">
        <f t="shared" si="46"/>
        <v>0.1278</v>
      </c>
      <c r="AE75" s="31">
        <v>35733.294121981846</v>
      </c>
      <c r="AF75" s="36">
        <f t="shared" si="47"/>
        <v>-1.6371446248685366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8">
        <f t="shared" si="48"/>
        <v>20</v>
      </c>
      <c r="AD76" s="30">
        <f t="shared" si="46"/>
        <v>0.11359999999999999</v>
      </c>
      <c r="AE76" s="31">
        <v>35138.551623123501</v>
      </c>
      <c r="AF76" s="36">
        <f t="shared" si="47"/>
        <v>-3.2742892497370328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8">
        <f t="shared" si="48"/>
        <v>30</v>
      </c>
      <c r="AD77" s="30">
        <f t="shared" si="46"/>
        <v>9.9399999999999988E-2</v>
      </c>
      <c r="AE77" s="31">
        <v>34543.809124265128</v>
      </c>
      <c r="AF77" s="36">
        <f t="shared" si="47"/>
        <v>-4.911433874605609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8">
        <f t="shared" si="48"/>
        <v>40</v>
      </c>
      <c r="AD78" s="30">
        <f t="shared" si="46"/>
        <v>8.5199999999999984E-2</v>
      </c>
      <c r="AE78" s="31">
        <v>33949.066625406762</v>
      </c>
      <c r="AF78" s="36">
        <f t="shared" si="47"/>
        <v>-6.5485784994741651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8">
        <f t="shared" si="48"/>
        <v>50</v>
      </c>
      <c r="AD79" s="30">
        <f t="shared" si="46"/>
        <v>7.0999999999999994E-2</v>
      </c>
      <c r="AE79" s="31">
        <v>33354.324126548418</v>
      </c>
      <c r="AF79" s="36">
        <f t="shared" si="47"/>
        <v>-8.1857231243426618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dataValidations count="1">
    <dataValidation type="list" allowBlank="1" showInputMessage="1" showErrorMessage="1" sqref="J24" xr:uid="{D2A39DD3-BAE3-4154-B2E2-B106FBABFCFB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AP1000"/>
  <sheetViews>
    <sheetView topLeftCell="F1" zoomScale="73" zoomScaleNormal="156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31.7109375" customWidth="1"/>
    <col min="20" max="20" width="12.7109375" customWidth="1"/>
    <col min="21" max="21" width="22" customWidth="1"/>
    <col min="22" max="22" width="23.85546875" customWidth="1"/>
    <col min="23" max="23" width="12.7109375" customWidth="1"/>
    <col min="24" max="24" width="19.42578125" customWidth="1"/>
    <col min="25" max="25" width="13.42578125" customWidth="1"/>
    <col min="26" max="26" width="8.85546875" customWidth="1"/>
    <col min="27" max="27" width="20.140625" customWidth="1"/>
    <col min="28" max="28" width="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</cols>
  <sheetData>
    <row r="1" spans="1:35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1" t="s">
        <v>2</v>
      </c>
      <c r="B2" s="3">
        <f>V49</f>
        <v>32136.717909945768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2"/>
      <c r="B3" s="4">
        <f>B2/F41</f>
        <v>0.12988730866520801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126</v>
      </c>
      <c r="R7" s="11" t="s">
        <v>127</v>
      </c>
      <c r="S7" s="11" t="s">
        <v>19</v>
      </c>
      <c r="T7" s="11" t="s">
        <v>20</v>
      </c>
      <c r="U7" s="11" t="s">
        <v>23</v>
      </c>
      <c r="V7" s="12" t="s">
        <v>24</v>
      </c>
      <c r="W7" s="1"/>
      <c r="X7" s="2" t="s">
        <v>25</v>
      </c>
      <c r="Y7" s="2"/>
      <c r="Z7" s="2"/>
      <c r="AA7" s="2" t="s">
        <v>26</v>
      </c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3" t="s">
        <v>27</v>
      </c>
      <c r="B8" s="14">
        <v>35.65</v>
      </c>
      <c r="C8" s="2" t="s">
        <v>28</v>
      </c>
      <c r="D8" s="2"/>
      <c r="E8" s="2"/>
      <c r="F8" s="2"/>
      <c r="G8" s="2"/>
      <c r="H8" s="15"/>
      <c r="I8" s="16" t="s">
        <v>183</v>
      </c>
      <c r="J8" s="6">
        <v>165600</v>
      </c>
      <c r="K8" s="2" t="s">
        <v>30</v>
      </c>
      <c r="L8" s="15"/>
      <c r="M8" s="2"/>
      <c r="N8" s="11">
        <v>0</v>
      </c>
      <c r="O8" s="17">
        <f>F31</f>
        <v>2787.0367335360952</v>
      </c>
      <c r="P8" s="11"/>
      <c r="Q8" s="11"/>
      <c r="R8" s="11"/>
      <c r="S8" s="11"/>
      <c r="T8" s="11"/>
      <c r="U8" s="11"/>
      <c r="V8" s="18">
        <f t="shared" ref="V8:V48" si="0">SUM(O8:U8)</f>
        <v>2787.0367335360952</v>
      </c>
      <c r="W8" s="3"/>
      <c r="X8" s="6"/>
      <c r="Y8" s="2"/>
      <c r="Z8" s="2"/>
      <c r="AA8" s="2" t="s">
        <v>162</v>
      </c>
      <c r="AB8" s="19">
        <f>F36</f>
        <v>1.2856661991584855</v>
      </c>
      <c r="AC8" s="2" t="s">
        <v>129</v>
      </c>
      <c r="AD8" s="2"/>
      <c r="AE8" s="2"/>
      <c r="AF8" s="2"/>
      <c r="AG8" s="2"/>
      <c r="AH8" s="2"/>
      <c r="AI8" s="2"/>
    </row>
    <row r="9" spans="1:35" x14ac:dyDescent="0.25">
      <c r="A9" s="13"/>
      <c r="B9" s="2"/>
      <c r="C9" s="2"/>
      <c r="D9" s="2"/>
      <c r="E9" s="2"/>
      <c r="F9" s="20"/>
      <c r="G9" s="2"/>
      <c r="H9" s="15"/>
      <c r="I9" s="2"/>
      <c r="J9" s="2"/>
      <c r="K9" s="2"/>
      <c r="L9" s="15"/>
      <c r="M9" s="2"/>
      <c r="N9" s="11">
        <v>1</v>
      </c>
      <c r="O9" s="11"/>
      <c r="P9" s="21">
        <f t="shared" ref="P9:P48" si="1">IF(N9&gt;0,IF(N9&lt;=$J$15,(($F$32+$F$33)/$J$15)/((1+($F$11/100))^N9),0),0)</f>
        <v>1520.4833735180252</v>
      </c>
      <c r="Q9" s="22">
        <f t="shared" ref="Q9:Q48" si="2">IF(N9&gt;0,($F$38*((1+($F$14/100))^(N9-1)))/((1+($F$11/100))^N9),0)</f>
        <v>2196.4015235423763</v>
      </c>
      <c r="R9" s="22">
        <f t="shared" ref="R9:R48" si="3">IF(N9&gt;0,$J$31/((1+($F$11/100))^N9),0)</f>
        <v>768.65965885260141</v>
      </c>
      <c r="S9" s="22">
        <f>$J$40/((1+($F$11/100))^N9)</f>
        <v>5.3429506444934214</v>
      </c>
      <c r="T9" s="22">
        <f t="shared" ref="T9:T48" si="4">IF(AND(N9&lt;=5,N9&gt;0),$J$41/((1+($F$11/100))^N9),IF(AND(N9&gt;5,N9&lt;=10),(((1-(N9-5)*10/100)*$J$41)/((1+($F$11/100))^N9)),IF(N9&gt;10,(((1-50/100)*$J$41)/((1+($F$11/100))^N9)),0)))</f>
        <v>52.093768783810859</v>
      </c>
      <c r="U9" s="21">
        <f t="shared" ref="U9:U48" si="5">IF(N9=$B$5,((((1-$J$12/100)^N9)*$B$45)/((1+($F$11/100))^N9))*-1,0)</f>
        <v>0</v>
      </c>
      <c r="V9" s="18">
        <f t="shared" si="0"/>
        <v>4542.9812753413071</v>
      </c>
      <c r="W9" s="3"/>
      <c r="X9" s="6">
        <f t="shared" ref="X9:X48" si="6">IF(N9&gt;0,((((1-$J$12/100)^N9)*$B$44/((1+($F$11/100))^N9))),0)</f>
        <v>5755.0451612903225</v>
      </c>
      <c r="Y9" s="2"/>
      <c r="Z9" s="2"/>
      <c r="AA9" s="2" t="s">
        <v>160</v>
      </c>
      <c r="AB9" s="24">
        <f>B47</f>
        <v>9290.1224451203179</v>
      </c>
      <c r="AC9" s="2" t="s">
        <v>3</v>
      </c>
      <c r="AD9" s="2"/>
      <c r="AE9" s="6"/>
      <c r="AF9" s="2"/>
      <c r="AG9" s="2"/>
      <c r="AH9" s="2"/>
      <c r="AI9" s="2"/>
    </row>
    <row r="10" spans="1:35" x14ac:dyDescent="0.25">
      <c r="A10" s="23" t="s">
        <v>35</v>
      </c>
      <c r="B10" s="2"/>
      <c r="C10" s="2"/>
      <c r="D10" s="2"/>
      <c r="E10" s="1" t="s">
        <v>36</v>
      </c>
      <c r="F10" s="2"/>
      <c r="G10" s="2"/>
      <c r="H10" s="15"/>
      <c r="I10" s="16" t="s">
        <v>130</v>
      </c>
      <c r="J10" s="14">
        <v>7.2499999999999995E-2</v>
      </c>
      <c r="K10" s="2" t="s">
        <v>131</v>
      </c>
      <c r="L10" s="15"/>
      <c r="M10" s="2"/>
      <c r="N10" s="11">
        <f t="shared" ref="N10:N48" si="7">IF((N9+1)&gt;$B$5,,IF(N9=0,,N9+1))</f>
        <v>2</v>
      </c>
      <c r="O10" s="11"/>
      <c r="P10" s="21">
        <f t="shared" si="1"/>
        <v>1448.0794033505003</v>
      </c>
      <c r="Q10" s="22">
        <f t="shared" si="2"/>
        <v>2112.7290845502857</v>
      </c>
      <c r="R10" s="22">
        <f t="shared" si="3"/>
        <v>732.0568179548585</v>
      </c>
      <c r="S10" s="22">
        <f t="shared" ref="S10:S48" si="8">IF(N10&lt;=$F$24,0,$J$40/((1+($F$11/100))^N9))</f>
        <v>0</v>
      </c>
      <c r="T10" s="22">
        <f t="shared" si="4"/>
        <v>49.613113127438915</v>
      </c>
      <c r="U10" s="21">
        <f t="shared" si="5"/>
        <v>0</v>
      </c>
      <c r="V10" s="18">
        <f t="shared" si="0"/>
        <v>4342.4784189830834</v>
      </c>
      <c r="W10" s="3"/>
      <c r="X10" s="6">
        <f t="shared" si="6"/>
        <v>5092.9409179723498</v>
      </c>
      <c r="Y10" s="2"/>
      <c r="Z10" s="2"/>
      <c r="AA10" s="2" t="s">
        <v>43</v>
      </c>
      <c r="AB10" s="6">
        <f>F12</f>
        <v>24742</v>
      </c>
      <c r="AC10" s="2" t="s">
        <v>44</v>
      </c>
      <c r="AD10" s="2"/>
      <c r="AE10" s="6"/>
      <c r="AF10" s="2"/>
      <c r="AG10" s="2"/>
      <c r="AH10" s="2"/>
      <c r="AI10" s="2"/>
    </row>
    <row r="11" spans="1:35" x14ac:dyDescent="0.25">
      <c r="A11" s="25" t="s">
        <v>158</v>
      </c>
      <c r="B11" s="2">
        <v>0</v>
      </c>
      <c r="C11" s="2" t="s">
        <v>30</v>
      </c>
      <c r="D11" s="2"/>
      <c r="E11" s="16" t="s">
        <v>39</v>
      </c>
      <c r="F11" s="2">
        <v>5</v>
      </c>
      <c r="G11" s="2" t="s">
        <v>40</v>
      </c>
      <c r="H11" s="15"/>
      <c r="I11" s="16" t="s">
        <v>53</v>
      </c>
      <c r="J11" s="2">
        <v>30</v>
      </c>
      <c r="K11" s="2" t="s">
        <v>54</v>
      </c>
      <c r="L11" s="15"/>
      <c r="M11" s="2"/>
      <c r="N11" s="11">
        <f t="shared" si="7"/>
        <v>3</v>
      </c>
      <c r="O11" s="11"/>
      <c r="P11" s="21">
        <f t="shared" si="1"/>
        <v>1379.1232412861907</v>
      </c>
      <c r="Q11" s="22">
        <f t="shared" si="2"/>
        <v>2032.2441670436081</v>
      </c>
      <c r="R11" s="22">
        <f t="shared" si="3"/>
        <v>697.19696948081753</v>
      </c>
      <c r="S11" s="22">
        <f t="shared" si="8"/>
        <v>0</v>
      </c>
      <c r="T11" s="22">
        <f t="shared" si="4"/>
        <v>47.250583930894202</v>
      </c>
      <c r="U11" s="21">
        <f t="shared" si="5"/>
        <v>0</v>
      </c>
      <c r="V11" s="18">
        <f t="shared" si="0"/>
        <v>4155.8149617415102</v>
      </c>
      <c r="W11" s="3"/>
      <c r="X11" s="6">
        <f t="shared" si="6"/>
        <v>4507.0101914094357</v>
      </c>
      <c r="Y11" s="2"/>
      <c r="Z11" s="2"/>
      <c r="AA11" s="16" t="s">
        <v>49</v>
      </c>
      <c r="AB11" s="6">
        <f>J34</f>
        <v>781.84720000000016</v>
      </c>
      <c r="AC11" s="2" t="s">
        <v>50</v>
      </c>
      <c r="AD11" s="2"/>
      <c r="AE11" s="6"/>
      <c r="AF11" s="2"/>
      <c r="AG11" s="2"/>
      <c r="AH11" s="2"/>
      <c r="AI11" s="2"/>
    </row>
    <row r="12" spans="1:35" x14ac:dyDescent="0.25">
      <c r="A12" s="25" t="s">
        <v>45</v>
      </c>
      <c r="B12" s="2">
        <v>0</v>
      </c>
      <c r="C12" s="2" t="s">
        <v>40</v>
      </c>
      <c r="D12" s="2"/>
      <c r="E12" s="16" t="s">
        <v>46</v>
      </c>
      <c r="F12" s="6">
        <v>24742</v>
      </c>
      <c r="G12" s="2" t="s">
        <v>44</v>
      </c>
      <c r="H12" s="15"/>
      <c r="I12" s="16" t="s">
        <v>62</v>
      </c>
      <c r="J12" s="2">
        <v>7.08</v>
      </c>
      <c r="K12" s="2" t="s">
        <v>63</v>
      </c>
      <c r="L12" s="15"/>
      <c r="M12" s="2"/>
      <c r="N12" s="11">
        <f t="shared" si="7"/>
        <v>4</v>
      </c>
      <c r="O12" s="11"/>
      <c r="P12" s="21">
        <f t="shared" si="1"/>
        <v>1313.4507059868483</v>
      </c>
      <c r="Q12" s="22">
        <f t="shared" si="2"/>
        <v>1954.8253416324233</v>
      </c>
      <c r="R12" s="22">
        <f t="shared" si="3"/>
        <v>663.99711379125495</v>
      </c>
      <c r="S12" s="22">
        <f t="shared" si="8"/>
        <v>0</v>
      </c>
      <c r="T12" s="22">
        <f t="shared" si="4"/>
        <v>45.000556124661145</v>
      </c>
      <c r="U12" s="21">
        <f t="shared" si="5"/>
        <v>0</v>
      </c>
      <c r="V12" s="18">
        <f t="shared" si="0"/>
        <v>3977.2737175351876</v>
      </c>
      <c r="W12" s="3"/>
      <c r="X12" s="6">
        <f t="shared" si="6"/>
        <v>3988.4893998644266</v>
      </c>
      <c r="Y12" s="2"/>
      <c r="Z12" s="2"/>
      <c r="AA12" s="89" t="s">
        <v>182</v>
      </c>
      <c r="AB12" s="90">
        <f>J10</f>
        <v>7.2499999999999995E-2</v>
      </c>
      <c r="AC12" s="89" t="s">
        <v>131</v>
      </c>
      <c r="AD12" s="2"/>
      <c r="AE12" s="6"/>
      <c r="AF12" s="2"/>
      <c r="AG12" s="2"/>
      <c r="AH12" s="2"/>
      <c r="AI12" s="2"/>
    </row>
    <row r="13" spans="1:35" x14ac:dyDescent="0.25">
      <c r="A13" s="25" t="s">
        <v>51</v>
      </c>
      <c r="B13" s="2">
        <v>7</v>
      </c>
      <c r="C13" s="2" t="s">
        <v>40</v>
      </c>
      <c r="D13" s="2"/>
      <c r="E13" s="16" t="s">
        <v>128</v>
      </c>
      <c r="F13" s="14">
        <v>45.834000000000003</v>
      </c>
      <c r="G13" s="14" t="s">
        <v>132</v>
      </c>
      <c r="H13" s="15"/>
      <c r="I13" s="16"/>
      <c r="J13" s="6"/>
      <c r="K13" s="2"/>
      <c r="L13" s="15"/>
      <c r="M13" s="2"/>
      <c r="N13" s="11">
        <f t="shared" si="7"/>
        <v>5</v>
      </c>
      <c r="O13" s="11"/>
      <c r="P13" s="21">
        <f t="shared" si="1"/>
        <v>1250.9054342731888</v>
      </c>
      <c r="Q13" s="22">
        <f t="shared" si="2"/>
        <v>1880.3558048083307</v>
      </c>
      <c r="R13" s="22">
        <f t="shared" si="3"/>
        <v>632.37820361071886</v>
      </c>
      <c r="S13" s="22">
        <f t="shared" si="8"/>
        <v>0</v>
      </c>
      <c r="T13" s="22">
        <f t="shared" si="4"/>
        <v>42.857672499677278</v>
      </c>
      <c r="U13" s="21">
        <f t="shared" si="5"/>
        <v>0</v>
      </c>
      <c r="V13" s="18">
        <f t="shared" si="0"/>
        <v>3806.4971151919153</v>
      </c>
      <c r="W13" s="3"/>
      <c r="X13" s="6">
        <f t="shared" si="6"/>
        <v>3529.6231908133573</v>
      </c>
      <c r="Y13" s="2"/>
      <c r="Z13" s="2"/>
      <c r="AA13" s="2"/>
      <c r="AB13" s="2"/>
      <c r="AC13" s="2"/>
      <c r="AD13" s="2"/>
      <c r="AE13" s="6"/>
      <c r="AF13" s="2"/>
      <c r="AG13" s="2"/>
      <c r="AH13" s="2"/>
      <c r="AI13" s="2"/>
    </row>
    <row r="14" spans="1:35" x14ac:dyDescent="0.25">
      <c r="A14" s="25" t="s">
        <v>55</v>
      </c>
      <c r="B14" s="2">
        <v>20</v>
      </c>
      <c r="C14" s="2" t="s">
        <v>40</v>
      </c>
      <c r="D14" s="2"/>
      <c r="E14" s="16" t="s">
        <v>133</v>
      </c>
      <c r="F14" s="2">
        <v>1</v>
      </c>
      <c r="G14" s="2" t="s">
        <v>57</v>
      </c>
      <c r="H14" s="15"/>
      <c r="I14" s="1" t="s">
        <v>78</v>
      </c>
      <c r="J14" s="2"/>
      <c r="K14" s="2"/>
      <c r="L14" s="15"/>
      <c r="M14" s="2"/>
      <c r="N14" s="11">
        <f t="shared" si="7"/>
        <v>6</v>
      </c>
      <c r="O14" s="11"/>
      <c r="P14" s="21">
        <f t="shared" si="1"/>
        <v>0</v>
      </c>
      <c r="Q14" s="22">
        <f t="shared" si="2"/>
        <v>1808.7232027203945</v>
      </c>
      <c r="R14" s="22">
        <f t="shared" si="3"/>
        <v>602.26495581973234</v>
      </c>
      <c r="S14" s="22">
        <f t="shared" si="8"/>
        <v>0</v>
      </c>
      <c r="T14" s="22">
        <f t="shared" si="4"/>
        <v>36.735147856866242</v>
      </c>
      <c r="U14" s="21">
        <f t="shared" si="5"/>
        <v>0</v>
      </c>
      <c r="V14" s="18">
        <f t="shared" si="0"/>
        <v>2447.7233063969929</v>
      </c>
      <c r="W14" s="3"/>
      <c r="X14" s="6">
        <f t="shared" si="6"/>
        <v>3123.548446575021</v>
      </c>
      <c r="Y14" s="2"/>
      <c r="Z14" s="2"/>
      <c r="AA14" s="2"/>
      <c r="AB14" s="2"/>
      <c r="AC14" s="2"/>
      <c r="AD14" s="2"/>
      <c r="AE14" s="6"/>
      <c r="AF14" s="2"/>
      <c r="AG14" s="2"/>
      <c r="AH14" s="2"/>
      <c r="AI14" s="2"/>
    </row>
    <row r="15" spans="1:35" x14ac:dyDescent="0.25">
      <c r="A15" s="25" t="s">
        <v>59</v>
      </c>
      <c r="B15" s="2">
        <v>0</v>
      </c>
      <c r="C15" s="2" t="s">
        <v>54</v>
      </c>
      <c r="D15" s="2"/>
      <c r="E15" s="16" t="s">
        <v>65</v>
      </c>
      <c r="F15" s="2">
        <v>0</v>
      </c>
      <c r="G15" s="2" t="s">
        <v>61</v>
      </c>
      <c r="H15" s="15"/>
      <c r="I15" s="16" t="s">
        <v>83</v>
      </c>
      <c r="J15" s="2">
        <v>5</v>
      </c>
      <c r="K15" s="2" t="s">
        <v>54</v>
      </c>
      <c r="L15" s="15"/>
      <c r="M15" s="2"/>
      <c r="N15" s="11">
        <f t="shared" si="7"/>
        <v>7</v>
      </c>
      <c r="O15" s="11"/>
      <c r="P15" s="21">
        <f t="shared" si="1"/>
        <v>0</v>
      </c>
      <c r="Q15" s="22">
        <f t="shared" si="2"/>
        <v>1739.8194616643796</v>
      </c>
      <c r="R15" s="22">
        <f t="shared" si="3"/>
        <v>573.58567220926875</v>
      </c>
      <c r="S15" s="22">
        <f t="shared" si="8"/>
        <v>0</v>
      </c>
      <c r="T15" s="22">
        <f t="shared" si="4"/>
        <v>31.098537868246552</v>
      </c>
      <c r="U15" s="21">
        <f t="shared" si="5"/>
        <v>0</v>
      </c>
      <c r="V15" s="18">
        <f t="shared" si="0"/>
        <v>2344.5036717418948</v>
      </c>
      <c r="W15" s="3"/>
      <c r="X15" s="6">
        <f t="shared" si="6"/>
        <v>2764.1916348166756</v>
      </c>
      <c r="Y15" s="2"/>
      <c r="Z15" s="2"/>
      <c r="AA15" s="2"/>
      <c r="AB15" s="2"/>
      <c r="AC15" s="2"/>
      <c r="AD15" s="2"/>
      <c r="AE15" s="6"/>
      <c r="AF15" s="2"/>
      <c r="AG15" s="2"/>
      <c r="AH15" s="2"/>
      <c r="AI15" s="2"/>
    </row>
    <row r="16" spans="1:35" x14ac:dyDescent="0.25">
      <c r="A16" s="25" t="s">
        <v>64</v>
      </c>
      <c r="B16" s="2">
        <v>40</v>
      </c>
      <c r="C16" s="2" t="s">
        <v>40</v>
      </c>
      <c r="D16" s="2"/>
      <c r="E16" s="16" t="s">
        <v>67</v>
      </c>
      <c r="F16" s="6">
        <v>1950</v>
      </c>
      <c r="G16" s="2" t="s">
        <v>61</v>
      </c>
      <c r="H16" s="15"/>
      <c r="I16" s="16" t="s">
        <v>87</v>
      </c>
      <c r="J16" s="2">
        <v>30</v>
      </c>
      <c r="K16" s="2" t="s">
        <v>88</v>
      </c>
      <c r="L16" s="15"/>
      <c r="M16" s="2"/>
      <c r="N16" s="11">
        <f t="shared" si="7"/>
        <v>8</v>
      </c>
      <c r="O16" s="11"/>
      <c r="P16" s="21">
        <f t="shared" si="1"/>
        <v>0</v>
      </c>
      <c r="Q16" s="22">
        <f t="shared" si="2"/>
        <v>1673.5406250295457</v>
      </c>
      <c r="R16" s="22">
        <f t="shared" si="3"/>
        <v>546.27206877073229</v>
      </c>
      <c r="S16" s="22">
        <f t="shared" si="8"/>
        <v>3.9869920343905831</v>
      </c>
      <c r="T16" s="22">
        <f t="shared" si="4"/>
        <v>25.915448223538796</v>
      </c>
      <c r="U16" s="21">
        <f t="shared" si="5"/>
        <v>0</v>
      </c>
      <c r="V16" s="18">
        <f t="shared" si="0"/>
        <v>2249.7151340582072</v>
      </c>
      <c r="W16" s="3"/>
      <c r="X16" s="6">
        <f t="shared" si="6"/>
        <v>2446.1779686396717</v>
      </c>
      <c r="Y16" s="2"/>
      <c r="Z16" s="2"/>
      <c r="AA16" s="2"/>
      <c r="AB16" s="2"/>
      <c r="AC16" s="2"/>
      <c r="AD16" s="2"/>
      <c r="AE16" s="6"/>
      <c r="AF16" s="2"/>
      <c r="AG16" s="2"/>
      <c r="AH16" s="2"/>
      <c r="AI16" s="2"/>
    </row>
    <row r="17" spans="1:42" x14ac:dyDescent="0.25">
      <c r="A17" s="25" t="s">
        <v>167</v>
      </c>
      <c r="B17" s="2">
        <v>365</v>
      </c>
      <c r="C17" s="2" t="s">
        <v>30</v>
      </c>
      <c r="D17" s="2"/>
      <c r="E17" s="16" t="s">
        <v>71</v>
      </c>
      <c r="F17" s="2">
        <v>100</v>
      </c>
      <c r="G17" s="2" t="s">
        <v>40</v>
      </c>
      <c r="H17" s="15"/>
      <c r="I17" s="2"/>
      <c r="J17" s="2"/>
      <c r="K17" s="2"/>
      <c r="L17" s="15"/>
      <c r="M17" s="2"/>
      <c r="N17" s="11">
        <f t="shared" si="7"/>
        <v>9</v>
      </c>
      <c r="O17" s="11"/>
      <c r="P17" s="21">
        <f t="shared" si="1"/>
        <v>0</v>
      </c>
      <c r="Q17" s="22">
        <f t="shared" si="2"/>
        <v>1609.7866964569919</v>
      </c>
      <c r="R17" s="22">
        <f t="shared" si="3"/>
        <v>520.25911311498305</v>
      </c>
      <c r="S17" s="22">
        <f t="shared" si="8"/>
        <v>3.7971352708481749</v>
      </c>
      <c r="T17" s="22">
        <f t="shared" si="4"/>
        <v>21.155467937582689</v>
      </c>
      <c r="U17" s="21">
        <f t="shared" si="5"/>
        <v>0</v>
      </c>
      <c r="V17" s="18">
        <f t="shared" si="0"/>
        <v>2154.9984127804059</v>
      </c>
      <c r="W17" s="3"/>
      <c r="X17" s="6">
        <f t="shared" si="6"/>
        <v>2164.7510175809361</v>
      </c>
      <c r="Y17" s="2"/>
      <c r="Z17" s="2"/>
      <c r="AA17" s="2"/>
      <c r="AB17" s="2"/>
      <c r="AC17" s="2"/>
      <c r="AD17" s="2"/>
      <c r="AE17" s="6"/>
      <c r="AF17" s="2"/>
      <c r="AG17" s="2"/>
      <c r="AH17" s="2"/>
      <c r="AI17" s="2"/>
    </row>
    <row r="18" spans="1:42" x14ac:dyDescent="0.25">
      <c r="A18" s="16" t="s">
        <v>70</v>
      </c>
      <c r="B18" s="2">
        <v>10</v>
      </c>
      <c r="C18" s="2" t="s">
        <v>40</v>
      </c>
      <c r="D18" s="2"/>
      <c r="E18" s="16" t="s">
        <v>73</v>
      </c>
      <c r="F18" s="5">
        <v>900</v>
      </c>
      <c r="G18" s="2" t="s">
        <v>61</v>
      </c>
      <c r="H18" s="15"/>
      <c r="I18" s="16"/>
      <c r="J18" s="2"/>
      <c r="K18" s="2"/>
      <c r="L18" s="15"/>
      <c r="M18" s="2"/>
      <c r="N18" s="11">
        <f t="shared" si="7"/>
        <v>10</v>
      </c>
      <c r="O18" s="11"/>
      <c r="P18" s="21">
        <f t="shared" si="1"/>
        <v>0</v>
      </c>
      <c r="Q18" s="22">
        <f t="shared" si="2"/>
        <v>1548.4614889729162</v>
      </c>
      <c r="R18" s="22">
        <f t="shared" si="3"/>
        <v>495.4848696333172</v>
      </c>
      <c r="S18" s="22">
        <f t="shared" si="8"/>
        <v>3.6163193055696903</v>
      </c>
      <c r="T18" s="22">
        <f t="shared" si="4"/>
        <v>16.790053918716421</v>
      </c>
      <c r="U18" s="21">
        <f t="shared" si="5"/>
        <v>-2736.6575691913558</v>
      </c>
      <c r="V18" s="18">
        <f t="shared" si="0"/>
        <v>-672.30483736083625</v>
      </c>
      <c r="W18" s="3"/>
      <c r="X18" s="6">
        <f t="shared" si="6"/>
        <v>1915.701567177339</v>
      </c>
      <c r="Y18" s="2"/>
      <c r="Z18" s="2"/>
      <c r="AA18" s="2"/>
      <c r="AB18" s="2"/>
      <c r="AC18" s="2"/>
      <c r="AD18" s="2"/>
      <c r="AE18" s="6"/>
      <c r="AF18" s="2"/>
      <c r="AG18" s="2"/>
      <c r="AH18" s="2"/>
      <c r="AI18" s="2"/>
    </row>
    <row r="19" spans="1:42" x14ac:dyDescent="0.25">
      <c r="A19" s="25" t="s">
        <v>134</v>
      </c>
      <c r="B19" s="2">
        <v>10</v>
      </c>
      <c r="C19" s="2" t="s">
        <v>40</v>
      </c>
      <c r="D19" s="2"/>
      <c r="E19" s="16" t="s">
        <v>49</v>
      </c>
      <c r="F19" s="35">
        <v>1.1265400000000001</v>
      </c>
      <c r="G19" s="2" t="s">
        <v>141</v>
      </c>
      <c r="H19" s="15"/>
      <c r="I19" s="2"/>
      <c r="J19" s="2"/>
      <c r="K19" s="2"/>
      <c r="L19" s="15"/>
      <c r="M19" s="2"/>
      <c r="N19" s="11">
        <f t="shared" si="7"/>
        <v>0</v>
      </c>
      <c r="O19" s="11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8"/>
        <v>0</v>
      </c>
      <c r="T19" s="22">
        <f t="shared" si="4"/>
        <v>0</v>
      </c>
      <c r="U19" s="21">
        <f t="shared" si="5"/>
        <v>0</v>
      </c>
      <c r="V19" s="18">
        <f t="shared" si="0"/>
        <v>0</v>
      </c>
      <c r="W19" s="3"/>
      <c r="X19" s="6">
        <f t="shared" si="6"/>
        <v>0</v>
      </c>
      <c r="Y19" s="2"/>
      <c r="Z19" s="2"/>
      <c r="AA19" s="2"/>
      <c r="AB19" s="2"/>
      <c r="AC19" s="2"/>
      <c r="AD19" s="2"/>
      <c r="AE19" s="6"/>
      <c r="AF19" s="2"/>
      <c r="AG19" s="2"/>
      <c r="AH19" s="2"/>
      <c r="AI19" s="2"/>
    </row>
    <row r="20" spans="1:42" x14ac:dyDescent="0.25">
      <c r="A20" s="25" t="s">
        <v>74</v>
      </c>
      <c r="B20" s="2">
        <v>0</v>
      </c>
      <c r="C20" s="2" t="s">
        <v>40</v>
      </c>
      <c r="D20" s="2"/>
      <c r="E20" s="16" t="s">
        <v>77</v>
      </c>
      <c r="F20" s="2">
        <v>4.55</v>
      </c>
      <c r="G20" s="2" t="s">
        <v>63</v>
      </c>
      <c r="H20" s="15"/>
      <c r="I20" s="2"/>
      <c r="J20" s="2"/>
      <c r="K20" s="2"/>
      <c r="L20" s="15"/>
      <c r="M20" s="2"/>
      <c r="N20" s="11">
        <f t="shared" si="7"/>
        <v>0</v>
      </c>
      <c r="O20" s="11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8"/>
        <v>0</v>
      </c>
      <c r="T20" s="22">
        <f t="shared" si="4"/>
        <v>0</v>
      </c>
      <c r="U20" s="21">
        <f t="shared" si="5"/>
        <v>0</v>
      </c>
      <c r="V20" s="18">
        <f t="shared" si="0"/>
        <v>0</v>
      </c>
      <c r="W20" s="3"/>
      <c r="X20" s="6">
        <f t="shared" si="6"/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42" ht="15.75" customHeight="1" x14ac:dyDescent="0.25">
      <c r="A21" s="25"/>
      <c r="B21" s="2"/>
      <c r="C21" s="2"/>
      <c r="D21" s="2"/>
      <c r="E21" s="2"/>
      <c r="F21" s="2"/>
      <c r="G21" s="2"/>
      <c r="H21" s="15"/>
      <c r="I21" s="2"/>
      <c r="J21" s="2"/>
      <c r="K21" s="2"/>
      <c r="L21" s="15"/>
      <c r="M21" s="2"/>
      <c r="N21" s="11">
        <f t="shared" si="7"/>
        <v>0</v>
      </c>
      <c r="O21" s="11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8"/>
        <v>0</v>
      </c>
      <c r="T21" s="22">
        <f t="shared" si="4"/>
        <v>0</v>
      </c>
      <c r="U21" s="21">
        <f t="shared" si="5"/>
        <v>0</v>
      </c>
      <c r="V21" s="18">
        <f t="shared" si="0"/>
        <v>0</v>
      </c>
      <c r="W21" s="3"/>
      <c r="X21" s="6">
        <f t="shared" si="6"/>
        <v>0</v>
      </c>
      <c r="Y21" s="2"/>
      <c r="Z21" s="2"/>
      <c r="AA21" s="27" t="s">
        <v>128</v>
      </c>
      <c r="AB21" s="28"/>
      <c r="AC21" s="28"/>
      <c r="AD21" s="28"/>
      <c r="AE21" s="2"/>
      <c r="AF21" s="27" t="s">
        <v>29</v>
      </c>
      <c r="AG21" s="28"/>
      <c r="AH21" s="28"/>
      <c r="AI21" s="28"/>
      <c r="AK21" s="81" t="s">
        <v>171</v>
      </c>
      <c r="AL21" s="81" t="s">
        <v>172</v>
      </c>
      <c r="AM21" s="81" t="s">
        <v>180</v>
      </c>
      <c r="AN21" s="81" t="s">
        <v>175</v>
      </c>
      <c r="AO21" s="81" t="s">
        <v>174</v>
      </c>
      <c r="AP21" s="88" t="str">
        <f>AA51</f>
        <v>Energy Efficiency</v>
      </c>
    </row>
    <row r="22" spans="1:42" ht="15.75" customHeight="1" x14ac:dyDescent="0.25">
      <c r="A22" s="2"/>
      <c r="B22" s="2"/>
      <c r="C22" s="2"/>
      <c r="D22" s="2"/>
      <c r="E22" s="2"/>
      <c r="F22" s="5"/>
      <c r="G22" s="2"/>
      <c r="H22" s="15"/>
      <c r="I22" s="2"/>
      <c r="J22" s="2"/>
      <c r="K22" s="2"/>
      <c r="L22" s="15"/>
      <c r="M22" s="2"/>
      <c r="N22" s="11">
        <f t="shared" si="7"/>
        <v>0</v>
      </c>
      <c r="O22" s="11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8"/>
        <v>0</v>
      </c>
      <c r="T22" s="22">
        <f t="shared" si="4"/>
        <v>0</v>
      </c>
      <c r="U22" s="21">
        <f t="shared" si="5"/>
        <v>0</v>
      </c>
      <c r="V22" s="18">
        <f t="shared" si="0"/>
        <v>0</v>
      </c>
      <c r="W22" s="3"/>
      <c r="X22" s="6">
        <f t="shared" si="6"/>
        <v>0</v>
      </c>
      <c r="Y22" s="2"/>
      <c r="Z22" s="2"/>
      <c r="AA22" s="28" t="s">
        <v>79</v>
      </c>
      <c r="AB22" s="28" t="s">
        <v>135</v>
      </c>
      <c r="AC22" s="28" t="s">
        <v>24</v>
      </c>
      <c r="AD22" s="28" t="s">
        <v>81</v>
      </c>
      <c r="AE22" s="2"/>
      <c r="AF22" s="28" t="s">
        <v>79</v>
      </c>
      <c r="AG22" s="28" t="s">
        <v>82</v>
      </c>
      <c r="AH22" s="28" t="s">
        <v>24</v>
      </c>
      <c r="AI22" s="28" t="s">
        <v>81</v>
      </c>
      <c r="AK22" s="82">
        <v>-50</v>
      </c>
      <c r="AL22" s="83">
        <f>AI24</f>
        <v>-15.090338283968252</v>
      </c>
      <c r="AM22" s="83">
        <f>AD24</f>
        <v>-28.871783746588232</v>
      </c>
      <c r="AN22" s="84">
        <f t="shared" ref="AN22:AN32" si="9">AD39</f>
        <v>-9.3930202369186802</v>
      </c>
      <c r="AO22" s="84">
        <f t="shared" ref="AO22:AO32" si="10">AI39</f>
        <v>-38.264803983506887</v>
      </c>
      <c r="AP22" s="53">
        <f>AD54</f>
        <v>28.871783746588207</v>
      </c>
    </row>
    <row r="23" spans="1:42" ht="15.75" customHeight="1" x14ac:dyDescent="0.25">
      <c r="A23" s="2"/>
      <c r="B23" s="2"/>
      <c r="C23" s="2"/>
      <c r="D23" s="2"/>
      <c r="E23" s="16" t="s">
        <v>86</v>
      </c>
      <c r="F23" s="6">
        <v>200</v>
      </c>
      <c r="G23" s="2" t="s">
        <v>136</v>
      </c>
      <c r="H23" s="15"/>
      <c r="I23" s="2"/>
      <c r="J23" s="2"/>
      <c r="K23" s="2"/>
      <c r="L23" s="15"/>
      <c r="M23" s="2"/>
      <c r="N23" s="11">
        <f t="shared" si="7"/>
        <v>0</v>
      </c>
      <c r="O23" s="11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8"/>
        <v>0</v>
      </c>
      <c r="T23" s="22">
        <f t="shared" si="4"/>
        <v>0</v>
      </c>
      <c r="U23" s="21">
        <f t="shared" si="5"/>
        <v>0</v>
      </c>
      <c r="V23" s="18">
        <f t="shared" si="0"/>
        <v>0</v>
      </c>
      <c r="W23" s="3"/>
      <c r="X23" s="6">
        <f t="shared" si="6"/>
        <v>0</v>
      </c>
      <c r="Y23" s="2"/>
      <c r="Z23" s="2"/>
      <c r="AA23" s="28" t="s">
        <v>85</v>
      </c>
      <c r="AB23" s="30">
        <v>1.2856661991584855</v>
      </c>
      <c r="AC23" s="31">
        <f>V49</f>
        <v>32136.717909945768</v>
      </c>
      <c r="AD23" s="28"/>
      <c r="AE23" s="2"/>
      <c r="AF23" s="28" t="s">
        <v>85</v>
      </c>
      <c r="AG23" s="32">
        <v>9290.1224451203179</v>
      </c>
      <c r="AH23" s="31">
        <f>V49</f>
        <v>32136.717909945768</v>
      </c>
      <c r="AI23" s="28"/>
      <c r="AK23" s="82">
        <v>-40</v>
      </c>
      <c r="AL23" s="83">
        <f>AI25</f>
        <v>-12.072270627174603</v>
      </c>
      <c r="AM23" s="83">
        <f t="shared" ref="AM23:AM32" si="11">AD25</f>
        <v>-23.097426997270585</v>
      </c>
      <c r="AN23" s="84">
        <f t="shared" si="9"/>
        <v>-7.5144161895349351</v>
      </c>
      <c r="AO23" s="84">
        <f t="shared" si="10"/>
        <v>-30.611843186805523</v>
      </c>
      <c r="AP23" s="53">
        <f t="shared" ref="AP23:AP32" si="12">AD55</f>
        <v>23.097426997270549</v>
      </c>
    </row>
    <row r="24" spans="1:42" ht="15.75" customHeight="1" x14ac:dyDescent="0.25">
      <c r="A24" s="2"/>
      <c r="B24" s="2"/>
      <c r="C24" s="2"/>
      <c r="D24" s="2"/>
      <c r="E24" s="16" t="s">
        <v>89</v>
      </c>
      <c r="F24" s="2">
        <v>7</v>
      </c>
      <c r="G24" s="2" t="s">
        <v>54</v>
      </c>
      <c r="H24" s="2"/>
      <c r="I24" s="13"/>
      <c r="J24" s="2"/>
      <c r="K24" s="2"/>
      <c r="L24" s="15"/>
      <c r="M24" s="2"/>
      <c r="N24" s="11">
        <f t="shared" si="7"/>
        <v>0</v>
      </c>
      <c r="O24" s="11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8"/>
        <v>0</v>
      </c>
      <c r="T24" s="22">
        <f t="shared" si="4"/>
        <v>0</v>
      </c>
      <c r="U24" s="21">
        <f t="shared" si="5"/>
        <v>0</v>
      </c>
      <c r="V24" s="18">
        <f t="shared" si="0"/>
        <v>0</v>
      </c>
      <c r="W24" s="3"/>
      <c r="X24" s="6">
        <f t="shared" si="6"/>
        <v>0</v>
      </c>
      <c r="Y24" s="2"/>
      <c r="Z24" s="2"/>
      <c r="AA24" s="28">
        <f t="shared" ref="AA24:AA28" si="13">AA25-10</f>
        <v>-50</v>
      </c>
      <c r="AB24" s="30">
        <f t="shared" ref="AB24:AB34" si="14">$AB$23*(1+(AA24/100))</f>
        <v>0.64283309957924273</v>
      </c>
      <c r="AC24" s="31">
        <f t="dataTable" ref="AC24:AC34" dt2D="0" dtr="0" r1="F36" ca="1"/>
        <v>22858.274211735137</v>
      </c>
      <c r="AD24" s="36">
        <f t="shared" ref="AD24:AD34" si="15">100*((AC24-$AC$29)/$AC$29)</f>
        <v>-28.871783746588232</v>
      </c>
      <c r="AE24" s="2"/>
      <c r="AF24" s="28">
        <f t="shared" ref="AF24:AF28" si="16">AF25-10</f>
        <v>-50</v>
      </c>
      <c r="AG24" s="32">
        <f t="shared" ref="AG24:AG34" si="17">$AG$23*(1+(AF24/100))</f>
        <v>4645.061222560159</v>
      </c>
      <c r="AH24" s="31">
        <f t="dataTable" ref="AH24:AH34" dt2D="0" dtr="0" r1="B47"/>
        <v>27287.17846397034</v>
      </c>
      <c r="AI24" s="36">
        <f t="shared" ref="AI24:AI34" si="18">100*((AH24-$AH$29)/$AH$29)</f>
        <v>-15.090338283968252</v>
      </c>
      <c r="AK24" s="82">
        <v>-30</v>
      </c>
      <c r="AL24" s="83">
        <f t="shared" ref="AL24:AL32" si="19">AI26</f>
        <v>-9.0542029703809543</v>
      </c>
      <c r="AM24" s="83">
        <f t="shared" si="11"/>
        <v>-17.323070247952938</v>
      </c>
      <c r="AN24" s="84">
        <f t="shared" si="9"/>
        <v>-5.6358121421512131</v>
      </c>
      <c r="AO24" s="84">
        <f t="shared" si="10"/>
        <v>-22.958882390104161</v>
      </c>
      <c r="AP24" s="53">
        <f t="shared" si="12"/>
        <v>17.323070247952916</v>
      </c>
    </row>
    <row r="25" spans="1:42" ht="15.75" customHeight="1" x14ac:dyDescent="0.25">
      <c r="A25" s="13"/>
      <c r="B25" s="2"/>
      <c r="C25" s="2"/>
      <c r="D25" s="2"/>
      <c r="E25" s="2"/>
      <c r="F25" s="2"/>
      <c r="G25" s="2"/>
      <c r="H25" s="15"/>
      <c r="I25" s="2"/>
      <c r="J25" s="2"/>
      <c r="K25" s="2"/>
      <c r="L25" s="15"/>
      <c r="M25" s="2"/>
      <c r="N25" s="11">
        <f t="shared" si="7"/>
        <v>0</v>
      </c>
      <c r="O25" s="11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8"/>
        <v>0</v>
      </c>
      <c r="T25" s="22">
        <f t="shared" si="4"/>
        <v>0</v>
      </c>
      <c r="U25" s="21">
        <f t="shared" si="5"/>
        <v>0</v>
      </c>
      <c r="V25" s="18">
        <f t="shared" si="0"/>
        <v>0</v>
      </c>
      <c r="W25" s="3"/>
      <c r="X25" s="6">
        <f t="shared" si="6"/>
        <v>0</v>
      </c>
      <c r="Y25" s="2"/>
      <c r="Z25" s="2"/>
      <c r="AA25" s="28">
        <f t="shared" si="13"/>
        <v>-40</v>
      </c>
      <c r="AB25" s="30">
        <f t="shared" si="14"/>
        <v>0.77139971949509123</v>
      </c>
      <c r="AC25" s="31">
        <v>24713.962951377263</v>
      </c>
      <c r="AD25" s="36">
        <f t="shared" si="15"/>
        <v>-23.097426997270585</v>
      </c>
      <c r="AE25" s="2"/>
      <c r="AF25" s="28">
        <f t="shared" si="16"/>
        <v>-40</v>
      </c>
      <c r="AG25" s="32">
        <f t="shared" si="17"/>
        <v>5574.0734670721904</v>
      </c>
      <c r="AH25" s="31">
        <v>28257.086353165425</v>
      </c>
      <c r="AI25" s="36">
        <f t="shared" si="18"/>
        <v>-12.072270627174603</v>
      </c>
      <c r="AK25" s="82">
        <v>-20</v>
      </c>
      <c r="AL25" s="83">
        <f t="shared" si="19"/>
        <v>-6.0361353135872955</v>
      </c>
      <c r="AM25" s="83">
        <f t="shared" si="11"/>
        <v>-11.548713498635292</v>
      </c>
      <c r="AN25" s="84">
        <f t="shared" si="9"/>
        <v>-3.7572080947674786</v>
      </c>
      <c r="AO25" s="84">
        <f t="shared" si="10"/>
        <v>-15.305921593402761</v>
      </c>
      <c r="AP25" s="53">
        <f t="shared" si="12"/>
        <v>11.548713498635257</v>
      </c>
    </row>
    <row r="26" spans="1:42" ht="15.75" customHeight="1" x14ac:dyDescent="0.25">
      <c r="A26" s="38"/>
      <c r="B26" s="39"/>
      <c r="C26" s="39"/>
      <c r="D26" s="39"/>
      <c r="E26" s="39"/>
      <c r="F26" s="39"/>
      <c r="G26" s="39"/>
      <c r="H26" s="40"/>
      <c r="I26" s="39"/>
      <c r="J26" s="39"/>
      <c r="K26" s="39"/>
      <c r="L26" s="40"/>
      <c r="M26" s="2"/>
      <c r="N26" s="11">
        <f t="shared" si="7"/>
        <v>0</v>
      </c>
      <c r="O26" s="11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8"/>
        <v>0</v>
      </c>
      <c r="T26" s="22">
        <f t="shared" si="4"/>
        <v>0</v>
      </c>
      <c r="U26" s="21">
        <f t="shared" si="5"/>
        <v>0</v>
      </c>
      <c r="V26" s="18">
        <f t="shared" si="0"/>
        <v>0</v>
      </c>
      <c r="W26" s="3"/>
      <c r="X26" s="6">
        <f t="shared" si="6"/>
        <v>0</v>
      </c>
      <c r="Y26" s="2"/>
      <c r="Z26" s="2"/>
      <c r="AA26" s="28">
        <f t="shared" si="13"/>
        <v>-30</v>
      </c>
      <c r="AB26" s="30">
        <f t="shared" si="14"/>
        <v>0.89996633941093973</v>
      </c>
      <c r="AC26" s="31">
        <v>26569.65169101939</v>
      </c>
      <c r="AD26" s="36">
        <f t="shared" si="15"/>
        <v>-17.323070247952938</v>
      </c>
      <c r="AE26" s="2"/>
      <c r="AF26" s="28">
        <f t="shared" si="16"/>
        <v>-30</v>
      </c>
      <c r="AG26" s="32">
        <f t="shared" si="17"/>
        <v>6503.0857115842218</v>
      </c>
      <c r="AH26" s="31">
        <v>29226.99424236051</v>
      </c>
      <c r="AI26" s="36">
        <f t="shared" si="18"/>
        <v>-9.0542029703809543</v>
      </c>
      <c r="AK26" s="82">
        <v>-10</v>
      </c>
      <c r="AL26" s="83">
        <f t="shared" si="19"/>
        <v>-3.0180676567936593</v>
      </c>
      <c r="AM26" s="83">
        <f t="shared" si="11"/>
        <v>-5.7743567493176231</v>
      </c>
      <c r="AN26" s="84">
        <f t="shared" si="9"/>
        <v>-1.8786040473837338</v>
      </c>
      <c r="AO26" s="84">
        <f t="shared" si="10"/>
        <v>-7.6529607967013913</v>
      </c>
      <c r="AP26" s="53">
        <f t="shared" si="12"/>
        <v>5.7743567493176462</v>
      </c>
    </row>
    <row r="27" spans="1:4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7"/>
        <v>0</v>
      </c>
      <c r="O27" s="11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8"/>
        <v>0</v>
      </c>
      <c r="T27" s="22">
        <f t="shared" si="4"/>
        <v>0</v>
      </c>
      <c r="U27" s="21">
        <f t="shared" si="5"/>
        <v>0</v>
      </c>
      <c r="V27" s="18">
        <f t="shared" si="0"/>
        <v>0</v>
      </c>
      <c r="W27" s="3"/>
      <c r="X27" s="6">
        <f t="shared" si="6"/>
        <v>0</v>
      </c>
      <c r="Y27" s="2"/>
      <c r="Z27" s="2"/>
      <c r="AA27" s="28">
        <f t="shared" si="13"/>
        <v>-20</v>
      </c>
      <c r="AB27" s="30">
        <f t="shared" si="14"/>
        <v>1.0285329593267885</v>
      </c>
      <c r="AC27" s="31">
        <v>28425.340430661516</v>
      </c>
      <c r="AD27" s="36">
        <f t="shared" si="15"/>
        <v>-11.548713498635292</v>
      </c>
      <c r="AE27" s="2"/>
      <c r="AF27" s="28">
        <f t="shared" si="16"/>
        <v>-20</v>
      </c>
      <c r="AG27" s="32">
        <f t="shared" si="17"/>
        <v>7432.0979560962551</v>
      </c>
      <c r="AH27" s="31">
        <v>30196.902131555598</v>
      </c>
      <c r="AI27" s="36">
        <f t="shared" si="18"/>
        <v>-6.0361353135872955</v>
      </c>
      <c r="AK27" s="82">
        <v>0</v>
      </c>
      <c r="AL27" s="83">
        <f t="shared" si="19"/>
        <v>0</v>
      </c>
      <c r="AM27" s="83">
        <f t="shared" si="11"/>
        <v>0</v>
      </c>
      <c r="AN27" s="84">
        <f t="shared" si="9"/>
        <v>0</v>
      </c>
      <c r="AO27" s="84">
        <f t="shared" si="10"/>
        <v>0</v>
      </c>
      <c r="AP27" s="53">
        <f t="shared" si="12"/>
        <v>0</v>
      </c>
    </row>
    <row r="28" spans="1:42" ht="15.75" customHeight="1" x14ac:dyDescent="0.25">
      <c r="A28" s="1" t="s">
        <v>90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7"/>
        <v>0</v>
      </c>
      <c r="O28" s="11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8"/>
        <v>0</v>
      </c>
      <c r="T28" s="22">
        <f t="shared" si="4"/>
        <v>0</v>
      </c>
      <c r="U28" s="21">
        <f t="shared" si="5"/>
        <v>0</v>
      </c>
      <c r="V28" s="18">
        <f t="shared" si="0"/>
        <v>0</v>
      </c>
      <c r="W28" s="3"/>
      <c r="X28" s="6">
        <f t="shared" si="6"/>
        <v>0</v>
      </c>
      <c r="Y28" s="2"/>
      <c r="Z28" s="2"/>
      <c r="AA28" s="28">
        <f t="shared" si="13"/>
        <v>-10</v>
      </c>
      <c r="AB28" s="30">
        <f t="shared" si="14"/>
        <v>1.1570995792426368</v>
      </c>
      <c r="AC28" s="31">
        <v>30281.029170303649</v>
      </c>
      <c r="AD28" s="36">
        <f t="shared" si="15"/>
        <v>-5.7743567493176231</v>
      </c>
      <c r="AE28" s="2"/>
      <c r="AF28" s="28">
        <f t="shared" si="16"/>
        <v>-10</v>
      </c>
      <c r="AG28" s="32">
        <f t="shared" si="17"/>
        <v>8361.1102006082856</v>
      </c>
      <c r="AH28" s="31">
        <v>31166.81002075068</v>
      </c>
      <c r="AI28" s="36">
        <f t="shared" si="18"/>
        <v>-3.0180676567936593</v>
      </c>
      <c r="AK28" s="82">
        <v>10</v>
      </c>
      <c r="AL28" s="83">
        <f t="shared" si="19"/>
        <v>3.0180676567936366</v>
      </c>
      <c r="AM28" s="83">
        <f t="shared" si="11"/>
        <v>5.7743567493176462</v>
      </c>
      <c r="AN28" s="84">
        <f t="shared" si="9"/>
        <v>1.8786040473837224</v>
      </c>
      <c r="AO28" s="84">
        <f t="shared" si="10"/>
        <v>7.6529607967013673</v>
      </c>
      <c r="AP28" s="53">
        <f t="shared" si="12"/>
        <v>-5.7743567493176231</v>
      </c>
    </row>
    <row r="29" spans="1:4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7"/>
        <v>0</v>
      </c>
      <c r="O29" s="11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8"/>
        <v>0</v>
      </c>
      <c r="T29" s="22">
        <f t="shared" si="4"/>
        <v>0</v>
      </c>
      <c r="U29" s="21">
        <f t="shared" si="5"/>
        <v>0</v>
      </c>
      <c r="V29" s="18">
        <f t="shared" si="0"/>
        <v>0</v>
      </c>
      <c r="W29" s="3"/>
      <c r="X29" s="6">
        <f t="shared" si="6"/>
        <v>0</v>
      </c>
      <c r="Y29" s="2"/>
      <c r="Z29" s="2"/>
      <c r="AA29" s="41">
        <v>0</v>
      </c>
      <c r="AB29" s="42">
        <f t="shared" si="14"/>
        <v>1.2856661991584855</v>
      </c>
      <c r="AC29" s="43">
        <v>32136.717909945768</v>
      </c>
      <c r="AD29" s="44">
        <f t="shared" si="15"/>
        <v>0</v>
      </c>
      <c r="AE29" s="2"/>
      <c r="AF29" s="41">
        <v>0</v>
      </c>
      <c r="AG29" s="45">
        <f t="shared" si="17"/>
        <v>9290.1224451203179</v>
      </c>
      <c r="AH29" s="43">
        <v>32136.717909945768</v>
      </c>
      <c r="AI29" s="44">
        <f t="shared" si="18"/>
        <v>0</v>
      </c>
      <c r="AK29" s="82">
        <v>20</v>
      </c>
      <c r="AL29" s="83">
        <f t="shared" si="19"/>
        <v>6.0361353135873079</v>
      </c>
      <c r="AM29" s="83">
        <f t="shared" si="11"/>
        <v>11.548713498635257</v>
      </c>
      <c r="AN29" s="84">
        <f t="shared" si="9"/>
        <v>3.7572080947674564</v>
      </c>
      <c r="AO29" s="84">
        <f t="shared" si="10"/>
        <v>15.305921593402724</v>
      </c>
      <c r="AP29" s="53">
        <f t="shared" si="12"/>
        <v>-11.548713498635292</v>
      </c>
    </row>
    <row r="30" spans="1:42" ht="15.75" customHeight="1" x14ac:dyDescent="0.25">
      <c r="A30" s="7" t="s">
        <v>91</v>
      </c>
      <c r="B30" s="8"/>
      <c r="C30" s="8"/>
      <c r="D30" s="8"/>
      <c r="E30" s="10" t="s">
        <v>92</v>
      </c>
      <c r="F30" s="8"/>
      <c r="G30" s="8"/>
      <c r="H30" s="8"/>
      <c r="I30" s="10"/>
      <c r="J30" s="46"/>
      <c r="K30" s="8"/>
      <c r="L30" s="9"/>
      <c r="M30" s="2"/>
      <c r="N30" s="11">
        <f t="shared" si="7"/>
        <v>0</v>
      </c>
      <c r="O30" s="11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8"/>
        <v>0</v>
      </c>
      <c r="T30" s="22">
        <f t="shared" si="4"/>
        <v>0</v>
      </c>
      <c r="U30" s="21">
        <f t="shared" si="5"/>
        <v>0</v>
      </c>
      <c r="V30" s="18">
        <f t="shared" si="0"/>
        <v>0</v>
      </c>
      <c r="W30" s="3"/>
      <c r="X30" s="6">
        <f t="shared" si="6"/>
        <v>0</v>
      </c>
      <c r="Y30" s="2"/>
      <c r="Z30" s="2"/>
      <c r="AA30" s="28">
        <f t="shared" ref="AA30:AA34" si="20">AA29+10</f>
        <v>10</v>
      </c>
      <c r="AB30" s="30">
        <f t="shared" si="14"/>
        <v>1.4142328190743341</v>
      </c>
      <c r="AC30" s="31">
        <v>33992.406649587894</v>
      </c>
      <c r="AD30" s="36">
        <f t="shared" si="15"/>
        <v>5.7743567493176462</v>
      </c>
      <c r="AE30" s="2"/>
      <c r="AF30" s="28">
        <f t="shared" ref="AF30:AF34" si="21">AF29+10</f>
        <v>10</v>
      </c>
      <c r="AG30" s="32">
        <f t="shared" si="17"/>
        <v>10219.13468963235</v>
      </c>
      <c r="AH30" s="31">
        <v>33106.625799140849</v>
      </c>
      <c r="AI30" s="36">
        <f t="shared" si="18"/>
        <v>3.0180676567936366</v>
      </c>
      <c r="AK30" s="82">
        <v>30</v>
      </c>
      <c r="AL30" s="83">
        <f t="shared" si="19"/>
        <v>9.054202970380933</v>
      </c>
      <c r="AM30" s="83">
        <f t="shared" si="11"/>
        <v>17.323070247952916</v>
      </c>
      <c r="AN30" s="84">
        <f t="shared" si="9"/>
        <v>5.6358121421511784</v>
      </c>
      <c r="AO30" s="84">
        <f t="shared" si="10"/>
        <v>22.958882390104126</v>
      </c>
      <c r="AP30" s="53">
        <f t="shared" si="12"/>
        <v>-17.323070247952938</v>
      </c>
    </row>
    <row r="31" spans="1:42" ht="15.75" customHeight="1" x14ac:dyDescent="0.25">
      <c r="A31" s="25" t="s">
        <v>158</v>
      </c>
      <c r="B31" s="6">
        <f>IF(B11=0,0,-(B11/B8))</f>
        <v>0</v>
      </c>
      <c r="C31" s="2" t="s">
        <v>3</v>
      </c>
      <c r="D31" s="2"/>
      <c r="E31" s="16" t="s">
        <v>94</v>
      </c>
      <c r="F31" s="24">
        <f>(J16/100)*B47</f>
        <v>2787.0367335360952</v>
      </c>
      <c r="G31" s="2" t="s">
        <v>3</v>
      </c>
      <c r="H31" s="2"/>
      <c r="I31" s="1" t="s">
        <v>168</v>
      </c>
      <c r="J31" s="47">
        <f>SUM(J32:J35)</f>
        <v>807.09264179523154</v>
      </c>
      <c r="K31" s="1" t="s">
        <v>50</v>
      </c>
      <c r="L31" s="15"/>
      <c r="M31" s="2"/>
      <c r="N31" s="11">
        <f t="shared" si="7"/>
        <v>0</v>
      </c>
      <c r="O31" s="11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8"/>
        <v>0</v>
      </c>
      <c r="T31" s="22">
        <f t="shared" si="4"/>
        <v>0</v>
      </c>
      <c r="U31" s="21">
        <f t="shared" si="5"/>
        <v>0</v>
      </c>
      <c r="V31" s="18">
        <f t="shared" si="0"/>
        <v>0</v>
      </c>
      <c r="W31" s="3"/>
      <c r="X31" s="6">
        <f t="shared" si="6"/>
        <v>0</v>
      </c>
      <c r="Y31" s="2"/>
      <c r="Z31" s="2"/>
      <c r="AA31" s="28">
        <f t="shared" si="20"/>
        <v>20</v>
      </c>
      <c r="AB31" s="30">
        <f t="shared" si="14"/>
        <v>1.5427994389901825</v>
      </c>
      <c r="AC31" s="31">
        <v>35848.095389230009</v>
      </c>
      <c r="AD31" s="36">
        <f t="shared" si="15"/>
        <v>11.548713498635257</v>
      </c>
      <c r="AE31" s="2"/>
      <c r="AF31" s="28">
        <f t="shared" si="21"/>
        <v>20</v>
      </c>
      <c r="AG31" s="32">
        <f t="shared" si="17"/>
        <v>11148.146934144381</v>
      </c>
      <c r="AH31" s="31">
        <v>34076.533688335941</v>
      </c>
      <c r="AI31" s="36">
        <f t="shared" si="18"/>
        <v>6.0361353135873079</v>
      </c>
      <c r="AK31" s="82">
        <v>40</v>
      </c>
      <c r="AL31" s="83">
        <f t="shared" si="19"/>
        <v>12.072270627174559</v>
      </c>
      <c r="AM31" s="83">
        <f t="shared" si="11"/>
        <v>23.097426997270549</v>
      </c>
      <c r="AN31" s="84">
        <f t="shared" si="9"/>
        <v>7.5144161895349466</v>
      </c>
      <c r="AO31" s="84">
        <f t="shared" si="10"/>
        <v>30.611843186805487</v>
      </c>
      <c r="AP31" s="53">
        <f t="shared" si="12"/>
        <v>-23.097426997270585</v>
      </c>
    </row>
    <row r="32" spans="1:42" ht="15.75" customHeight="1" x14ac:dyDescent="0.25">
      <c r="A32" s="25" t="s">
        <v>45</v>
      </c>
      <c r="B32" s="6">
        <f>IF(B12=0,0,-(B12/100)*$B$45)</f>
        <v>0</v>
      </c>
      <c r="C32" s="2" t="s">
        <v>3</v>
      </c>
      <c r="D32" s="2"/>
      <c r="E32" s="16" t="s">
        <v>96</v>
      </c>
      <c r="F32" s="6">
        <f>B47-F31</f>
        <v>6503.0857115842227</v>
      </c>
      <c r="G32" s="2" t="s">
        <v>3</v>
      </c>
      <c r="H32" s="2"/>
      <c r="I32" s="16" t="s">
        <v>73</v>
      </c>
      <c r="J32" s="14">
        <f>F18/$B$8</f>
        <v>25.245441795231418</v>
      </c>
      <c r="K32" s="2" t="s">
        <v>50</v>
      </c>
      <c r="L32" s="15"/>
      <c r="M32" s="2"/>
      <c r="N32" s="11">
        <f t="shared" si="7"/>
        <v>0</v>
      </c>
      <c r="O32" s="11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8"/>
        <v>0</v>
      </c>
      <c r="T32" s="22">
        <f t="shared" si="4"/>
        <v>0</v>
      </c>
      <c r="U32" s="21">
        <f t="shared" si="5"/>
        <v>0</v>
      </c>
      <c r="V32" s="18">
        <f t="shared" si="0"/>
        <v>0</v>
      </c>
      <c r="W32" s="3"/>
      <c r="X32" s="6">
        <f t="shared" si="6"/>
        <v>0</v>
      </c>
      <c r="Y32" s="2"/>
      <c r="Z32" s="2"/>
      <c r="AA32" s="28">
        <f t="shared" si="20"/>
        <v>30</v>
      </c>
      <c r="AB32" s="30">
        <f t="shared" si="14"/>
        <v>1.6713660589060311</v>
      </c>
      <c r="AC32" s="31">
        <v>37703.784128872139</v>
      </c>
      <c r="AD32" s="36">
        <f t="shared" si="15"/>
        <v>17.323070247952916</v>
      </c>
      <c r="AE32" s="2"/>
      <c r="AF32" s="28">
        <f t="shared" si="21"/>
        <v>30</v>
      </c>
      <c r="AG32" s="32">
        <f t="shared" si="17"/>
        <v>12077.159178656413</v>
      </c>
      <c r="AH32" s="31">
        <v>35046.441577531019</v>
      </c>
      <c r="AI32" s="36">
        <f t="shared" si="18"/>
        <v>9.054202970380933</v>
      </c>
      <c r="AK32" s="82">
        <v>50</v>
      </c>
      <c r="AL32" s="83">
        <f t="shared" si="19"/>
        <v>15.090338283968229</v>
      </c>
      <c r="AM32" s="83">
        <f t="shared" si="11"/>
        <v>28.871783746588207</v>
      </c>
      <c r="AN32" s="84">
        <f t="shared" si="9"/>
        <v>9.3930202369186464</v>
      </c>
      <c r="AO32" s="84">
        <f t="shared" si="10"/>
        <v>38.264803983506887</v>
      </c>
      <c r="AP32" s="53">
        <f t="shared" si="12"/>
        <v>-28.871783746588232</v>
      </c>
    </row>
    <row r="33" spans="1:35" ht="15.75" customHeight="1" x14ac:dyDescent="0.25">
      <c r="A33" s="25" t="s">
        <v>51</v>
      </c>
      <c r="B33" s="6">
        <f>IF(B13=0,0,(B13/100)*($B$44+B36+B35))</f>
        <v>511.48967017035159</v>
      </c>
      <c r="C33" s="2" t="s">
        <v>3</v>
      </c>
      <c r="D33" s="2"/>
      <c r="E33" s="16" t="s">
        <v>97</v>
      </c>
      <c r="F33" s="24">
        <f>F32*(F20/100)*J15</f>
        <v>1479.4519993854105</v>
      </c>
      <c r="G33" s="2" t="s">
        <v>3</v>
      </c>
      <c r="H33" s="2"/>
      <c r="I33" s="16" t="s">
        <v>65</v>
      </c>
      <c r="J33" s="14">
        <f>F15/$B$8</f>
        <v>0</v>
      </c>
      <c r="K33" s="2" t="s">
        <v>50</v>
      </c>
      <c r="L33" s="15"/>
      <c r="M33" s="2"/>
      <c r="N33" s="11">
        <f t="shared" si="7"/>
        <v>0</v>
      </c>
      <c r="O33" s="11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8"/>
        <v>0</v>
      </c>
      <c r="T33" s="22">
        <f t="shared" si="4"/>
        <v>0</v>
      </c>
      <c r="U33" s="21">
        <f t="shared" si="5"/>
        <v>0</v>
      </c>
      <c r="V33" s="18">
        <f t="shared" si="0"/>
        <v>0</v>
      </c>
      <c r="W33" s="3"/>
      <c r="X33" s="6">
        <f t="shared" si="6"/>
        <v>0</v>
      </c>
      <c r="Y33" s="2"/>
      <c r="Z33" s="2"/>
      <c r="AA33" s="28">
        <f t="shared" si="20"/>
        <v>40</v>
      </c>
      <c r="AB33" s="30">
        <f t="shared" si="14"/>
        <v>1.7999326788218795</v>
      </c>
      <c r="AC33" s="31">
        <v>39559.472868514262</v>
      </c>
      <c r="AD33" s="36">
        <f t="shared" si="15"/>
        <v>23.097426997270549</v>
      </c>
      <c r="AE33" s="2"/>
      <c r="AF33" s="28">
        <f t="shared" si="21"/>
        <v>40</v>
      </c>
      <c r="AG33" s="32">
        <f t="shared" si="17"/>
        <v>13006.171423168444</v>
      </c>
      <c r="AH33" s="31">
        <v>36016.349466726097</v>
      </c>
      <c r="AI33" s="36">
        <f t="shared" si="18"/>
        <v>12.072270627174559</v>
      </c>
    </row>
    <row r="34" spans="1:35" ht="15.75" customHeight="1" x14ac:dyDescent="0.25">
      <c r="A34" s="25" t="s">
        <v>55</v>
      </c>
      <c r="B34" s="6">
        <f>IF(B14=0,0,(B14/100)*($B$44+B35+B36))</f>
        <v>1461.399057629576</v>
      </c>
      <c r="C34" s="2" t="s">
        <v>3</v>
      </c>
      <c r="D34" s="2"/>
      <c r="E34" s="2"/>
      <c r="F34" s="35"/>
      <c r="G34" s="2"/>
      <c r="H34" s="2"/>
      <c r="I34" s="16" t="s">
        <v>49</v>
      </c>
      <c r="J34" s="20">
        <f>F19*F12/$B$8</f>
        <v>781.84720000000016</v>
      </c>
      <c r="K34" s="2" t="s">
        <v>50</v>
      </c>
      <c r="L34" s="15"/>
      <c r="M34" s="2"/>
      <c r="N34" s="11">
        <f t="shared" si="7"/>
        <v>0</v>
      </c>
      <c r="O34" s="11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8"/>
        <v>0</v>
      </c>
      <c r="T34" s="22">
        <f t="shared" si="4"/>
        <v>0</v>
      </c>
      <c r="U34" s="21">
        <f t="shared" si="5"/>
        <v>0</v>
      </c>
      <c r="V34" s="18">
        <f t="shared" si="0"/>
        <v>0</v>
      </c>
      <c r="W34" s="3"/>
      <c r="X34" s="6">
        <f t="shared" si="6"/>
        <v>0</v>
      </c>
      <c r="Y34" s="2"/>
      <c r="Z34" s="2"/>
      <c r="AA34" s="28">
        <f t="shared" si="20"/>
        <v>50</v>
      </c>
      <c r="AB34" s="30">
        <f t="shared" si="14"/>
        <v>1.9284992987377283</v>
      </c>
      <c r="AC34" s="31">
        <v>41415.161608156392</v>
      </c>
      <c r="AD34" s="36">
        <f t="shared" si="15"/>
        <v>28.871783746588207</v>
      </c>
      <c r="AE34" s="2"/>
      <c r="AF34" s="28">
        <f t="shared" si="21"/>
        <v>50</v>
      </c>
      <c r="AG34" s="32">
        <f t="shared" si="17"/>
        <v>13935.183667680478</v>
      </c>
      <c r="AH34" s="31">
        <v>36986.257355921189</v>
      </c>
      <c r="AI34" s="36">
        <f t="shared" si="18"/>
        <v>15.090338283968229</v>
      </c>
    </row>
    <row r="35" spans="1:35" ht="15.75" customHeight="1" x14ac:dyDescent="0.25">
      <c r="A35" s="16" t="s">
        <v>70</v>
      </c>
      <c r="B35" s="5">
        <f>IF(B18=0,0,(B18/100)*$B$44)/(1-(1.1*B18/100))</f>
        <v>730.69952881478798</v>
      </c>
      <c r="C35" s="2" t="s">
        <v>3</v>
      </c>
      <c r="D35" s="2"/>
      <c r="E35" s="1" t="s">
        <v>100</v>
      </c>
      <c r="F35" s="2"/>
      <c r="G35" s="2"/>
      <c r="H35" s="2"/>
      <c r="I35" s="2"/>
      <c r="J35" s="35"/>
      <c r="K35" s="2"/>
      <c r="L35" s="15"/>
      <c r="M35" s="2"/>
      <c r="N35" s="11">
        <f t="shared" si="7"/>
        <v>0</v>
      </c>
      <c r="O35" s="11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8"/>
        <v>0</v>
      </c>
      <c r="T35" s="22">
        <f t="shared" si="4"/>
        <v>0</v>
      </c>
      <c r="U35" s="21">
        <f t="shared" si="5"/>
        <v>0</v>
      </c>
      <c r="V35" s="18">
        <f t="shared" si="0"/>
        <v>0</v>
      </c>
      <c r="W35" s="3"/>
      <c r="X35" s="6">
        <f t="shared" si="6"/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x14ac:dyDescent="0.25">
      <c r="A36" s="25" t="s">
        <v>134</v>
      </c>
      <c r="B36" s="6">
        <f>B19%*B35</f>
        <v>73.069952881478798</v>
      </c>
      <c r="C36" s="2" t="s">
        <v>3</v>
      </c>
      <c r="D36" s="2"/>
      <c r="E36" s="16" t="s">
        <v>165</v>
      </c>
      <c r="F36" s="14">
        <f>F13/$B$8</f>
        <v>1.2856661991584855</v>
      </c>
      <c r="G36" s="2" t="s">
        <v>129</v>
      </c>
      <c r="H36" s="2"/>
      <c r="I36" s="2"/>
      <c r="J36" s="2"/>
      <c r="K36" s="2"/>
      <c r="L36" s="15"/>
      <c r="M36" s="2"/>
      <c r="N36" s="11">
        <f t="shared" si="7"/>
        <v>0</v>
      </c>
      <c r="O36" s="11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8"/>
        <v>0</v>
      </c>
      <c r="T36" s="22">
        <f t="shared" si="4"/>
        <v>0</v>
      </c>
      <c r="U36" s="21">
        <f t="shared" si="5"/>
        <v>0</v>
      </c>
      <c r="V36" s="18">
        <f t="shared" si="0"/>
        <v>0</v>
      </c>
      <c r="W36" s="3"/>
      <c r="X36" s="6">
        <f t="shared" si="6"/>
        <v>0</v>
      </c>
      <c r="Y36" s="2"/>
      <c r="Z36" s="2"/>
      <c r="AA36" s="27" t="s">
        <v>49</v>
      </c>
      <c r="AB36" s="28"/>
      <c r="AC36" s="28"/>
      <c r="AD36" s="28"/>
      <c r="AE36" s="2"/>
      <c r="AF36" s="27" t="s">
        <v>101</v>
      </c>
      <c r="AG36" s="28"/>
      <c r="AH36" s="28"/>
      <c r="AI36" s="28"/>
    </row>
    <row r="37" spans="1:35" ht="15.75" customHeight="1" x14ac:dyDescent="0.25">
      <c r="A37" s="25" t="s">
        <v>74</v>
      </c>
      <c r="B37" s="6">
        <f>IF(B20=0,0,(B20/100)*$B$44)</f>
        <v>0</v>
      </c>
      <c r="C37" s="2" t="s">
        <v>3</v>
      </c>
      <c r="D37" s="2"/>
      <c r="E37" s="16" t="s">
        <v>166</v>
      </c>
      <c r="F37" s="48">
        <f>F36*J10</f>
        <v>9.3210799438990188E-2</v>
      </c>
      <c r="G37" s="2" t="s">
        <v>4</v>
      </c>
      <c r="H37" s="2"/>
      <c r="I37" s="2"/>
      <c r="J37" s="2"/>
      <c r="K37" s="2"/>
      <c r="L37" s="15"/>
      <c r="M37" s="2"/>
      <c r="N37" s="11">
        <f t="shared" si="7"/>
        <v>0</v>
      </c>
      <c r="O37" s="11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8"/>
        <v>0</v>
      </c>
      <c r="T37" s="22">
        <f t="shared" si="4"/>
        <v>0</v>
      </c>
      <c r="U37" s="21">
        <f t="shared" si="5"/>
        <v>0</v>
      </c>
      <c r="V37" s="18">
        <f t="shared" si="0"/>
        <v>0</v>
      </c>
      <c r="W37" s="3"/>
      <c r="X37" s="6">
        <f t="shared" si="6"/>
        <v>0</v>
      </c>
      <c r="Y37" s="2"/>
      <c r="Z37" s="2"/>
      <c r="AA37" s="28" t="s">
        <v>79</v>
      </c>
      <c r="AB37" s="28" t="s">
        <v>137</v>
      </c>
      <c r="AC37" s="28" t="s">
        <v>24</v>
      </c>
      <c r="AD37" s="28" t="s">
        <v>81</v>
      </c>
      <c r="AE37" s="2"/>
      <c r="AF37" s="28" t="s">
        <v>79</v>
      </c>
      <c r="AG37" s="28" t="s">
        <v>105</v>
      </c>
      <c r="AH37" s="28" t="s">
        <v>24</v>
      </c>
      <c r="AI37" s="28" t="s">
        <v>81</v>
      </c>
    </row>
    <row r="38" spans="1:35" ht="15.75" customHeight="1" x14ac:dyDescent="0.25">
      <c r="A38" s="25" t="s">
        <v>167</v>
      </c>
      <c r="B38" s="14">
        <f>IF(B17=0,0,(B17/B8))</f>
        <v>10.23842917251052</v>
      </c>
      <c r="C38" s="2" t="s">
        <v>3</v>
      </c>
      <c r="D38" s="2"/>
      <c r="E38" s="16" t="s">
        <v>138</v>
      </c>
      <c r="F38" s="35">
        <f>F37*F12</f>
        <v>2306.2215997194953</v>
      </c>
      <c r="G38" s="26" t="s">
        <v>50</v>
      </c>
      <c r="H38" s="2"/>
      <c r="I38" s="2"/>
      <c r="J38" s="2"/>
      <c r="K38" s="2"/>
      <c r="L38" s="15"/>
      <c r="M38" s="2"/>
      <c r="N38" s="11">
        <f t="shared" si="7"/>
        <v>0</v>
      </c>
      <c r="O38" s="11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8"/>
        <v>0</v>
      </c>
      <c r="T38" s="22">
        <f t="shared" si="4"/>
        <v>0</v>
      </c>
      <c r="U38" s="21">
        <f t="shared" si="5"/>
        <v>0</v>
      </c>
      <c r="V38" s="18">
        <f t="shared" si="0"/>
        <v>0</v>
      </c>
      <c r="W38" s="3"/>
      <c r="X38" s="6">
        <f t="shared" si="6"/>
        <v>0</v>
      </c>
      <c r="Y38" s="2"/>
      <c r="Z38" s="2"/>
      <c r="AA38" s="28" t="s">
        <v>85</v>
      </c>
      <c r="AB38" s="30">
        <v>781.84720000000016</v>
      </c>
      <c r="AC38" s="31">
        <f>V49</f>
        <v>32136.717909945768</v>
      </c>
      <c r="AD38" s="28"/>
      <c r="AE38" s="2"/>
      <c r="AF38" s="28" t="s">
        <v>85</v>
      </c>
      <c r="AG38" s="32">
        <v>24742</v>
      </c>
      <c r="AH38" s="31">
        <f>V49</f>
        <v>32136.717909945768</v>
      </c>
      <c r="AI38" s="28"/>
    </row>
    <row r="39" spans="1:35" ht="15.75" customHeight="1" x14ac:dyDescent="0.25">
      <c r="A39" s="25"/>
      <c r="B39" s="6"/>
      <c r="C39" s="2"/>
      <c r="D39" s="2"/>
      <c r="E39" s="2"/>
      <c r="F39" s="2"/>
      <c r="G39" s="2"/>
      <c r="H39" s="2"/>
      <c r="I39" s="1" t="s">
        <v>111</v>
      </c>
      <c r="J39" s="2"/>
      <c r="K39" s="2"/>
      <c r="L39" s="15"/>
      <c r="M39" s="2"/>
      <c r="N39" s="11">
        <f t="shared" si="7"/>
        <v>0</v>
      </c>
      <c r="O39" s="11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8"/>
        <v>0</v>
      </c>
      <c r="T39" s="22">
        <f t="shared" si="4"/>
        <v>0</v>
      </c>
      <c r="U39" s="21">
        <f t="shared" si="5"/>
        <v>0</v>
      </c>
      <c r="V39" s="18">
        <f t="shared" si="0"/>
        <v>0</v>
      </c>
      <c r="W39" s="3"/>
      <c r="X39" s="6">
        <f t="shared" si="6"/>
        <v>0</v>
      </c>
      <c r="Y39" s="2"/>
      <c r="Z39" s="2"/>
      <c r="AA39" s="28">
        <f t="shared" ref="AA39:AA43" si="22">AA40-10</f>
        <v>-50</v>
      </c>
      <c r="AB39" s="30">
        <f t="shared" ref="AB39:AB49" si="23">$AB$38*(1+(AA39/100))</f>
        <v>390.92360000000008</v>
      </c>
      <c r="AC39" s="31">
        <f t="dataTable" ref="AC39:AC49" dt2D="0" dtr="0" r1="J34" ca="1"/>
        <v>29118.109493183092</v>
      </c>
      <c r="AD39" s="36">
        <f t="shared" ref="AD39:AD49" si="24">100*((AC39-$AC$44)/$AC$44)</f>
        <v>-9.3930202369186802</v>
      </c>
      <c r="AE39" s="2"/>
      <c r="AF39" s="28">
        <f t="shared" ref="AF39:AF43" si="25">AF40-10</f>
        <v>-50</v>
      </c>
      <c r="AG39" s="32">
        <f t="shared" ref="AG39:AG49" si="26">$AG$38*(1+(AF39/100))</f>
        <v>12371</v>
      </c>
      <c r="AH39" s="31">
        <f t="dataTable" ref="AH39:AH49" dt2D="0" dtr="0" r1="F12" ca="1"/>
        <v>19839.665794972469</v>
      </c>
      <c r="AI39" s="36">
        <f t="shared" ref="AI39:AI49" si="27">100*((AH39-$AH$44)/$AH$44)</f>
        <v>-38.264803983506887</v>
      </c>
    </row>
    <row r="40" spans="1:35" ht="15.75" customHeight="1" x14ac:dyDescent="0.25">
      <c r="A40" s="2"/>
      <c r="B40" s="2"/>
      <c r="C40" s="2"/>
      <c r="D40" s="2"/>
      <c r="E40" s="2"/>
      <c r="F40" s="2"/>
      <c r="G40" s="2"/>
      <c r="H40" s="2"/>
      <c r="I40" s="16" t="s">
        <v>114</v>
      </c>
      <c r="J40" s="14">
        <f>F23/$B$8</f>
        <v>5.6100981767180924</v>
      </c>
      <c r="K40" s="2" t="s">
        <v>50</v>
      </c>
      <c r="L40" s="15"/>
      <c r="M40" s="2"/>
      <c r="N40" s="11">
        <f t="shared" si="7"/>
        <v>0</v>
      </c>
      <c r="O40" s="11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8"/>
        <v>0</v>
      </c>
      <c r="T40" s="22">
        <f t="shared" si="4"/>
        <v>0</v>
      </c>
      <c r="U40" s="21">
        <f t="shared" si="5"/>
        <v>0</v>
      </c>
      <c r="V40" s="18">
        <f t="shared" si="0"/>
        <v>0</v>
      </c>
      <c r="W40" s="3"/>
      <c r="X40" s="6">
        <f t="shared" si="6"/>
        <v>0</v>
      </c>
      <c r="Y40" s="2"/>
      <c r="Z40" s="2"/>
      <c r="AA40" s="28">
        <f t="shared" si="22"/>
        <v>-40</v>
      </c>
      <c r="AB40" s="30">
        <f t="shared" si="23"/>
        <v>469.10832000000005</v>
      </c>
      <c r="AC40" s="31">
        <v>29721.83117653563</v>
      </c>
      <c r="AD40" s="36">
        <f t="shared" si="24"/>
        <v>-7.5144161895349351</v>
      </c>
      <c r="AE40" s="2"/>
      <c r="AF40" s="28">
        <f t="shared" si="25"/>
        <v>-40</v>
      </c>
      <c r="AG40" s="32">
        <f t="shared" si="26"/>
        <v>14845.199999999999</v>
      </c>
      <c r="AH40" s="31">
        <v>22299.076217967126</v>
      </c>
      <c r="AI40" s="36">
        <f t="shared" si="27"/>
        <v>-30.611843186805523</v>
      </c>
    </row>
    <row r="41" spans="1:35" ht="15.75" customHeight="1" x14ac:dyDescent="0.25">
      <c r="A41" s="2"/>
      <c r="B41" s="2"/>
      <c r="C41" s="2"/>
      <c r="D41" s="2"/>
      <c r="E41" s="16" t="s">
        <v>98</v>
      </c>
      <c r="F41" s="6">
        <f>F12*B5</f>
        <v>247420</v>
      </c>
      <c r="G41" s="2" t="s">
        <v>99</v>
      </c>
      <c r="H41" s="2"/>
      <c r="I41" s="16" t="s">
        <v>112</v>
      </c>
      <c r="J41" s="14">
        <f>(F17%*F16)/B8</f>
        <v>54.698457223001405</v>
      </c>
      <c r="K41" s="2" t="s">
        <v>50</v>
      </c>
      <c r="L41" s="15"/>
      <c r="M41" s="2"/>
      <c r="N41" s="11">
        <f t="shared" si="7"/>
        <v>0</v>
      </c>
      <c r="O41" s="11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8"/>
        <v>0</v>
      </c>
      <c r="T41" s="22">
        <f t="shared" si="4"/>
        <v>0</v>
      </c>
      <c r="U41" s="21">
        <f t="shared" si="5"/>
        <v>0</v>
      </c>
      <c r="V41" s="18">
        <f t="shared" si="0"/>
        <v>0</v>
      </c>
      <c r="W41" s="3"/>
      <c r="X41" s="6">
        <f t="shared" si="6"/>
        <v>0</v>
      </c>
      <c r="Y41" s="2"/>
      <c r="Z41" s="2"/>
      <c r="AA41" s="28">
        <f t="shared" si="22"/>
        <v>-30</v>
      </c>
      <c r="AB41" s="30">
        <f t="shared" si="23"/>
        <v>547.29304000000002</v>
      </c>
      <c r="AC41" s="31">
        <v>30325.552859888161</v>
      </c>
      <c r="AD41" s="36">
        <f t="shared" si="24"/>
        <v>-5.6358121421512131</v>
      </c>
      <c r="AE41" s="2"/>
      <c r="AF41" s="28">
        <f t="shared" si="25"/>
        <v>-30</v>
      </c>
      <c r="AG41" s="32">
        <f t="shared" si="26"/>
        <v>17319.399999999998</v>
      </c>
      <c r="AH41" s="31">
        <v>24758.486640961779</v>
      </c>
      <c r="AI41" s="36">
        <f t="shared" si="27"/>
        <v>-22.958882390104161</v>
      </c>
    </row>
    <row r="42" spans="1:35" ht="15.75" customHeight="1" x14ac:dyDescent="0.25">
      <c r="A42" s="23" t="s">
        <v>110</v>
      </c>
      <c r="B42" s="3"/>
      <c r="C42" s="1"/>
      <c r="D42" s="2"/>
      <c r="E42" s="16"/>
      <c r="F42" s="14"/>
      <c r="G42" s="2"/>
      <c r="H42" s="2"/>
      <c r="I42" s="1"/>
      <c r="J42" s="2"/>
      <c r="K42" s="2"/>
      <c r="L42" s="15"/>
      <c r="M42" s="2"/>
      <c r="N42" s="11">
        <f t="shared" si="7"/>
        <v>0</v>
      </c>
      <c r="O42" s="11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8"/>
        <v>0</v>
      </c>
      <c r="T42" s="22">
        <f t="shared" si="4"/>
        <v>0</v>
      </c>
      <c r="U42" s="21">
        <f t="shared" si="5"/>
        <v>0</v>
      </c>
      <c r="V42" s="18">
        <f t="shared" si="0"/>
        <v>0</v>
      </c>
      <c r="W42" s="3"/>
      <c r="X42" s="6">
        <f t="shared" si="6"/>
        <v>0</v>
      </c>
      <c r="Y42" s="2"/>
      <c r="Z42" s="2"/>
      <c r="AA42" s="28">
        <f t="shared" si="22"/>
        <v>-20</v>
      </c>
      <c r="AB42" s="30">
        <f t="shared" si="23"/>
        <v>625.47776000000022</v>
      </c>
      <c r="AC42" s="31">
        <v>30929.274543240695</v>
      </c>
      <c r="AD42" s="36">
        <f t="shared" si="24"/>
        <v>-3.7572080947674786</v>
      </c>
      <c r="AE42" s="2"/>
      <c r="AF42" s="28">
        <f t="shared" si="25"/>
        <v>-20</v>
      </c>
      <c r="AG42" s="32">
        <f t="shared" si="26"/>
        <v>19793.600000000002</v>
      </c>
      <c r="AH42" s="31">
        <v>27217.897063956447</v>
      </c>
      <c r="AI42" s="36">
        <f t="shared" si="27"/>
        <v>-15.305921593402761</v>
      </c>
    </row>
    <row r="43" spans="1:35" ht="15.75" customHeight="1" x14ac:dyDescent="0.25">
      <c r="A43" s="16" t="s">
        <v>183</v>
      </c>
      <c r="B43" s="6">
        <f>J8/B8</f>
        <v>4645.1612903225805</v>
      </c>
      <c r="C43" s="2" t="s">
        <v>3</v>
      </c>
      <c r="D43" s="2"/>
      <c r="E43" s="2"/>
      <c r="F43" s="2"/>
      <c r="G43" s="2"/>
      <c r="H43" s="2"/>
      <c r="I43" s="16"/>
      <c r="J43" s="20"/>
      <c r="K43" s="2"/>
      <c r="L43" s="15"/>
      <c r="M43" s="2"/>
      <c r="N43" s="11">
        <f t="shared" si="7"/>
        <v>0</v>
      </c>
      <c r="O43" s="11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8"/>
        <v>0</v>
      </c>
      <c r="T43" s="22">
        <f t="shared" si="4"/>
        <v>0</v>
      </c>
      <c r="U43" s="21">
        <f t="shared" si="5"/>
        <v>0</v>
      </c>
      <c r="V43" s="18">
        <f t="shared" si="0"/>
        <v>0</v>
      </c>
      <c r="W43" s="3"/>
      <c r="X43" s="6">
        <f t="shared" si="6"/>
        <v>0</v>
      </c>
      <c r="Y43" s="2"/>
      <c r="Z43" s="2"/>
      <c r="AA43" s="28">
        <f t="shared" si="22"/>
        <v>-10</v>
      </c>
      <c r="AB43" s="30">
        <f t="shared" si="23"/>
        <v>703.66248000000019</v>
      </c>
      <c r="AC43" s="31">
        <v>31532.996226593234</v>
      </c>
      <c r="AD43" s="36">
        <f t="shared" si="24"/>
        <v>-1.8786040473837338</v>
      </c>
      <c r="AE43" s="2"/>
      <c r="AF43" s="28">
        <f t="shared" si="25"/>
        <v>-10</v>
      </c>
      <c r="AG43" s="32">
        <f t="shared" si="26"/>
        <v>22267.8</v>
      </c>
      <c r="AH43" s="31">
        <v>29677.307486951104</v>
      </c>
      <c r="AI43" s="36">
        <f t="shared" si="27"/>
        <v>-7.6529607967013913</v>
      </c>
    </row>
    <row r="44" spans="1:35" ht="15.75" customHeight="1" x14ac:dyDescent="0.25">
      <c r="A44" s="2" t="s">
        <v>117</v>
      </c>
      <c r="B44" s="24">
        <f>(1+B16/100)*B43</f>
        <v>6503.2258064516127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7"/>
        <v>0</v>
      </c>
      <c r="O44" s="11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8"/>
        <v>0</v>
      </c>
      <c r="T44" s="22">
        <f t="shared" si="4"/>
        <v>0</v>
      </c>
      <c r="U44" s="21">
        <f t="shared" si="5"/>
        <v>0</v>
      </c>
      <c r="V44" s="18">
        <f t="shared" si="0"/>
        <v>0</v>
      </c>
      <c r="W44" s="3"/>
      <c r="X44" s="6">
        <f t="shared" si="6"/>
        <v>0</v>
      </c>
      <c r="Y44" s="2"/>
      <c r="Z44" s="2"/>
      <c r="AA44" s="41">
        <v>0</v>
      </c>
      <c r="AB44" s="42">
        <f t="shared" si="23"/>
        <v>781.84720000000016</v>
      </c>
      <c r="AC44" s="43">
        <v>32136.717909945768</v>
      </c>
      <c r="AD44" s="44">
        <f t="shared" si="24"/>
        <v>0</v>
      </c>
      <c r="AE44" s="2"/>
      <c r="AF44" s="41">
        <v>0</v>
      </c>
      <c r="AG44" s="45">
        <f t="shared" si="26"/>
        <v>24742</v>
      </c>
      <c r="AH44" s="43">
        <v>32136.717909945768</v>
      </c>
      <c r="AI44" s="44">
        <f t="shared" si="27"/>
        <v>0</v>
      </c>
    </row>
    <row r="45" spans="1:35" ht="15.75" customHeight="1" x14ac:dyDescent="0.25">
      <c r="A45" s="25" t="s">
        <v>139</v>
      </c>
      <c r="B45" s="6">
        <f>SUM(B33:B38)+B44</f>
        <v>9290.1224451203179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7"/>
        <v>0</v>
      </c>
      <c r="O45" s="11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8"/>
        <v>0</v>
      </c>
      <c r="T45" s="22">
        <f t="shared" si="4"/>
        <v>0</v>
      </c>
      <c r="U45" s="21">
        <f t="shared" si="5"/>
        <v>0</v>
      </c>
      <c r="V45" s="18">
        <f t="shared" si="0"/>
        <v>0</v>
      </c>
      <c r="W45" s="3"/>
      <c r="X45" s="6">
        <f t="shared" si="6"/>
        <v>0</v>
      </c>
      <c r="Y45" s="2"/>
      <c r="Z45" s="2"/>
      <c r="AA45" s="28">
        <f t="shared" ref="AA45:AA49" si="28">AA44+10</f>
        <v>10</v>
      </c>
      <c r="AB45" s="30">
        <f t="shared" si="23"/>
        <v>860.03192000000024</v>
      </c>
      <c r="AC45" s="31">
        <v>32740.439593298299</v>
      </c>
      <c r="AD45" s="36">
        <f t="shared" si="24"/>
        <v>1.8786040473837224</v>
      </c>
      <c r="AE45" s="2"/>
      <c r="AF45" s="28">
        <f t="shared" ref="AF45:AF49" si="29">AF44+10</f>
        <v>10</v>
      </c>
      <c r="AG45" s="32">
        <f t="shared" si="26"/>
        <v>27216.2</v>
      </c>
      <c r="AH45" s="31">
        <v>34596.128332940425</v>
      </c>
      <c r="AI45" s="36">
        <f t="shared" si="27"/>
        <v>7.6529607967013673</v>
      </c>
    </row>
    <row r="46" spans="1:35" ht="15.75" customHeight="1" x14ac:dyDescent="0.25">
      <c r="A46" s="25" t="s">
        <v>159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7"/>
        <v>0</v>
      </c>
      <c r="O46" s="11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8"/>
        <v>0</v>
      </c>
      <c r="T46" s="22">
        <f t="shared" si="4"/>
        <v>0</v>
      </c>
      <c r="U46" s="21">
        <f t="shared" si="5"/>
        <v>0</v>
      </c>
      <c r="V46" s="18">
        <f t="shared" si="0"/>
        <v>0</v>
      </c>
      <c r="W46" s="3"/>
      <c r="X46" s="6">
        <f t="shared" si="6"/>
        <v>0</v>
      </c>
      <c r="Y46" s="2"/>
      <c r="Z46" s="2"/>
      <c r="AA46" s="28">
        <f t="shared" si="28"/>
        <v>20</v>
      </c>
      <c r="AB46" s="30">
        <f t="shared" si="23"/>
        <v>938.2166400000001</v>
      </c>
      <c r="AC46" s="31">
        <v>33344.161276650833</v>
      </c>
      <c r="AD46" s="36">
        <f t="shared" si="24"/>
        <v>3.7572080947674564</v>
      </c>
      <c r="AE46" s="2"/>
      <c r="AF46" s="28">
        <f t="shared" si="29"/>
        <v>20</v>
      </c>
      <c r="AG46" s="32">
        <f t="shared" si="26"/>
        <v>29690.399999999998</v>
      </c>
      <c r="AH46" s="31">
        <v>37055.538755935078</v>
      </c>
      <c r="AI46" s="36">
        <f t="shared" si="27"/>
        <v>15.305921593402724</v>
      </c>
    </row>
    <row r="47" spans="1:35" ht="15.75" customHeight="1" x14ac:dyDescent="0.25">
      <c r="A47" s="25" t="s">
        <v>160</v>
      </c>
      <c r="B47" s="6">
        <f>SUM(B45:B46)</f>
        <v>9290.1224451203179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7"/>
        <v>0</v>
      </c>
      <c r="O47" s="11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8"/>
        <v>0</v>
      </c>
      <c r="T47" s="22">
        <f t="shared" si="4"/>
        <v>0</v>
      </c>
      <c r="U47" s="21">
        <f t="shared" si="5"/>
        <v>0</v>
      </c>
      <c r="V47" s="18">
        <f t="shared" si="0"/>
        <v>0</v>
      </c>
      <c r="W47" s="3"/>
      <c r="X47" s="6">
        <f t="shared" si="6"/>
        <v>0</v>
      </c>
      <c r="Y47" s="2"/>
      <c r="Z47" s="2"/>
      <c r="AA47" s="28">
        <f t="shared" si="28"/>
        <v>30</v>
      </c>
      <c r="AB47" s="30">
        <f t="shared" si="23"/>
        <v>1016.4013600000003</v>
      </c>
      <c r="AC47" s="31">
        <v>33947.882960003364</v>
      </c>
      <c r="AD47" s="36">
        <f t="shared" si="24"/>
        <v>5.6358121421511784</v>
      </c>
      <c r="AE47" s="2"/>
      <c r="AF47" s="28">
        <f t="shared" si="29"/>
        <v>30</v>
      </c>
      <c r="AG47" s="32">
        <f t="shared" si="26"/>
        <v>32164.600000000002</v>
      </c>
      <c r="AH47" s="31">
        <v>39514.949178929746</v>
      </c>
      <c r="AI47" s="36">
        <f t="shared" si="27"/>
        <v>22.958882390104126</v>
      </c>
    </row>
    <row r="48" spans="1:3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7"/>
        <v>0</v>
      </c>
      <c r="O48" s="11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8"/>
        <v>0</v>
      </c>
      <c r="T48" s="22">
        <f t="shared" si="4"/>
        <v>0</v>
      </c>
      <c r="U48" s="21">
        <f t="shared" si="5"/>
        <v>0</v>
      </c>
      <c r="V48" s="18">
        <f t="shared" si="0"/>
        <v>0</v>
      </c>
      <c r="W48" s="3"/>
      <c r="X48" s="6">
        <f t="shared" si="6"/>
        <v>0</v>
      </c>
      <c r="Y48" s="2"/>
      <c r="Z48" s="2"/>
      <c r="AA48" s="28">
        <f t="shared" si="28"/>
        <v>40</v>
      </c>
      <c r="AB48" s="30">
        <f t="shared" si="23"/>
        <v>1094.58608</v>
      </c>
      <c r="AC48" s="31">
        <v>34551.60464335591</v>
      </c>
      <c r="AD48" s="36">
        <f t="shared" si="24"/>
        <v>7.5144161895349466</v>
      </c>
      <c r="AE48" s="2"/>
      <c r="AF48" s="28">
        <f t="shared" si="29"/>
        <v>40</v>
      </c>
      <c r="AG48" s="32">
        <f t="shared" si="26"/>
        <v>34638.799999999996</v>
      </c>
      <c r="AH48" s="31">
        <v>41974.3596019244</v>
      </c>
      <c r="AI48" s="36">
        <f t="shared" si="27"/>
        <v>30.611843186805487</v>
      </c>
    </row>
    <row r="49" spans="1:35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118</v>
      </c>
      <c r="O49" s="18">
        <f t="shared" ref="O49:V49" si="30">SUM(O8:O48)</f>
        <v>2787.0367335360952</v>
      </c>
      <c r="P49" s="18">
        <f t="shared" si="30"/>
        <v>6912.0421584147534</v>
      </c>
      <c r="Q49" s="18">
        <f t="shared" si="30"/>
        <v>18556.887396421254</v>
      </c>
      <c r="R49" s="18">
        <f t="shared" si="30"/>
        <v>6232.1554432382854</v>
      </c>
      <c r="S49" s="18">
        <f t="shared" si="30"/>
        <v>16.743397255301868</v>
      </c>
      <c r="T49" s="18">
        <f t="shared" si="30"/>
        <v>368.51035027143314</v>
      </c>
      <c r="U49" s="18">
        <f t="shared" si="30"/>
        <v>-2736.6575691913558</v>
      </c>
      <c r="V49" s="18">
        <f t="shared" si="30"/>
        <v>32136.717909945768</v>
      </c>
      <c r="W49" s="3"/>
      <c r="X49" s="3"/>
      <c r="Y49" s="2"/>
      <c r="Z49" s="2"/>
      <c r="AA49" s="28">
        <f t="shared" si="28"/>
        <v>50</v>
      </c>
      <c r="AB49" s="30">
        <f t="shared" si="23"/>
        <v>1172.7708000000002</v>
      </c>
      <c r="AC49" s="31">
        <v>35155.326326708433</v>
      </c>
      <c r="AD49" s="36">
        <f t="shared" si="24"/>
        <v>9.3930202369186464</v>
      </c>
      <c r="AE49" s="2"/>
      <c r="AF49" s="28">
        <f t="shared" si="29"/>
        <v>50</v>
      </c>
      <c r="AG49" s="32">
        <f t="shared" si="26"/>
        <v>37113</v>
      </c>
      <c r="AH49" s="31">
        <v>44433.770024919068</v>
      </c>
      <c r="AI49" s="36">
        <f t="shared" si="27"/>
        <v>38.264803983506887</v>
      </c>
    </row>
    <row r="50" spans="1:35" ht="15.75" customHeight="1" x14ac:dyDescent="0.25">
      <c r="A50" s="2"/>
      <c r="B50" s="35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4">
        <f>SUM(R49:T49)</f>
        <v>6617.40919076502</v>
      </c>
      <c r="S50" s="2"/>
      <c r="T50" s="2"/>
      <c r="U50" s="2"/>
      <c r="V50" s="2"/>
      <c r="W50" s="2"/>
      <c r="X50" s="2"/>
      <c r="Y50" s="24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7" t="s">
        <v>182</v>
      </c>
      <c r="AB51" s="28"/>
      <c r="AC51" s="28"/>
      <c r="AD51" s="28"/>
      <c r="AE51" s="2"/>
      <c r="AF51" s="2"/>
      <c r="AG51" s="2"/>
      <c r="AH51" s="2"/>
      <c r="AI51" s="2"/>
    </row>
    <row r="52" spans="1:35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8" t="s">
        <v>79</v>
      </c>
      <c r="AB52" s="28" t="s">
        <v>182</v>
      </c>
      <c r="AC52" s="28" t="s">
        <v>24</v>
      </c>
      <c r="AD52" s="28" t="s">
        <v>81</v>
      </c>
      <c r="AE52" s="2"/>
      <c r="AF52" s="2"/>
      <c r="AG52" s="2"/>
      <c r="AH52" s="2"/>
      <c r="AI52" s="2"/>
    </row>
    <row r="53" spans="1:35" ht="15.75" customHeight="1" x14ac:dyDescent="0.2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35"/>
      <c r="Z53" s="2"/>
      <c r="AA53" s="28" t="s">
        <v>85</v>
      </c>
      <c r="AB53" s="30">
        <v>7.2499999999999995E-2</v>
      </c>
      <c r="AC53" s="31">
        <f>V49</f>
        <v>32136.717909945768</v>
      </c>
      <c r="AD53" s="28"/>
      <c r="AE53" s="2"/>
      <c r="AF53" s="2"/>
      <c r="AG53" s="2"/>
      <c r="AH53" s="2"/>
      <c r="AI53" s="2"/>
    </row>
    <row r="54" spans="1:3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9"/>
      <c r="O54" s="50" t="s">
        <v>121</v>
      </c>
      <c r="P54" s="51" t="str">
        <f>B1</f>
        <v>Thailand</v>
      </c>
      <c r="Q54" s="49"/>
      <c r="R54" s="49"/>
      <c r="S54" s="49"/>
      <c r="T54" s="49"/>
      <c r="U54" s="49"/>
      <c r="V54" s="2"/>
      <c r="W54" s="2"/>
      <c r="X54" s="2"/>
      <c r="Y54" s="35"/>
      <c r="Z54" s="2"/>
      <c r="AA54" s="28">
        <f t="shared" ref="AA54:AA58" si="31">AA55-10</f>
        <v>-50</v>
      </c>
      <c r="AB54" s="30">
        <f>$AB$53*(1+(-AA54/100))</f>
        <v>0.10874999999999999</v>
      </c>
      <c r="AC54" s="31">
        <f t="dataTable" ref="AC54:AC64" dt2D="0" dtr="0" r1="J10" ca="1"/>
        <v>41415.161608156392</v>
      </c>
      <c r="AD54" s="36">
        <f>100*((AC54-$AC$59)/$AC$59)</f>
        <v>28.871783746588207</v>
      </c>
      <c r="AE54" s="2"/>
      <c r="AF54" s="2"/>
      <c r="AG54" s="2"/>
      <c r="AH54" s="2"/>
      <c r="AI54" s="2"/>
    </row>
    <row r="55" spans="1:3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122</v>
      </c>
      <c r="P55" s="24">
        <f>SUM(O49:P49)</f>
        <v>9699.0788919508486</v>
      </c>
      <c r="Q55" s="2" t="s">
        <v>3</v>
      </c>
      <c r="R55" s="48">
        <f t="shared" ref="R55:R58" si="32">P55/$F$41</f>
        <v>3.9200868531043764E-2</v>
      </c>
      <c r="S55" s="2" t="s">
        <v>4</v>
      </c>
      <c r="T55" s="2"/>
      <c r="U55" s="2"/>
      <c r="V55" s="2"/>
      <c r="W55" s="2"/>
      <c r="X55" s="2"/>
      <c r="Y55" s="35"/>
      <c r="Z55" s="2"/>
      <c r="AA55" s="28">
        <f t="shared" si="31"/>
        <v>-40</v>
      </c>
      <c r="AB55" s="30">
        <f t="shared" ref="AB55:AB64" si="33">$AB$53*(1+(-AA55/100))</f>
        <v>0.10149999999999999</v>
      </c>
      <c r="AC55" s="31">
        <v>39559.472868514262</v>
      </c>
      <c r="AD55" s="36">
        <f t="shared" ref="AD55:AD64" si="34">100*((AC55-$AC$59)/$AC$59)</f>
        <v>23.097426997270549</v>
      </c>
      <c r="AE55" s="2"/>
      <c r="AF55" s="2"/>
      <c r="AG55" s="2"/>
      <c r="AH55" s="2"/>
      <c r="AI55" s="2"/>
    </row>
    <row r="56" spans="1:3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100</v>
      </c>
      <c r="P56" s="24">
        <f>SUM(Q49)</f>
        <v>18556.887396421254</v>
      </c>
      <c r="Q56" s="2" t="s">
        <v>3</v>
      </c>
      <c r="R56" s="48">
        <f t="shared" si="32"/>
        <v>7.5001565744164791E-2</v>
      </c>
      <c r="S56" s="2" t="s">
        <v>4</v>
      </c>
      <c r="T56" s="2"/>
      <c r="U56" s="2"/>
      <c r="V56" s="2"/>
      <c r="W56" s="2"/>
      <c r="X56" s="2"/>
      <c r="Y56" s="35"/>
      <c r="Z56" s="2"/>
      <c r="AA56" s="28">
        <f t="shared" si="31"/>
        <v>-30</v>
      </c>
      <c r="AB56" s="30">
        <f t="shared" si="33"/>
        <v>9.425E-2</v>
      </c>
      <c r="AC56" s="31">
        <v>37703.784128872139</v>
      </c>
      <c r="AD56" s="36">
        <f t="shared" si="34"/>
        <v>17.323070247952916</v>
      </c>
      <c r="AE56" s="2"/>
      <c r="AF56" s="2"/>
      <c r="AG56" s="2"/>
      <c r="AH56" s="2"/>
      <c r="AI56" s="2"/>
    </row>
    <row r="57" spans="1:3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123</v>
      </c>
      <c r="P57" s="24">
        <f>SUM(R49:S49)</f>
        <v>6248.8988404935872</v>
      </c>
      <c r="Q57" s="2" t="s">
        <v>3</v>
      </c>
      <c r="R57" s="48">
        <f t="shared" si="32"/>
        <v>2.5256239756258941E-2</v>
      </c>
      <c r="S57" s="2" t="s">
        <v>4</v>
      </c>
      <c r="T57" s="2"/>
      <c r="U57" s="2"/>
      <c r="V57" s="2"/>
      <c r="W57" s="2"/>
      <c r="X57" s="2"/>
      <c r="Y57" s="35"/>
      <c r="Z57" s="2"/>
      <c r="AA57" s="28">
        <f t="shared" si="31"/>
        <v>-20</v>
      </c>
      <c r="AB57" s="30">
        <f t="shared" si="33"/>
        <v>8.6999999999999994E-2</v>
      </c>
      <c r="AC57" s="31">
        <v>35848.095389230009</v>
      </c>
      <c r="AD57" s="36">
        <f t="shared" si="34"/>
        <v>11.548713498635257</v>
      </c>
      <c r="AE57" s="2"/>
      <c r="AF57" s="2"/>
      <c r="AG57" s="2"/>
      <c r="AH57" s="2"/>
      <c r="AI57" s="2"/>
    </row>
    <row r="58" spans="1:3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125</v>
      </c>
      <c r="P58" s="24">
        <f>U49</f>
        <v>-2736.6575691913558</v>
      </c>
      <c r="Q58" s="2" t="s">
        <v>3</v>
      </c>
      <c r="R58" s="48">
        <f t="shared" si="32"/>
        <v>-1.106077750057132E-2</v>
      </c>
      <c r="S58" s="2" t="s">
        <v>4</v>
      </c>
      <c r="T58" s="2"/>
      <c r="U58" s="2"/>
      <c r="V58" s="2"/>
      <c r="W58" s="2"/>
      <c r="X58" s="2"/>
      <c r="Y58" s="35"/>
      <c r="Z58" s="2"/>
      <c r="AA58" s="28">
        <f t="shared" si="31"/>
        <v>-10</v>
      </c>
      <c r="AB58" s="30">
        <f t="shared" si="33"/>
        <v>7.9750000000000001E-2</v>
      </c>
      <c r="AC58" s="31">
        <v>33992.406649587894</v>
      </c>
      <c r="AD58" s="36">
        <f t="shared" si="34"/>
        <v>5.7743567493176462</v>
      </c>
      <c r="AE58" s="2"/>
      <c r="AF58" s="2"/>
      <c r="AG58" s="2"/>
      <c r="AH58" s="2"/>
      <c r="AI58" s="2"/>
    </row>
    <row r="59" spans="1:3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5"/>
      <c r="Z59" s="2"/>
      <c r="AA59" s="41">
        <v>0</v>
      </c>
      <c r="AB59" s="86">
        <f t="shared" si="33"/>
        <v>7.2499999999999995E-2</v>
      </c>
      <c r="AC59" s="87">
        <v>32136.717909945768</v>
      </c>
      <c r="AD59" s="69">
        <f t="shared" si="34"/>
        <v>0</v>
      </c>
      <c r="AE59" s="2"/>
      <c r="AF59" s="2"/>
      <c r="AG59" s="2"/>
      <c r="AH59" s="2"/>
      <c r="AI59" s="2"/>
    </row>
    <row r="60" spans="1:3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31768.207559674334</v>
      </c>
      <c r="Q60" s="1" t="s">
        <v>3</v>
      </c>
      <c r="R60" s="54">
        <f>SUM(R55:R58)</f>
        <v>0.12839789653089617</v>
      </c>
      <c r="S60" s="1" t="s">
        <v>4</v>
      </c>
      <c r="T60" s="1"/>
      <c r="U60" s="2"/>
      <c r="V60" s="2"/>
      <c r="W60" s="2"/>
      <c r="X60" s="2"/>
      <c r="Y60" s="35"/>
      <c r="Z60" s="2"/>
      <c r="AA60" s="28">
        <f t="shared" ref="AA60:AA64" si="35">AA59+10</f>
        <v>10</v>
      </c>
      <c r="AB60" s="30">
        <f t="shared" si="33"/>
        <v>6.5250000000000002E-2</v>
      </c>
      <c r="AC60" s="31">
        <v>30281.029170303649</v>
      </c>
      <c r="AD60" s="36">
        <f t="shared" si="34"/>
        <v>-5.7743567493176231</v>
      </c>
      <c r="AE60" s="2"/>
      <c r="AF60" s="2"/>
      <c r="AG60" s="2"/>
      <c r="AH60" s="2"/>
      <c r="AI60" s="2"/>
    </row>
    <row r="61" spans="1:3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5"/>
      <c r="Z61" s="2"/>
      <c r="AA61" s="28">
        <f t="shared" si="35"/>
        <v>20</v>
      </c>
      <c r="AB61" s="30">
        <f t="shared" si="33"/>
        <v>5.7999999999999996E-2</v>
      </c>
      <c r="AC61" s="31">
        <v>28425.340430661516</v>
      </c>
      <c r="AD61" s="36">
        <f t="shared" si="34"/>
        <v>-11.548713498635292</v>
      </c>
      <c r="AE61" s="2"/>
      <c r="AF61" s="2"/>
      <c r="AG61" s="2"/>
      <c r="AH61" s="2"/>
      <c r="AI61" s="2"/>
    </row>
    <row r="62" spans="1:3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5"/>
      <c r="Z62" s="2"/>
      <c r="AA62" s="28">
        <f t="shared" si="35"/>
        <v>30</v>
      </c>
      <c r="AB62" s="30">
        <f t="shared" si="33"/>
        <v>5.0749999999999997E-2</v>
      </c>
      <c r="AC62" s="31">
        <v>26569.65169101939</v>
      </c>
      <c r="AD62" s="36">
        <f t="shared" si="34"/>
        <v>-17.323070247952938</v>
      </c>
      <c r="AE62" s="2"/>
      <c r="AF62" s="2"/>
      <c r="AG62" s="2"/>
      <c r="AH62" s="2"/>
      <c r="AI62" s="2"/>
    </row>
    <row r="63" spans="1:3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5"/>
      <c r="Z63" s="2"/>
      <c r="AA63" s="28">
        <f t="shared" si="35"/>
        <v>40</v>
      </c>
      <c r="AB63" s="30">
        <f t="shared" si="33"/>
        <v>4.3499999999999997E-2</v>
      </c>
      <c r="AC63" s="31">
        <v>24713.962951377263</v>
      </c>
      <c r="AD63" s="36">
        <f t="shared" si="34"/>
        <v>-23.097426997270585</v>
      </c>
      <c r="AE63" s="2"/>
      <c r="AF63" s="2"/>
      <c r="AG63" s="2"/>
      <c r="AH63" s="2"/>
      <c r="AI63" s="2"/>
    </row>
    <row r="64" spans="1:3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5"/>
      <c r="Z64" s="2"/>
      <c r="AA64" s="28">
        <f t="shared" si="35"/>
        <v>50</v>
      </c>
      <c r="AB64" s="30">
        <f t="shared" si="33"/>
        <v>3.6249999999999998E-2</v>
      </c>
      <c r="AC64" s="31">
        <v>22858.274211735137</v>
      </c>
      <c r="AD64" s="36">
        <f t="shared" si="34"/>
        <v>-28.871783746588232</v>
      </c>
      <c r="AE64" s="2"/>
      <c r="AF64" s="2"/>
      <c r="AG64" s="2"/>
      <c r="AH64" s="2"/>
      <c r="AI64" s="2"/>
    </row>
    <row r="65" spans="1:3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5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5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5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2EA5-AD13-4389-BAB7-BB83B3052F9B}">
  <dimension ref="A2:U45"/>
  <sheetViews>
    <sheetView tabSelected="1" topLeftCell="I2" zoomScale="71" zoomScaleNormal="90" workbookViewId="0">
      <selection activeCell="U2" sqref="U2"/>
    </sheetView>
  </sheetViews>
  <sheetFormatPr defaultRowHeight="15" x14ac:dyDescent="0.25"/>
  <cols>
    <col min="1" max="1" width="22" style="71" customWidth="1"/>
    <col min="2" max="2" width="21.7109375" style="71" customWidth="1"/>
    <col min="3" max="8" width="19.140625" style="72" customWidth="1"/>
    <col min="9" max="9" width="10.140625" style="71" customWidth="1"/>
    <col min="10" max="14" width="9.140625" style="71"/>
    <col min="15" max="15" width="21.140625" style="71" customWidth="1"/>
    <col min="16" max="20" width="18.42578125" style="71" customWidth="1"/>
    <col min="21" max="16384" width="9.140625" style="71"/>
  </cols>
  <sheetData>
    <row r="2" spans="1:21" ht="18.75" x14ac:dyDescent="0.3">
      <c r="A2" s="70" t="s">
        <v>181</v>
      </c>
      <c r="B2" s="71" t="s">
        <v>169</v>
      </c>
      <c r="O2" s="73" t="s">
        <v>170</v>
      </c>
    </row>
    <row r="3" spans="1:21" x14ac:dyDescent="0.25">
      <c r="B3" s="91" t="s">
        <v>185</v>
      </c>
      <c r="C3" s="92" t="s">
        <v>184</v>
      </c>
      <c r="D3" s="92"/>
      <c r="E3" s="92"/>
      <c r="F3" s="92"/>
      <c r="G3" s="92"/>
      <c r="H3" s="85"/>
      <c r="O3" s="91" t="s">
        <v>185</v>
      </c>
      <c r="P3" s="93" t="s">
        <v>184</v>
      </c>
      <c r="Q3" s="93"/>
      <c r="R3" s="93"/>
      <c r="S3" s="93"/>
      <c r="T3" s="75"/>
      <c r="U3" s="76"/>
    </row>
    <row r="4" spans="1:21" x14ac:dyDescent="0.25">
      <c r="B4" s="91"/>
      <c r="C4" s="75" t="s">
        <v>172</v>
      </c>
      <c r="D4" s="75" t="s">
        <v>173</v>
      </c>
      <c r="E4" s="75" t="s">
        <v>34</v>
      </c>
      <c r="F4" s="75" t="s">
        <v>174</v>
      </c>
      <c r="G4" s="75" t="s">
        <v>175</v>
      </c>
      <c r="H4" s="75" t="str">
        <f>'E-Bus TH'!AS21</f>
        <v>Energy Efficiency</v>
      </c>
      <c r="O4" s="91"/>
      <c r="P4" s="74" t="s">
        <v>172</v>
      </c>
      <c r="Q4" s="74" t="s">
        <v>128</v>
      </c>
      <c r="R4" s="74" t="s">
        <v>175</v>
      </c>
      <c r="S4" s="74" t="s">
        <v>174</v>
      </c>
      <c r="T4" s="74" t="str">
        <f>'ICE-Bus TH'!AP21</f>
        <v>Energy Efficiency</v>
      </c>
    </row>
    <row r="5" spans="1:21" x14ac:dyDescent="0.25">
      <c r="B5" s="77">
        <f>'E-Bus TH'!AM22</f>
        <v>-50</v>
      </c>
      <c r="C5" s="78">
        <f>'E-Bus TH'!AN22</f>
        <v>-33.91886901865854</v>
      </c>
      <c r="D5" s="78">
        <f>'E-Bus TH'!AO22</f>
        <v>-8.6848791959787892</v>
      </c>
      <c r="E5" s="78">
        <f>'E-Bus TH'!AP22</f>
        <v>-3.9335217890154777</v>
      </c>
      <c r="F5" s="78">
        <f>'E-Bus TH'!AQ22</f>
        <v>-22.706613958277778</v>
      </c>
      <c r="G5" s="78">
        <f>'E-Bus TH'!AR22</f>
        <v>-14.021734762298971</v>
      </c>
      <c r="H5" s="78">
        <f>'E-Bus TH'!AS22</f>
        <v>8.6848791959788212</v>
      </c>
      <c r="O5" s="77">
        <f>'ICE-Bus TH'!AK22</f>
        <v>-50</v>
      </c>
      <c r="P5" s="79">
        <f>'ICE-Bus TH'!AL22</f>
        <v>-15.854368027842799</v>
      </c>
      <c r="Q5" s="79">
        <f>'ICE-Bus TH'!AM22</f>
        <v>-29.202684266710367</v>
      </c>
      <c r="R5" s="79">
        <f>'ICE-Bus TH'!AN22</f>
        <v>-9.252787616740612</v>
      </c>
      <c r="S5" s="79">
        <f>'ICE-Bus TH'!AO22</f>
        <v>-38.455471883450983</v>
      </c>
      <c r="T5" s="79">
        <f>'ICE-Bus TH'!AP22</f>
        <v>29.202684266710367</v>
      </c>
    </row>
    <row r="6" spans="1:21" x14ac:dyDescent="0.25">
      <c r="B6" s="77">
        <f>'E-Bus TH'!AM23</f>
        <v>-40</v>
      </c>
      <c r="C6" s="78">
        <f>'E-Bus TH'!AN23</f>
        <v>-27.135095214926842</v>
      </c>
      <c r="D6" s="78">
        <f>'E-Bus TH'!AO23</f>
        <v>-6.9479033567830477</v>
      </c>
      <c r="E6" s="78">
        <f>'E-Bus TH'!AP23</f>
        <v>-3.1468174312123667</v>
      </c>
      <c r="F6" s="78">
        <f>'E-Bus TH'!AQ23</f>
        <v>-18.165291166622222</v>
      </c>
      <c r="G6" s="78">
        <f>'E-Bus TH'!AR23</f>
        <v>-11.217387809839174</v>
      </c>
      <c r="H6" s="78">
        <f>'E-Bus TH'!AS23</f>
        <v>6.9479033567830788</v>
      </c>
      <c r="O6" s="77">
        <f>'ICE-Bus TH'!AK23</f>
        <v>-40</v>
      </c>
      <c r="P6" s="79">
        <f>'ICE-Bus TH'!AL23</f>
        <v>-12.683494422274244</v>
      </c>
      <c r="Q6" s="79">
        <f>'ICE-Bus TH'!AM23</f>
        <v>-23.362147413368277</v>
      </c>
      <c r="R6" s="79">
        <f>'ICE-Bus TH'!AN23</f>
        <v>-7.402230093392502</v>
      </c>
      <c r="S6" s="79">
        <f>'ICE-Bus TH'!AO23</f>
        <v>-30.764377506760798</v>
      </c>
      <c r="T6" s="79">
        <f>'ICE-Bus TH'!AP23</f>
        <v>23.362147413368277</v>
      </c>
    </row>
    <row r="7" spans="1:21" x14ac:dyDescent="0.25">
      <c r="B7" s="77">
        <f>'E-Bus TH'!AM24</f>
        <v>-30</v>
      </c>
      <c r="C7" s="78">
        <f>'E-Bus TH'!AN24</f>
        <v>-20.35132141119513</v>
      </c>
      <c r="D7" s="78">
        <f>'E-Bus TH'!AO24</f>
        <v>-5.2109275175872742</v>
      </c>
      <c r="E7" s="78">
        <f>'E-Bus TH'!AP24</f>
        <v>-2.3601130734092868</v>
      </c>
      <c r="F7" s="78">
        <f>'E-Bus TH'!AQ24</f>
        <v>-13.623968374966635</v>
      </c>
      <c r="G7" s="78">
        <f>'E-Bus TH'!AR24</f>
        <v>-8.4130408573793929</v>
      </c>
      <c r="H7" s="78">
        <f>'E-Bus TH'!AS24</f>
        <v>5.2109275175873053</v>
      </c>
      <c r="O7" s="77">
        <f>'ICE-Bus TH'!AK24</f>
        <v>-30</v>
      </c>
      <c r="P7" s="79">
        <f>'ICE-Bus TH'!AL24</f>
        <v>-9.512620816705688</v>
      </c>
      <c r="Q7" s="79">
        <f>'ICE-Bus TH'!AM24</f>
        <v>-17.521610560026208</v>
      </c>
      <c r="R7" s="79">
        <f>'ICE-Bus TH'!AN24</f>
        <v>-5.5516725700443592</v>
      </c>
      <c r="S7" s="79">
        <f>'ICE-Bus TH'!AO24</f>
        <v>-23.073283130070585</v>
      </c>
      <c r="T7" s="79">
        <f>'ICE-Bus TH'!AP24</f>
        <v>17.521610560026208</v>
      </c>
    </row>
    <row r="8" spans="1:21" x14ac:dyDescent="0.25">
      <c r="B8" s="77">
        <f>'E-Bus TH'!AM25</f>
        <v>-20</v>
      </c>
      <c r="C8" s="78">
        <f>'E-Bus TH'!AN25</f>
        <v>-13.567547607463407</v>
      </c>
      <c r="D8" s="78">
        <f>'E-Bus TH'!AO25</f>
        <v>-3.4739516783915008</v>
      </c>
      <c r="E8" s="78">
        <f>'E-Bus TH'!AP25</f>
        <v>-1.5734087156061911</v>
      </c>
      <c r="F8" s="78">
        <f>'E-Bus TH'!AQ25</f>
        <v>-9.0826455833110806</v>
      </c>
      <c r="G8" s="78">
        <f>'E-Bus TH'!AR25</f>
        <v>-5.6086939049195639</v>
      </c>
      <c r="H8" s="78">
        <f>'E-Bus TH'!AS25</f>
        <v>3.4739516783915318</v>
      </c>
      <c r="O8" s="77">
        <f>'ICE-Bus TH'!AK25</f>
        <v>-20</v>
      </c>
      <c r="P8" s="79">
        <f>'ICE-Bus TH'!AL25</f>
        <v>-6.3417472111371138</v>
      </c>
      <c r="Q8" s="79">
        <f>'ICE-Bus TH'!AM25</f>
        <v>-11.681073706684156</v>
      </c>
      <c r="R8" s="79">
        <f>'ICE-Bus TH'!AN25</f>
        <v>-3.701115046696251</v>
      </c>
      <c r="S8" s="79">
        <f>'ICE-Bus TH'!AO25</f>
        <v>-15.38218875338039</v>
      </c>
      <c r="T8" s="79">
        <f>'ICE-Bus TH'!AP25</f>
        <v>11.681073706684138</v>
      </c>
    </row>
    <row r="9" spans="1:21" x14ac:dyDescent="0.25">
      <c r="B9" s="77">
        <f>'E-Bus TH'!AM26</f>
        <v>-10</v>
      </c>
      <c r="C9" s="78">
        <f>'E-Bus TH'!AN26</f>
        <v>-6.7837738037316946</v>
      </c>
      <c r="D9" s="78">
        <f>'E-Bus TH'!AO26</f>
        <v>-1.7369758391957268</v>
      </c>
      <c r="E9" s="78">
        <f>'E-Bus TH'!AP26</f>
        <v>-0.78670435780309556</v>
      </c>
      <c r="F9" s="78">
        <f>'E-Bus TH'!AQ26</f>
        <v>-4.5413227916555243</v>
      </c>
      <c r="G9" s="78">
        <f>'E-Bus TH'!AR26</f>
        <v>-2.8043469524597819</v>
      </c>
      <c r="H9" s="78">
        <f>'E-Bus TH'!AS26</f>
        <v>1.7369758391957892</v>
      </c>
      <c r="O9" s="77">
        <f>'ICE-Bus TH'!AK26</f>
        <v>-10</v>
      </c>
      <c r="P9" s="79">
        <f>'ICE-Bus TH'!AL26</f>
        <v>-3.1708736055685569</v>
      </c>
      <c r="Q9" s="79">
        <f>'ICE-Bus TH'!AM26</f>
        <v>-5.8405368533420523</v>
      </c>
      <c r="R9" s="79">
        <f>'ICE-Bus TH'!AN26</f>
        <v>-1.8505575233481255</v>
      </c>
      <c r="S9" s="79">
        <f>'ICE-Bus TH'!AO26</f>
        <v>-7.691094376690212</v>
      </c>
      <c r="T9" s="79">
        <f>'ICE-Bus TH'!AP26</f>
        <v>5.8405368533420869</v>
      </c>
    </row>
    <row r="10" spans="1:21" x14ac:dyDescent="0.25">
      <c r="B10" s="77">
        <f>'E-Bus TH'!AM27</f>
        <v>0</v>
      </c>
      <c r="C10" s="78">
        <f>'E-Bus TH'!AN27</f>
        <v>0</v>
      </c>
      <c r="D10" s="78">
        <f>'E-Bus TH'!AO27</f>
        <v>0</v>
      </c>
      <c r="E10" s="78">
        <f>'E-Bus TH'!AP27</f>
        <v>0</v>
      </c>
      <c r="F10" s="78">
        <f>'E-Bus TH'!AQ27</f>
        <v>0</v>
      </c>
      <c r="G10" s="78">
        <f>'E-Bus TH'!AR27</f>
        <v>0</v>
      </c>
      <c r="H10" s="78">
        <f>'E-Bus TH'!AS27</f>
        <v>0</v>
      </c>
      <c r="O10" s="77">
        <f>'ICE-Bus TH'!AK27</f>
        <v>0</v>
      </c>
      <c r="P10" s="79">
        <f>'ICE-Bus TH'!AL27</f>
        <v>0</v>
      </c>
      <c r="Q10" s="79">
        <f>'ICE-Bus TH'!AM27</f>
        <v>0</v>
      </c>
      <c r="R10" s="79">
        <f>'ICE-Bus TH'!AN27</f>
        <v>0</v>
      </c>
      <c r="S10" s="79">
        <f>'ICE-Bus TH'!AO27</f>
        <v>0</v>
      </c>
      <c r="T10" s="79">
        <f>'ICE-Bus TH'!AP27</f>
        <v>0</v>
      </c>
    </row>
    <row r="11" spans="1:21" x14ac:dyDescent="0.25">
      <c r="B11" s="77">
        <f>'E-Bus TH'!AM28</f>
        <v>10</v>
      </c>
      <c r="C11" s="78">
        <f>'E-Bus TH'!AN28</f>
        <v>6.7837738037317266</v>
      </c>
      <c r="D11" s="78">
        <f>'E-Bus TH'!AO28</f>
        <v>1.7369758391957892</v>
      </c>
      <c r="E11" s="78">
        <f>'E-Bus TH'!AP28</f>
        <v>0.78670435780309556</v>
      </c>
      <c r="F11" s="78">
        <f>'E-Bus TH'!AQ28</f>
        <v>4.5413227916556025</v>
      </c>
      <c r="G11" s="78">
        <f>'E-Bus TH'!AR28</f>
        <v>2.8043469524598286</v>
      </c>
      <c r="H11" s="78">
        <f>'E-Bus TH'!AS28</f>
        <v>-1.7369758391957268</v>
      </c>
      <c r="O11" s="77">
        <f>'ICE-Bus TH'!AK28</f>
        <v>10</v>
      </c>
      <c r="P11" s="79">
        <f>'ICE-Bus TH'!AL28</f>
        <v>3.1708736055685569</v>
      </c>
      <c r="Q11" s="79">
        <f>'ICE-Bus TH'!AM28</f>
        <v>5.8405368533420869</v>
      </c>
      <c r="R11" s="79">
        <f>'ICE-Bus TH'!AN28</f>
        <v>1.8505575233481428</v>
      </c>
      <c r="S11" s="79">
        <f>'ICE-Bus TH'!AO28</f>
        <v>7.691094376690212</v>
      </c>
      <c r="T11" s="79">
        <f>'ICE-Bus TH'!AP28</f>
        <v>-5.8405368533420523</v>
      </c>
    </row>
    <row r="12" spans="1:21" x14ac:dyDescent="0.25">
      <c r="B12" s="77">
        <f>'E-Bus TH'!AM29</f>
        <v>20</v>
      </c>
      <c r="C12" s="78">
        <f>'E-Bus TH'!AN29</f>
        <v>13.567547607463421</v>
      </c>
      <c r="D12" s="78">
        <f>'E-Bus TH'!AO29</f>
        <v>3.4739516783915318</v>
      </c>
      <c r="E12" s="78">
        <f>'E-Bus TH'!AP29</f>
        <v>1.5734087156062067</v>
      </c>
      <c r="F12" s="78">
        <f>'E-Bus TH'!AQ29</f>
        <v>11.867236970441136</v>
      </c>
      <c r="G12" s="78">
        <f>'E-Bus TH'!AR29</f>
        <v>5.608693904919611</v>
      </c>
      <c r="H12" s="78">
        <f>'E-Bus TH'!AS29</f>
        <v>-3.4739516783915008</v>
      </c>
      <c r="O12" s="77">
        <f>'ICE-Bus TH'!AK29</f>
        <v>20</v>
      </c>
      <c r="P12" s="79">
        <f>'ICE-Bus TH'!AL29</f>
        <v>6.3417472111371307</v>
      </c>
      <c r="Q12" s="79">
        <f>'ICE-Bus TH'!AM29</f>
        <v>11.681073706684138</v>
      </c>
      <c r="R12" s="79">
        <f>'ICE-Bus TH'!AN29</f>
        <v>3.701115046696251</v>
      </c>
      <c r="S12" s="79">
        <f>'ICE-Bus TH'!AO29</f>
        <v>15.38218875338039</v>
      </c>
      <c r="T12" s="79">
        <f>'ICE-Bus TH'!AP29</f>
        <v>-11.681073706684156</v>
      </c>
    </row>
    <row r="13" spans="1:21" x14ac:dyDescent="0.25">
      <c r="B13" s="77">
        <f>'E-Bus TH'!AM30</f>
        <v>30</v>
      </c>
      <c r="C13" s="78">
        <f>'E-Bus TH'!AN30</f>
        <v>20.35132141119513</v>
      </c>
      <c r="D13" s="78">
        <f>'E-Bus TH'!AO30</f>
        <v>5.2109275175873053</v>
      </c>
      <c r="E13" s="78">
        <f>'E-Bus TH'!AP30</f>
        <v>2.3601130734093023</v>
      </c>
      <c r="F13" s="78">
        <f>'E-Bus TH'!AQ30</f>
        <v>16.547789331453181</v>
      </c>
      <c r="G13" s="78">
        <f>'E-Bus TH'!AR30</f>
        <v>8.4130408573794391</v>
      </c>
      <c r="H13" s="78">
        <f>'E-Bus TH'!AS30</f>
        <v>-5.2109275175872742</v>
      </c>
      <c r="O13" s="77">
        <f>'ICE-Bus TH'!AK30</f>
        <v>30</v>
      </c>
      <c r="P13" s="79">
        <f>'ICE-Bus TH'!AL30</f>
        <v>9.512620816705688</v>
      </c>
      <c r="Q13" s="79">
        <f>'ICE-Bus TH'!AM30</f>
        <v>17.521610560026208</v>
      </c>
      <c r="R13" s="79">
        <f>'ICE-Bus TH'!AN30</f>
        <v>5.551672570044377</v>
      </c>
      <c r="S13" s="79">
        <f>'ICE-Bus TH'!AO30</f>
        <v>23.073283130070603</v>
      </c>
      <c r="T13" s="79">
        <f>'ICE-Bus TH'!AP30</f>
        <v>-17.521610560026208</v>
      </c>
    </row>
    <row r="14" spans="1:21" x14ac:dyDescent="0.25">
      <c r="B14" s="77">
        <f>'E-Bus TH'!AM31</f>
        <v>40</v>
      </c>
      <c r="C14" s="78">
        <f>'E-Bus TH'!AN31</f>
        <v>27.135095214926842</v>
      </c>
      <c r="D14" s="78">
        <f>'E-Bus TH'!AO31</f>
        <v>6.9479033567830788</v>
      </c>
      <c r="E14" s="78">
        <f>'E-Bus TH'!AP31</f>
        <v>3.1468174312123667</v>
      </c>
      <c r="F14" s="78">
        <f>'E-Bus TH'!AQ31</f>
        <v>21.23530317093309</v>
      </c>
      <c r="G14" s="78">
        <f>'E-Bus TH'!AR31</f>
        <v>11.217387809839236</v>
      </c>
      <c r="H14" s="78">
        <f>'E-Bus TH'!AS31</f>
        <v>-6.9479033567830477</v>
      </c>
      <c r="O14" s="77">
        <f>'ICE-Bus TH'!AK31</f>
        <v>40</v>
      </c>
      <c r="P14" s="79">
        <f>'ICE-Bus TH'!AL31</f>
        <v>12.683494422274244</v>
      </c>
      <c r="Q14" s="79">
        <f>'ICE-Bus TH'!AM31</f>
        <v>23.362147413368277</v>
      </c>
      <c r="R14" s="79">
        <f>'ICE-Bus TH'!AN31</f>
        <v>7.4022300933924852</v>
      </c>
      <c r="S14" s="79">
        <f>'ICE-Bus TH'!AO31</f>
        <v>30.764377506760766</v>
      </c>
      <c r="T14" s="79">
        <f>'ICE-Bus TH'!AP31</f>
        <v>-23.362147413368277</v>
      </c>
    </row>
    <row r="15" spans="1:21" x14ac:dyDescent="0.25">
      <c r="B15" s="77">
        <f>'E-Bus TH'!AM32</f>
        <v>50</v>
      </c>
      <c r="C15" s="78">
        <f>'E-Bus TH'!AN32</f>
        <v>33.918869018658555</v>
      </c>
      <c r="D15" s="78">
        <f>'E-Bus TH'!AO32</f>
        <v>8.6848791959788212</v>
      </c>
      <c r="E15" s="78">
        <f>'E-Bus TH'!AP32</f>
        <v>3.9335217890154621</v>
      </c>
      <c r="F15" s="78">
        <f>'E-Bus TH'!AQ32</f>
        <v>25.776625962588611</v>
      </c>
      <c r="G15" s="78">
        <f>'E-Bus TH'!AR32</f>
        <v>14.021734762298987</v>
      </c>
      <c r="H15" s="78">
        <f>'E-Bus TH'!AS32</f>
        <v>-8.6848791959787892</v>
      </c>
      <c r="O15" s="77">
        <f>'ICE-Bus TH'!AK32</f>
        <v>50</v>
      </c>
      <c r="P15" s="79">
        <f>'ICE-Bus TH'!AL32</f>
        <v>15.854368027842819</v>
      </c>
      <c r="Q15" s="79">
        <f>'ICE-Bus TH'!AM32</f>
        <v>29.202684266710367</v>
      </c>
      <c r="R15" s="79">
        <f>'ICE-Bus TH'!AN32</f>
        <v>9.252787616740628</v>
      </c>
      <c r="S15" s="79">
        <f>'ICE-Bus TH'!AO32</f>
        <v>38.45547188345099</v>
      </c>
      <c r="T15" s="79">
        <f>'ICE-Bus TH'!AP32</f>
        <v>-29.202684266710367</v>
      </c>
    </row>
    <row r="17" spans="2:20" x14ac:dyDescent="0.25">
      <c r="B17" s="73" t="s">
        <v>176</v>
      </c>
      <c r="O17" s="73" t="s">
        <v>177</v>
      </c>
    </row>
    <row r="18" spans="2:20" x14ac:dyDescent="0.25">
      <c r="B18" s="91" t="s">
        <v>185</v>
      </c>
      <c r="C18" s="92" t="s">
        <v>184</v>
      </c>
      <c r="D18" s="92"/>
      <c r="E18" s="92"/>
      <c r="F18" s="92"/>
      <c r="G18" s="92"/>
      <c r="H18" s="85"/>
      <c r="O18" s="91" t="s">
        <v>185</v>
      </c>
      <c r="P18" s="93" t="s">
        <v>184</v>
      </c>
      <c r="Q18" s="93"/>
      <c r="R18" s="93"/>
      <c r="S18" s="93"/>
      <c r="T18" s="75"/>
    </row>
    <row r="19" spans="2:20" x14ac:dyDescent="0.25">
      <c r="B19" s="91"/>
      <c r="C19" s="75" t="s">
        <v>172</v>
      </c>
      <c r="D19" s="75" t="s">
        <v>173</v>
      </c>
      <c r="E19" s="75" t="s">
        <v>34</v>
      </c>
      <c r="F19" s="75" t="s">
        <v>174</v>
      </c>
      <c r="G19" s="75" t="s">
        <v>175</v>
      </c>
      <c r="H19" s="75" t="str">
        <f>'E-Truck TH'!AS21</f>
        <v>Energy Efficiency</v>
      </c>
      <c r="O19" s="91"/>
      <c r="P19" s="74" t="s">
        <v>172</v>
      </c>
      <c r="Q19" s="74" t="s">
        <v>128</v>
      </c>
      <c r="R19" s="74" t="s">
        <v>175</v>
      </c>
      <c r="S19" s="74" t="s">
        <v>174</v>
      </c>
      <c r="T19" s="74" t="str">
        <f>'ICE-Truck TH'!AP21</f>
        <v>Energy Efficiency</v>
      </c>
    </row>
    <row r="20" spans="2:20" x14ac:dyDescent="0.25">
      <c r="B20" s="77">
        <f>'E-Truck TH'!AM22</f>
        <v>-50</v>
      </c>
      <c r="C20" s="78">
        <f>'E-Truck TH'!AN22</f>
        <v>-31.334378733128059</v>
      </c>
      <c r="D20" s="78">
        <f>'E-Truck TH'!AO22</f>
        <v>-6.013814651953564</v>
      </c>
      <c r="E20" s="78">
        <f>'E-Truck TH'!AP22</f>
        <v>-4.5180452752601878</v>
      </c>
      <c r="F20" s="78">
        <f>'E-Truck TH'!AQ22</f>
        <v>-27.020026746178566</v>
      </c>
      <c r="G20" s="78">
        <f>'E-Truck TH'!AR22</f>
        <v>-8.6627693469554448</v>
      </c>
      <c r="H20" s="78">
        <f>'E-Truck TH'!AS22</f>
        <v>6.0138146519535107</v>
      </c>
      <c r="O20" s="77">
        <f>'ICE-Truck TH'!AK22</f>
        <v>-50</v>
      </c>
      <c r="P20" s="79">
        <f>'ICE-Truck TH'!AL22</f>
        <v>-6.1609276276644458</v>
      </c>
      <c r="Q20" s="79">
        <f>'ICE-Truck TH'!AM22</f>
        <v>-30.826878875146811</v>
      </c>
      <c r="R20" s="79">
        <f>'ICE-Truck TH'!AN22</f>
        <v>-14.381101091813321</v>
      </c>
      <c r="S20" s="79">
        <f>'ICE-Truck TH'!AO22</f>
        <v>-45.207979966960146</v>
      </c>
      <c r="T20" s="79">
        <f>'ICE-Truck TH'!AP22</f>
        <v>30.826878875146889</v>
      </c>
    </row>
    <row r="21" spans="2:20" x14ac:dyDescent="0.25">
      <c r="B21" s="77">
        <f>'E-Truck TH'!AM23</f>
        <v>-40</v>
      </c>
      <c r="C21" s="78">
        <f>'E-Truck TH'!AN23</f>
        <v>-25.067502986502443</v>
      </c>
      <c r="D21" s="78">
        <f>'E-Truck TH'!AO23</f>
        <v>-4.8110517215628406</v>
      </c>
      <c r="E21" s="78">
        <f>'E-Truck TH'!AP23</f>
        <v>-3.6144362202081322</v>
      </c>
      <c r="F21" s="78">
        <f>'E-Truck TH'!AQ23</f>
        <v>-23.552773794971479</v>
      </c>
      <c r="G21" s="78">
        <f>'E-Truck TH'!AR23</f>
        <v>-6.9302154775643485</v>
      </c>
      <c r="H21" s="78">
        <f>'E-Truck TH'!AS23</f>
        <v>4.8110517215628219</v>
      </c>
      <c r="O21" s="77">
        <f>'ICE-Truck TH'!AK23</f>
        <v>-40</v>
      </c>
      <c r="P21" s="79">
        <f>'ICE-Truck TH'!AL23</f>
        <v>-4.9287421021315598</v>
      </c>
      <c r="Q21" s="79">
        <f>'ICE-Truck TH'!AM23</f>
        <v>-24.661503100117454</v>
      </c>
      <c r="R21" s="79">
        <f>'ICE-Truck TH'!AN23</f>
        <v>-11.504880873450658</v>
      </c>
      <c r="S21" s="79">
        <f>'ICE-Truck TH'!AO23</f>
        <v>-36.166383973568124</v>
      </c>
      <c r="T21" s="79">
        <f>'ICE-Truck TH'!AP23</f>
        <v>24.6615031001175</v>
      </c>
    </row>
    <row r="22" spans="2:20" x14ac:dyDescent="0.25">
      <c r="B22" s="77">
        <f>'E-Truck TH'!AM24</f>
        <v>-30</v>
      </c>
      <c r="C22" s="78">
        <f>'E-Truck TH'!AN24</f>
        <v>-18.800627239876842</v>
      </c>
      <c r="D22" s="78">
        <f>'E-Truck TH'!AO24</f>
        <v>-3.6082887911721344</v>
      </c>
      <c r="E22" s="78">
        <f>'E-Truck TH'!AP24</f>
        <v>-2.7108271651561129</v>
      </c>
      <c r="F22" s="78">
        <f>'E-Truck TH'!AQ24</f>
        <v>-20.617456995189677</v>
      </c>
      <c r="G22" s="78">
        <f>'E-Truck TH'!AR24</f>
        <v>-5.1976616081732878</v>
      </c>
      <c r="H22" s="78">
        <f>'E-Truck TH'!AS24</f>
        <v>3.6082887911721344</v>
      </c>
      <c r="O22" s="77">
        <f>'ICE-Truck TH'!AK24</f>
        <v>-30</v>
      </c>
      <c r="P22" s="79">
        <f>'ICE-Truck TH'!AL24</f>
        <v>-3.6965565765986743</v>
      </c>
      <c r="Q22" s="79">
        <f>'ICE-Truck TH'!AM24</f>
        <v>-18.496127325088089</v>
      </c>
      <c r="R22" s="79">
        <f>'ICE-Truck TH'!AN24</f>
        <v>-8.6286606550879803</v>
      </c>
      <c r="S22" s="79">
        <f>'ICE-Truck TH'!AO24</f>
        <v>-27.12478798017608</v>
      </c>
      <c r="T22" s="79">
        <f>'ICE-Truck TH'!AP24</f>
        <v>18.496127325088125</v>
      </c>
    </row>
    <row r="23" spans="2:20" x14ac:dyDescent="0.25">
      <c r="B23" s="77">
        <f>'E-Truck TH'!AM25</f>
        <v>-20</v>
      </c>
      <c r="C23" s="78">
        <f>'E-Truck TH'!AN25</f>
        <v>-12.533751493251263</v>
      </c>
      <c r="D23" s="78">
        <f>'E-Truck TH'!AO25</f>
        <v>-2.4055258607813936</v>
      </c>
      <c r="E23" s="78">
        <f>'E-Truck TH'!AP25</f>
        <v>-1.8072181101040752</v>
      </c>
      <c r="F23" s="78">
        <f>'E-Truck TH'!AQ25</f>
        <v>-13.748093589337598</v>
      </c>
      <c r="G23" s="78">
        <f>'E-Truck TH'!AR25</f>
        <v>-3.4651077387821743</v>
      </c>
      <c r="H23" s="78">
        <f>'E-Truck TH'!AS25</f>
        <v>2.4055258607814292</v>
      </c>
      <c r="O23" s="77">
        <f>'ICE-Truck TH'!AK25</f>
        <v>-20</v>
      </c>
      <c r="P23" s="79">
        <f>'ICE-Truck TH'!AL25</f>
        <v>-2.4643710510657715</v>
      </c>
      <c r="Q23" s="79">
        <f>'ICE-Truck TH'!AM25</f>
        <v>-12.330751550058695</v>
      </c>
      <c r="R23" s="79">
        <f>'ICE-Truck TH'!AN25</f>
        <v>-5.7524404367253208</v>
      </c>
      <c r="S23" s="79">
        <f>'ICE-Truck TH'!AO25</f>
        <v>-18.083191986784033</v>
      </c>
      <c r="T23" s="79">
        <f>'ICE-Truck TH'!AP25</f>
        <v>12.33075155005875</v>
      </c>
    </row>
    <row r="24" spans="2:20" x14ac:dyDescent="0.25">
      <c r="B24" s="77">
        <f>'E-Truck TH'!AM26</f>
        <v>-10</v>
      </c>
      <c r="C24" s="78">
        <f>'E-Truck TH'!AN26</f>
        <v>-6.2668757466256135</v>
      </c>
      <c r="D24" s="78">
        <f>'E-Truck TH'!AO26</f>
        <v>-1.2027629303907412</v>
      </c>
      <c r="E24" s="78">
        <f>'E-Truck TH'!AP26</f>
        <v>-0.90360905505205547</v>
      </c>
      <c r="F24" s="78">
        <f>'E-Truck TH'!AQ26</f>
        <v>-10.812776789555814</v>
      </c>
      <c r="G24" s="78">
        <f>'E-Truck TH'!AR26</f>
        <v>-1.7325538693910958</v>
      </c>
      <c r="H24" s="78">
        <f>'E-Truck TH'!AS26</f>
        <v>1.2027629303906879</v>
      </c>
      <c r="O24" s="77">
        <f>'ICE-Truck TH'!AK26</f>
        <v>-10</v>
      </c>
      <c r="P24" s="79">
        <f>'ICE-Truck TH'!AL26</f>
        <v>-1.2321855255328857</v>
      </c>
      <c r="Q24" s="79">
        <f>'ICE-Truck TH'!AM26</f>
        <v>-6.1653757750293563</v>
      </c>
      <c r="R24" s="79">
        <f>'ICE-Truck TH'!AN26</f>
        <v>-2.8762202183626422</v>
      </c>
      <c r="S24" s="79">
        <f>'ICE-Truck TH'!AO26</f>
        <v>-9.0415959933919989</v>
      </c>
      <c r="T24" s="79">
        <f>'ICE-Truck TH'!AP26</f>
        <v>6.1653757750293918</v>
      </c>
    </row>
    <row r="25" spans="2:20" x14ac:dyDescent="0.25">
      <c r="B25" s="77">
        <f>'E-Truck TH'!AM27</f>
        <v>0</v>
      </c>
      <c r="C25" s="78">
        <f>'E-Truck TH'!AN27</f>
        <v>0</v>
      </c>
      <c r="D25" s="78">
        <f>'E-Truck TH'!AO27</f>
        <v>0</v>
      </c>
      <c r="E25" s="78">
        <f>'E-Truck TH'!AP27</f>
        <v>0</v>
      </c>
      <c r="F25" s="78">
        <f>'E-Truck TH'!AQ27</f>
        <v>0</v>
      </c>
      <c r="G25" s="78">
        <f>'E-Truck TH'!AR27</f>
        <v>0</v>
      </c>
      <c r="H25" s="78">
        <f>'E-Truck TH'!AS27</f>
        <v>0</v>
      </c>
      <c r="O25" s="77">
        <f>'ICE-Truck TH'!AK27</f>
        <v>0</v>
      </c>
      <c r="P25" s="79">
        <f>'ICE-Truck TH'!AL27</f>
        <v>0</v>
      </c>
      <c r="Q25" s="79">
        <f>'ICE-Truck TH'!AM27</f>
        <v>0</v>
      </c>
      <c r="R25" s="79">
        <f>'ICE-Truck TH'!AN27</f>
        <v>0</v>
      </c>
      <c r="S25" s="79">
        <f>'ICE-Truck TH'!AO27</f>
        <v>0</v>
      </c>
      <c r="T25" s="79">
        <f>'ICE-Truck TH'!AP27</f>
        <v>0</v>
      </c>
    </row>
    <row r="26" spans="2:20" x14ac:dyDescent="0.25">
      <c r="B26" s="77">
        <f>'E-Truck TH'!AM28</f>
        <v>10</v>
      </c>
      <c r="C26" s="78">
        <f>'E-Truck TH'!AN28</f>
        <v>6.2668757466256135</v>
      </c>
      <c r="D26" s="78">
        <f>'E-Truck TH'!AO28</f>
        <v>1.2027629303906879</v>
      </c>
      <c r="E26" s="78">
        <f>'E-Truck TH'!AP28</f>
        <v>0.90360905505201972</v>
      </c>
      <c r="F26" s="78">
        <f>'E-Truck TH'!AQ28</f>
        <v>2.9353167997817837</v>
      </c>
      <c r="G26" s="78">
        <f>'E-Truck TH'!AR28</f>
        <v>1.732553869391078</v>
      </c>
      <c r="H26" s="78">
        <f>'E-Truck TH'!AS28</f>
        <v>-1.2027629303907412</v>
      </c>
      <c r="O26" s="77">
        <f>'ICE-Truck TH'!AK28</f>
        <v>10</v>
      </c>
      <c r="P26" s="79">
        <f>'ICE-Truck TH'!AL28</f>
        <v>1.2321855255329033</v>
      </c>
      <c r="Q26" s="79">
        <f>'ICE-Truck TH'!AM28</f>
        <v>6.1653757750293918</v>
      </c>
      <c r="R26" s="79">
        <f>'ICE-Truck TH'!AN28</f>
        <v>2.8762202183626782</v>
      </c>
      <c r="S26" s="79">
        <f>'ICE-Truck TH'!AO28</f>
        <v>9.0415959933920522</v>
      </c>
      <c r="T26" s="79">
        <f>'ICE-Truck TH'!AP28</f>
        <v>-6.1653757750293563</v>
      </c>
    </row>
    <row r="27" spans="2:20" x14ac:dyDescent="0.25">
      <c r="B27" s="77">
        <f>'E-Truck TH'!AM29</f>
        <v>20</v>
      </c>
      <c r="C27" s="78">
        <f>'E-Truck TH'!AN29</f>
        <v>12.533751493251227</v>
      </c>
      <c r="D27" s="78">
        <f>'E-Truck TH'!AO29</f>
        <v>2.405525860781411</v>
      </c>
      <c r="E27" s="78">
        <f>'E-Truck TH'!AP29</f>
        <v>1.8072181101040574</v>
      </c>
      <c r="F27" s="78">
        <f>'E-Truck TH'!AQ29</f>
        <v>5.8706335995635861</v>
      </c>
      <c r="G27" s="78">
        <f>'E-Truck TH'!AR29</f>
        <v>3.4651077387821561</v>
      </c>
      <c r="H27" s="78">
        <f>'E-Truck TH'!AS29</f>
        <v>-2.4055258607813936</v>
      </c>
      <c r="O27" s="77">
        <f>'ICE-Truck TH'!AK29</f>
        <v>20</v>
      </c>
      <c r="P27" s="79">
        <f>'ICE-Truck TH'!AL29</f>
        <v>2.4643710510657888</v>
      </c>
      <c r="Q27" s="79">
        <f>'ICE-Truck TH'!AM29</f>
        <v>12.33075155005875</v>
      </c>
      <c r="R27" s="79">
        <f>'ICE-Truck TH'!AN29</f>
        <v>5.7524404367253563</v>
      </c>
      <c r="S27" s="79">
        <f>'ICE-Truck TH'!AO29</f>
        <v>18.083191986784069</v>
      </c>
      <c r="T27" s="79">
        <f>'ICE-Truck TH'!AP29</f>
        <v>-12.330751550058713</v>
      </c>
    </row>
    <row r="28" spans="2:20" x14ac:dyDescent="0.25">
      <c r="B28" s="77">
        <f>'E-Truck TH'!AM30</f>
        <v>30</v>
      </c>
      <c r="C28" s="78">
        <f>'E-Truck TH'!AN30</f>
        <v>18.800627239876803</v>
      </c>
      <c r="D28" s="78">
        <f>'E-Truck TH'!AO30</f>
        <v>3.6082887911721344</v>
      </c>
      <c r="E28" s="78">
        <f>'E-Truck TH'!AP30</f>
        <v>2.7108271651560951</v>
      </c>
      <c r="F28" s="78">
        <f>'E-Truck TH'!AQ30</f>
        <v>8.8059503993453507</v>
      </c>
      <c r="G28" s="78">
        <f>'E-Truck TH'!AR30</f>
        <v>5.1976616081732523</v>
      </c>
      <c r="H28" s="78">
        <f>'E-Truck TH'!AS30</f>
        <v>-3.6082887911721344</v>
      </c>
      <c r="O28" s="77">
        <f>'ICE-Truck TH'!AK30</f>
        <v>30</v>
      </c>
      <c r="P28" s="79">
        <f>'ICE-Truck TH'!AL30</f>
        <v>3.6965565765986925</v>
      </c>
      <c r="Q28" s="79">
        <f>'ICE-Truck TH'!AM30</f>
        <v>18.496127325088125</v>
      </c>
      <c r="R28" s="79">
        <f>'ICE-Truck TH'!AN30</f>
        <v>8.6286606550880336</v>
      </c>
      <c r="S28" s="79">
        <f>'ICE-Truck TH'!AO30</f>
        <v>27.124787980176141</v>
      </c>
      <c r="T28" s="79">
        <f>'ICE-Truck TH'!AP30</f>
        <v>-18.496127325088089</v>
      </c>
    </row>
    <row r="29" spans="2:20" x14ac:dyDescent="0.25">
      <c r="B29" s="77">
        <f>'E-Truck TH'!AM31</f>
        <v>40</v>
      </c>
      <c r="C29" s="78">
        <f>'E-Truck TH'!AN31</f>
        <v>25.067502986502422</v>
      </c>
      <c r="D29" s="78">
        <f>'E-Truck TH'!AO31</f>
        <v>4.8110517215628219</v>
      </c>
      <c r="E29" s="78">
        <f>'E-Truck TH'!AP31</f>
        <v>3.6144362202081148</v>
      </c>
      <c r="F29" s="78">
        <f>'E-Truck TH'!AQ31</f>
        <v>11.741267199127188</v>
      </c>
      <c r="G29" s="78">
        <f>'E-Truck TH'!AR31</f>
        <v>6.9302154775643485</v>
      </c>
      <c r="H29" s="78">
        <f>'E-Truck TH'!AS31</f>
        <v>-4.8110517215628406</v>
      </c>
      <c r="O29" s="77">
        <f>'ICE-Truck TH'!AK31</f>
        <v>40</v>
      </c>
      <c r="P29" s="79">
        <f>'ICE-Truck TH'!AL31</f>
        <v>4.9287421021315776</v>
      </c>
      <c r="Q29" s="79">
        <f>'ICE-Truck TH'!AM31</f>
        <v>24.6615031001175</v>
      </c>
      <c r="R29" s="79">
        <f>'ICE-Truck TH'!AN31</f>
        <v>11.504880873450677</v>
      </c>
      <c r="S29" s="79">
        <f>'ICE-Truck TH'!AO31</f>
        <v>36.166383973568159</v>
      </c>
      <c r="T29" s="79">
        <f>'ICE-Truck TH'!AP31</f>
        <v>-24.661503100117447</v>
      </c>
    </row>
    <row r="30" spans="2:20" x14ac:dyDescent="0.25">
      <c r="B30" s="77">
        <f>'E-Truck TH'!AM32</f>
        <v>50</v>
      </c>
      <c r="C30" s="78">
        <f>'E-Truck TH'!AN32</f>
        <v>31.334378733128066</v>
      </c>
      <c r="D30" s="78">
        <f>'E-Truck TH'!AO32</f>
        <v>6.0138146519535107</v>
      </c>
      <c r="E30" s="78">
        <f>'E-Truck TH'!AP32</f>
        <v>4.5180452752601523</v>
      </c>
      <c r="F30" s="78">
        <f>'E-Truck TH'!AQ32</f>
        <v>35.281640598553594</v>
      </c>
      <c r="G30" s="78">
        <f>'E-Truck TH'!AR32</f>
        <v>8.6627693469554075</v>
      </c>
      <c r="H30" s="78">
        <f>'E-Truck TH'!AS32</f>
        <v>-6.013814651953564</v>
      </c>
      <c r="O30" s="77">
        <f>'ICE-Truck TH'!AK32</f>
        <v>50</v>
      </c>
      <c r="P30" s="79">
        <f>'ICE-Truck TH'!AL32</f>
        <v>6.1609276276644636</v>
      </c>
      <c r="Q30" s="79">
        <f>'ICE-Truck TH'!AM32</f>
        <v>30.826878875146889</v>
      </c>
      <c r="R30" s="79">
        <f>'ICE-Truck TH'!AN32</f>
        <v>14.381101091813337</v>
      </c>
      <c r="S30" s="79">
        <f>'ICE-Truck TH'!AO32</f>
        <v>45.207979966960195</v>
      </c>
      <c r="T30" s="79">
        <f>'ICE-Truck TH'!AP32</f>
        <v>-30.826878875146811</v>
      </c>
    </row>
    <row r="32" spans="2:20" x14ac:dyDescent="0.25">
      <c r="B32" s="73" t="s">
        <v>178</v>
      </c>
      <c r="O32" s="73" t="s">
        <v>179</v>
      </c>
    </row>
    <row r="33" spans="2:20" x14ac:dyDescent="0.25">
      <c r="B33" s="91" t="s">
        <v>185</v>
      </c>
      <c r="C33" s="92" t="s">
        <v>184</v>
      </c>
      <c r="D33" s="92"/>
      <c r="E33" s="92"/>
      <c r="F33" s="92"/>
      <c r="G33" s="92"/>
      <c r="H33" s="85"/>
      <c r="O33" s="91" t="s">
        <v>185</v>
      </c>
      <c r="P33" s="93" t="s">
        <v>184</v>
      </c>
      <c r="Q33" s="93"/>
      <c r="R33" s="93"/>
      <c r="S33" s="93"/>
      <c r="T33" s="75"/>
    </row>
    <row r="34" spans="2:20" x14ac:dyDescent="0.25">
      <c r="B34" s="91"/>
      <c r="C34" s="75" t="s">
        <v>172</v>
      </c>
      <c r="D34" s="75" t="s">
        <v>173</v>
      </c>
      <c r="E34" s="75" t="s">
        <v>34</v>
      </c>
      <c r="F34" s="75" t="s">
        <v>174</v>
      </c>
      <c r="G34" s="75" t="s">
        <v>175</v>
      </c>
      <c r="H34" s="75" t="str">
        <f>'E-Cargo TH'!AS21</f>
        <v>Energy Efficiency</v>
      </c>
      <c r="O34" s="91"/>
      <c r="P34" s="74" t="s">
        <v>172</v>
      </c>
      <c r="Q34" s="74" t="s">
        <v>128</v>
      </c>
      <c r="R34" s="74" t="s">
        <v>175</v>
      </c>
      <c r="S34" s="74" t="s">
        <v>174</v>
      </c>
      <c r="T34" s="74" t="str">
        <f>'ICE-Cargo TH'!AP21</f>
        <v>Energy Efficiency</v>
      </c>
    </row>
    <row r="35" spans="2:20" x14ac:dyDescent="0.25">
      <c r="B35" s="80">
        <f>'E-Cargo TH'!AM22</f>
        <v>-50</v>
      </c>
      <c r="C35" s="78">
        <f>'E-Cargo TH'!AN22</f>
        <v>-38.484104622912902</v>
      </c>
      <c r="D35" s="78">
        <f>'E-Cargo TH'!AO22</f>
        <v>-8.1857231243426618</v>
      </c>
      <c r="E35" s="78">
        <f>'E-Cargo TH'!AP22</f>
        <v>-10.527463801339621</v>
      </c>
      <c r="F35" s="78">
        <f>'E-Cargo TH'!AQ22</f>
        <v>-23.7918429107831</v>
      </c>
      <c r="G35" s="78">
        <f>'E-Cargo TH'!AR22</f>
        <v>-6.5475242627844752</v>
      </c>
      <c r="H35" s="78">
        <f>'E-Cargo TH'!AS22</f>
        <v>8.1857231243427009</v>
      </c>
      <c r="O35" s="77">
        <f>'ICE-Cargo TH'!AK22</f>
        <v>-50</v>
      </c>
      <c r="P35" s="79">
        <f>'ICE-Cargo TH'!AL22</f>
        <v>-15.090338283968252</v>
      </c>
      <c r="Q35" s="79">
        <f>'ICE-Cargo TH'!AM22</f>
        <v>-28.871783746588232</v>
      </c>
      <c r="R35" s="79">
        <f>'ICE-Cargo TH'!AN22</f>
        <v>-9.3930202369186802</v>
      </c>
      <c r="S35" s="79">
        <f>'ICE-Cargo TH'!AO22</f>
        <v>-38.264803983506887</v>
      </c>
      <c r="T35" s="79">
        <f>'ICE-Cargo TH'!AP22</f>
        <v>28.871783746588207</v>
      </c>
    </row>
    <row r="36" spans="2:20" x14ac:dyDescent="0.25">
      <c r="B36" s="80">
        <f>'E-Cargo TH'!AM23</f>
        <v>-40</v>
      </c>
      <c r="C36" s="78">
        <f>'E-Cargo TH'!AN23</f>
        <v>-30.787283698330327</v>
      </c>
      <c r="D36" s="78">
        <f>'E-Cargo TH'!AO23</f>
        <v>-6.5485784994741651</v>
      </c>
      <c r="E36" s="78">
        <f>'E-Cargo TH'!AP23</f>
        <v>-8.4219710410717283</v>
      </c>
      <c r="F36" s="78">
        <f>'E-Cargo TH'!AQ23</f>
        <v>-13.392664477907257</v>
      </c>
      <c r="G36" s="78">
        <f>'E-Cargo TH'!AR23</f>
        <v>-5.2380194102275679</v>
      </c>
      <c r="H36" s="78">
        <f>'E-Cargo TH'!AS23</f>
        <v>6.5485784994741252</v>
      </c>
      <c r="O36" s="77">
        <f>'ICE-Cargo TH'!AK23</f>
        <v>-40</v>
      </c>
      <c r="P36" s="79">
        <f>'ICE-Cargo TH'!AL23</f>
        <v>-12.072270627174603</v>
      </c>
      <c r="Q36" s="79">
        <f>'ICE-Cargo TH'!AM23</f>
        <v>-23.097426997270585</v>
      </c>
      <c r="R36" s="79">
        <f>'ICE-Cargo TH'!AN23</f>
        <v>-7.5144161895349351</v>
      </c>
      <c r="S36" s="79">
        <f>'ICE-Cargo TH'!AO23</f>
        <v>-30.611843186805523</v>
      </c>
      <c r="T36" s="79">
        <f>'ICE-Cargo TH'!AP23</f>
        <v>23.097426997270549</v>
      </c>
    </row>
    <row r="37" spans="2:20" x14ac:dyDescent="0.25">
      <c r="B37" s="80">
        <f>'E-Cargo TH'!AM24</f>
        <v>-30</v>
      </c>
      <c r="C37" s="78">
        <f>'E-Cargo TH'!AN24</f>
        <v>-23.090462773747749</v>
      </c>
      <c r="D37" s="78">
        <f>'E-Cargo TH'!AO24</f>
        <v>-4.911433874605609</v>
      </c>
      <c r="E37" s="78">
        <f>'E-Cargo TH'!AP24</f>
        <v>-6.3164782808037767</v>
      </c>
      <c r="F37" s="78">
        <f>'E-Cargo TH'!AQ24</f>
        <v>-10.073388552709297</v>
      </c>
      <c r="G37" s="78">
        <f>'E-Cargo TH'!AR24</f>
        <v>-3.928514557670701</v>
      </c>
      <c r="H37" s="78">
        <f>'E-Cargo TH'!AS24</f>
        <v>4.911433874605609</v>
      </c>
      <c r="O37" s="77">
        <f>'ICE-Cargo TH'!AK24</f>
        <v>-30</v>
      </c>
      <c r="P37" s="79">
        <f>'ICE-Cargo TH'!AL24</f>
        <v>-9.0542029703809543</v>
      </c>
      <c r="Q37" s="79">
        <f>'ICE-Cargo TH'!AM24</f>
        <v>-17.323070247952938</v>
      </c>
      <c r="R37" s="79">
        <f>'ICE-Cargo TH'!AN24</f>
        <v>-5.6358121421512131</v>
      </c>
      <c r="S37" s="79">
        <f>'ICE-Cargo TH'!AO24</f>
        <v>-22.958882390104161</v>
      </c>
      <c r="T37" s="79">
        <f>'ICE-Cargo TH'!AP24</f>
        <v>17.323070247952916</v>
      </c>
    </row>
    <row r="38" spans="2:20" x14ac:dyDescent="0.25">
      <c r="B38" s="80">
        <f>'E-Cargo TH'!AM25</f>
        <v>-20</v>
      </c>
      <c r="C38" s="78">
        <f>'E-Cargo TH'!AN25</f>
        <v>-15.393641849165151</v>
      </c>
      <c r="D38" s="78">
        <f>'E-Cargo TH'!AO25</f>
        <v>-3.2742892497370328</v>
      </c>
      <c r="E38" s="78">
        <f>'E-Cargo TH'!AP25</f>
        <v>-4.2109855205358437</v>
      </c>
      <c r="F38" s="78">
        <f>'E-Cargo TH'!AQ25</f>
        <v>-6.7354813051226774</v>
      </c>
      <c r="G38" s="78">
        <f>'E-Cargo TH'!AR25</f>
        <v>-2.6190097051137942</v>
      </c>
      <c r="H38" s="78">
        <f>'E-Cargo TH'!AS25</f>
        <v>3.2742892497370528</v>
      </c>
      <c r="O38" s="77">
        <f>'ICE-Cargo TH'!AK25</f>
        <v>-20</v>
      </c>
      <c r="P38" s="79">
        <f>'ICE-Cargo TH'!AL25</f>
        <v>-6.0361353135872955</v>
      </c>
      <c r="Q38" s="79">
        <f>'ICE-Cargo TH'!AM25</f>
        <v>-11.548713498635292</v>
      </c>
      <c r="R38" s="79">
        <f>'ICE-Cargo TH'!AN25</f>
        <v>-3.7572080947674786</v>
      </c>
      <c r="S38" s="79">
        <f>'ICE-Cargo TH'!AO25</f>
        <v>-15.305921593402761</v>
      </c>
      <c r="T38" s="79">
        <f>'ICE-Cargo TH'!AP25</f>
        <v>11.548713498635257</v>
      </c>
    </row>
    <row r="39" spans="2:20" x14ac:dyDescent="0.25">
      <c r="B39" s="80">
        <f>'E-Cargo TH'!AM26</f>
        <v>-10</v>
      </c>
      <c r="C39" s="78">
        <f>'E-Cargo TH'!AN26</f>
        <v>-7.6968209245825969</v>
      </c>
      <c r="D39" s="78">
        <f>'E-Cargo TH'!AO26</f>
        <v>-1.6371446248685366</v>
      </c>
      <c r="E39" s="78">
        <f>'E-Cargo TH'!AP26</f>
        <v>-2.1054927602678921</v>
      </c>
      <c r="F39" s="78">
        <f>'E-Cargo TH'!AQ26</f>
        <v>-3.3780111690280958</v>
      </c>
      <c r="G39" s="78">
        <f>'E-Cargo TH'!AR26</f>
        <v>-1.3095048525568871</v>
      </c>
      <c r="H39" s="78">
        <f>'E-Cargo TH'!AS26</f>
        <v>1.6371446248685366</v>
      </c>
      <c r="O39" s="77">
        <f>'ICE-Cargo TH'!AK26</f>
        <v>-10</v>
      </c>
      <c r="P39" s="79">
        <f>'ICE-Cargo TH'!AL26</f>
        <v>-3.0180676567936593</v>
      </c>
      <c r="Q39" s="79">
        <f>'ICE-Cargo TH'!AM26</f>
        <v>-5.7743567493176231</v>
      </c>
      <c r="R39" s="79">
        <f>'ICE-Cargo TH'!AN26</f>
        <v>-1.8786040473837338</v>
      </c>
      <c r="S39" s="79">
        <f>'ICE-Cargo TH'!AO26</f>
        <v>-7.6529607967013913</v>
      </c>
      <c r="T39" s="79">
        <f>'ICE-Cargo TH'!AP26</f>
        <v>5.7743567493176462</v>
      </c>
    </row>
    <row r="40" spans="2:20" x14ac:dyDescent="0.25">
      <c r="B40" s="80">
        <f>'E-Cargo TH'!AM27</f>
        <v>0</v>
      </c>
      <c r="C40" s="78">
        <f>'E-Cargo TH'!AN27</f>
        <v>0</v>
      </c>
      <c r="D40" s="78">
        <f>'E-Cargo TH'!AO27</f>
        <v>0</v>
      </c>
      <c r="E40" s="78">
        <f>'E-Cargo TH'!AP27</f>
        <v>0</v>
      </c>
      <c r="F40" s="78">
        <f>'E-Cargo TH'!AQ27</f>
        <v>0</v>
      </c>
      <c r="G40" s="78">
        <f>'E-Cargo TH'!AR27</f>
        <v>0</v>
      </c>
      <c r="H40" s="78">
        <f>'E-Cargo TH'!AS27</f>
        <v>0</v>
      </c>
      <c r="O40" s="77">
        <f>'ICE-Cargo TH'!AK27</f>
        <v>0</v>
      </c>
      <c r="P40" s="79">
        <f>'ICE-Cargo TH'!AL27</f>
        <v>0</v>
      </c>
      <c r="Q40" s="79">
        <f>'ICE-Cargo TH'!AM27</f>
        <v>0</v>
      </c>
      <c r="R40" s="79">
        <f>'ICE-Cargo TH'!AN27</f>
        <v>0</v>
      </c>
      <c r="S40" s="79">
        <f>'ICE-Cargo TH'!AO27</f>
        <v>0</v>
      </c>
      <c r="T40" s="79">
        <f>'ICE-Cargo TH'!AP27</f>
        <v>0</v>
      </c>
    </row>
    <row r="41" spans="2:20" x14ac:dyDescent="0.25">
      <c r="B41" s="80">
        <f>'E-Cargo TH'!AM28</f>
        <v>10</v>
      </c>
      <c r="C41" s="78">
        <f>'E-Cargo TH'!AN28</f>
        <v>7.6968209245825969</v>
      </c>
      <c r="D41" s="78">
        <f>'E-Cargo TH'!AO28</f>
        <v>1.6371446248685366</v>
      </c>
      <c r="E41" s="78">
        <f>'E-Cargo TH'!AP28</f>
        <v>2.1054927602679121</v>
      </c>
      <c r="F41" s="78">
        <f>'E-Cargo TH'!AQ28</f>
        <v>10.852108209058626</v>
      </c>
      <c r="G41" s="78">
        <f>'E-Cargo TH'!AR28</f>
        <v>1.3095048525568871</v>
      </c>
      <c r="H41" s="78">
        <f>'E-Cargo TH'!AS28</f>
        <v>-1.6371446248685366</v>
      </c>
      <c r="O41" s="77">
        <f>'ICE-Cargo TH'!AK28</f>
        <v>10</v>
      </c>
      <c r="P41" s="79">
        <f>'ICE-Cargo TH'!AL28</f>
        <v>3.0180676567936366</v>
      </c>
      <c r="Q41" s="79">
        <f>'ICE-Cargo TH'!AM28</f>
        <v>5.7743567493176462</v>
      </c>
      <c r="R41" s="79">
        <f>'ICE-Cargo TH'!AN28</f>
        <v>1.8786040473837224</v>
      </c>
      <c r="S41" s="79">
        <f>'ICE-Cargo TH'!AO28</f>
        <v>7.6529607967013673</v>
      </c>
      <c r="T41" s="79">
        <f>'ICE-Cargo TH'!AP28</f>
        <v>-5.7743567493176231</v>
      </c>
    </row>
    <row r="42" spans="2:20" x14ac:dyDescent="0.25">
      <c r="B42" s="80">
        <f>'E-Cargo TH'!AM29</f>
        <v>20</v>
      </c>
      <c r="C42" s="78">
        <f>'E-Cargo TH'!AN29</f>
        <v>15.393641849165112</v>
      </c>
      <c r="D42" s="78">
        <f>'E-Cargo TH'!AO29</f>
        <v>3.2742892497370528</v>
      </c>
      <c r="E42" s="78">
        <f>'E-Cargo TH'!AP29</f>
        <v>4.2109855205358437</v>
      </c>
      <c r="F42" s="78">
        <f>'E-Cargo TH'!AQ29</f>
        <v>13.79875768648405</v>
      </c>
      <c r="G42" s="78">
        <f>'E-Cargo TH'!AR29</f>
        <v>2.6190097051137542</v>
      </c>
      <c r="H42" s="78">
        <f>'E-Cargo TH'!AS29</f>
        <v>-3.2742892497370328</v>
      </c>
      <c r="O42" s="77">
        <f>'ICE-Cargo TH'!AK29</f>
        <v>20</v>
      </c>
      <c r="P42" s="79">
        <f>'ICE-Cargo TH'!AL29</f>
        <v>6.0361353135873079</v>
      </c>
      <c r="Q42" s="79">
        <f>'ICE-Cargo TH'!AM29</f>
        <v>11.548713498635257</v>
      </c>
      <c r="R42" s="79">
        <f>'ICE-Cargo TH'!AN29</f>
        <v>3.7572080947674564</v>
      </c>
      <c r="S42" s="79">
        <f>'ICE-Cargo TH'!AO29</f>
        <v>15.305921593402724</v>
      </c>
      <c r="T42" s="79">
        <f>'ICE-Cargo TH'!AP29</f>
        <v>-11.548713498635292</v>
      </c>
    </row>
    <row r="43" spans="2:20" x14ac:dyDescent="0.25">
      <c r="B43" s="80">
        <f>'E-Cargo TH'!AM30</f>
        <v>30</v>
      </c>
      <c r="C43" s="78">
        <f>'E-Cargo TH'!AN30</f>
        <v>23.090462773747749</v>
      </c>
      <c r="D43" s="78">
        <f>'E-Cargo TH'!AO30</f>
        <v>4.911433874605609</v>
      </c>
      <c r="E43" s="78">
        <f>'E-Cargo TH'!AP30</f>
        <v>6.3164782808037971</v>
      </c>
      <c r="F43" s="78">
        <f>'E-Cargo TH'!AQ30</f>
        <v>17.984867646835145</v>
      </c>
      <c r="G43" s="78">
        <f>'E-Cargo TH'!AR30</f>
        <v>3.928514557670701</v>
      </c>
      <c r="H43" s="78">
        <f>'E-Cargo TH'!AS30</f>
        <v>-4.911433874605609</v>
      </c>
      <c r="O43" s="77">
        <f>'ICE-Cargo TH'!AK30</f>
        <v>30</v>
      </c>
      <c r="P43" s="79">
        <f>'ICE-Cargo TH'!AL30</f>
        <v>9.054202970380933</v>
      </c>
      <c r="Q43" s="79">
        <f>'ICE-Cargo TH'!AM30</f>
        <v>17.323070247952916</v>
      </c>
      <c r="R43" s="79">
        <f>'ICE-Cargo TH'!AN30</f>
        <v>5.6358121421511784</v>
      </c>
      <c r="S43" s="79">
        <f>'ICE-Cargo TH'!AO30</f>
        <v>22.958882390104126</v>
      </c>
      <c r="T43" s="79">
        <f>'ICE-Cargo TH'!AP30</f>
        <v>-17.323070247952938</v>
      </c>
    </row>
    <row r="44" spans="2:20" x14ac:dyDescent="0.25">
      <c r="B44" s="80">
        <f>'E-Cargo TH'!AM31</f>
        <v>40</v>
      </c>
      <c r="C44" s="78">
        <f>'E-Cargo TH'!AN31</f>
        <v>30.787283698330302</v>
      </c>
      <c r="D44" s="78">
        <f>'E-Cargo TH'!AO31</f>
        <v>6.5485784994741252</v>
      </c>
      <c r="E44" s="78">
        <f>'E-Cargo TH'!AP31</f>
        <v>8.4219710410716484</v>
      </c>
      <c r="F44" s="78">
        <f>'E-Cargo TH'!AQ31</f>
        <v>20.93151712426053</v>
      </c>
      <c r="G44" s="78">
        <f>'E-Cargo TH'!AR31</f>
        <v>5.2380194102275679</v>
      </c>
      <c r="H44" s="78">
        <f>'E-Cargo TH'!AS31</f>
        <v>-6.5485784994741651</v>
      </c>
      <c r="O44" s="77">
        <f>'ICE-Cargo TH'!AK31</f>
        <v>40</v>
      </c>
      <c r="P44" s="79">
        <f>'ICE-Cargo TH'!AL31</f>
        <v>12.072270627174559</v>
      </c>
      <c r="Q44" s="79">
        <f>'ICE-Cargo TH'!AM31</f>
        <v>23.097426997270549</v>
      </c>
      <c r="R44" s="79">
        <f>'ICE-Cargo TH'!AN31</f>
        <v>7.5144161895349466</v>
      </c>
      <c r="S44" s="79">
        <f>'ICE-Cargo TH'!AO31</f>
        <v>30.611843186805487</v>
      </c>
      <c r="T44" s="79">
        <f>'ICE-Cargo TH'!AP31</f>
        <v>-23.097426997270585</v>
      </c>
    </row>
    <row r="45" spans="2:20" x14ac:dyDescent="0.25">
      <c r="B45" s="80">
        <f>'E-Cargo TH'!AM32</f>
        <v>50</v>
      </c>
      <c r="C45" s="78">
        <f>'E-Cargo TH'!AN32</f>
        <v>38.484104622912859</v>
      </c>
      <c r="D45" s="78">
        <f>'E-Cargo TH'!AO32</f>
        <v>8.1857231243427009</v>
      </c>
      <c r="E45" s="78">
        <f>'E-Cargo TH'!AP32</f>
        <v>10.527463801339602</v>
      </c>
      <c r="F45" s="78">
        <f>'E-Cargo TH'!AQ32</f>
        <v>23.878166601685951</v>
      </c>
      <c r="G45" s="78">
        <f>'E-Cargo TH'!AR32</f>
        <v>6.5475242627844557</v>
      </c>
      <c r="H45" s="78">
        <f>'E-Cargo TH'!AS32</f>
        <v>-8.1857231243426618</v>
      </c>
      <c r="O45" s="77">
        <f>'ICE-Cargo TH'!AK32</f>
        <v>50</v>
      </c>
      <c r="P45" s="79">
        <f>'ICE-Cargo TH'!AL32</f>
        <v>15.090338283968229</v>
      </c>
      <c r="Q45" s="79">
        <f>'ICE-Cargo TH'!AM32</f>
        <v>28.871783746588207</v>
      </c>
      <c r="R45" s="79">
        <f>'ICE-Cargo TH'!AN32</f>
        <v>9.3930202369186464</v>
      </c>
      <c r="S45" s="79">
        <f>'ICE-Cargo TH'!AO32</f>
        <v>38.264803983506887</v>
      </c>
      <c r="T45" s="79">
        <f>'ICE-Cargo TH'!AP32</f>
        <v>-28.871783746588232</v>
      </c>
    </row>
  </sheetData>
  <mergeCells count="12">
    <mergeCell ref="B33:B34"/>
    <mergeCell ref="C33:G33"/>
    <mergeCell ref="O33:O34"/>
    <mergeCell ref="P33:S33"/>
    <mergeCell ref="B3:B4"/>
    <mergeCell ref="C3:G3"/>
    <mergeCell ref="O3:O4"/>
    <mergeCell ref="P3:S3"/>
    <mergeCell ref="B18:B19"/>
    <mergeCell ref="C18:G18"/>
    <mergeCell ref="O18:O19"/>
    <mergeCell ref="P18:S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E-Bus TH</vt:lpstr>
      <vt:lpstr>ICE-Bus TH</vt:lpstr>
      <vt:lpstr>E-Truck TH</vt:lpstr>
      <vt:lpstr>ICE-Truck TH</vt:lpstr>
      <vt:lpstr>E-Cargo TH</vt:lpstr>
      <vt:lpstr>ICE-Cargo TH</vt:lpstr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Indra Al Irsyad</dc:creator>
  <cp:lastModifiedBy>Valentinus Tri Frebrina Harisetyawan</cp:lastModifiedBy>
  <dcterms:created xsi:type="dcterms:W3CDTF">2015-06-05T18:17:20Z</dcterms:created>
  <dcterms:modified xsi:type="dcterms:W3CDTF">2024-09-30T05:16:51Z</dcterms:modified>
</cp:coreProperties>
</file>