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esktop\Bootcamp\Excel\assignment 1\"/>
    </mc:Choice>
  </mc:AlternateContent>
  <xr:revisionPtr revIDLastSave="0" documentId="13_ncr:1_{81B9C1B9-882B-43D1-9E52-423738935B3A}" xr6:coauthVersionLast="47" xr6:coauthVersionMax="47" xr10:uidLastSave="{00000000-0000-0000-0000-000000000000}"/>
  <bookViews>
    <workbookView xWindow="7470" yWindow="5535" windowWidth="28800" windowHeight="15345" xr2:uid="{00000000-000D-0000-FFFF-FFFF00000000}"/>
  </bookViews>
  <sheets>
    <sheet name="Crowdfunding" sheetId="1" r:id="rId1"/>
    <sheet name="Outcome Year" sheetId="4" r:id="rId2"/>
    <sheet name="Backers Statistics" sheetId="7" r:id="rId3"/>
    <sheet name="Pivot Table 1" sheetId="2" r:id="rId4"/>
    <sheet name="Pivot Table 2" sheetId="3" r:id="rId5"/>
    <sheet name="Goal Outcome" sheetId="5" r:id="rId6"/>
  </sheets>
  <definedNames>
    <definedName name="_xlchart.v1.0" hidden="1">'Backers Statistics'!$F$2:$F$365</definedName>
    <definedName name="_xlchart.v1.1" hidden="1">'Backers Statistics'!$B$2:$B$566</definedName>
    <definedName name="_xlchart.v1.2" hidden="1">'Backers Statistics'!$F$2:$F$365</definedName>
    <definedName name="_xlchart.v1.3" hidden="1">'Backers Statistics'!$B$2:$B$566</definedName>
    <definedName name="failed_backers">'Backers Statistics'!$F$2:$F$365</definedName>
    <definedName name="Goal">Crowdfunding!$D:$D</definedName>
    <definedName name="Outcome">Crowdfunding!$F:$F</definedName>
    <definedName name="successful_backers">'Backers Statistics'!$B$2:$B$566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G6" i="2" l="1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H5" i="2"/>
  <c r="G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6" i="3"/>
  <c r="K7" i="7"/>
  <c r="K6" i="7"/>
  <c r="K5" i="7"/>
  <c r="K4" i="7"/>
  <c r="K3" i="7"/>
  <c r="K2" i="7"/>
  <c r="J7" i="7"/>
  <c r="J6" i="7"/>
  <c r="J5" i="7"/>
  <c r="J4" i="7"/>
  <c r="J3" i="7"/>
  <c r="J2" i="7"/>
  <c r="D7" i="5"/>
  <c r="D8" i="5"/>
  <c r="C8" i="5"/>
  <c r="D9" i="5"/>
  <c r="D10" i="5"/>
  <c r="D11" i="5"/>
  <c r="D12" i="5"/>
  <c r="D13" i="5"/>
  <c r="C13" i="5"/>
  <c r="C12" i="5"/>
  <c r="C11" i="5"/>
  <c r="C10" i="5"/>
  <c r="C9" i="5"/>
  <c r="C7" i="5"/>
  <c r="B13" i="5"/>
  <c r="E13" i="5" s="1"/>
  <c r="B12" i="5"/>
  <c r="E12" i="5" s="1"/>
  <c r="B11" i="5"/>
  <c r="E11" i="5" s="1"/>
  <c r="B10" i="5"/>
  <c r="E10" i="5" s="1"/>
  <c r="B9" i="5"/>
  <c r="B8" i="5"/>
  <c r="E8" i="5" s="1"/>
  <c r="B7" i="5"/>
  <c r="E7" i="5" s="1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4" i="5" l="1"/>
  <c r="G4" i="5" s="1"/>
  <c r="E2" i="5"/>
  <c r="H2" i="5" s="1"/>
  <c r="E6" i="5"/>
  <c r="F6" i="5" s="1"/>
  <c r="G10" i="5"/>
  <c r="G11" i="5"/>
  <c r="G12" i="5"/>
  <c r="G13" i="5"/>
  <c r="H13" i="5"/>
  <c r="E9" i="5"/>
  <c r="F9" i="5" s="1"/>
  <c r="H12" i="5"/>
  <c r="E5" i="5"/>
  <c r="G5" i="5" s="1"/>
  <c r="H11" i="5"/>
  <c r="H10" i="5"/>
  <c r="H4" i="5"/>
  <c r="G8" i="5"/>
  <c r="G7" i="5"/>
  <c r="H8" i="5"/>
  <c r="H7" i="5"/>
  <c r="F13" i="5"/>
  <c r="F12" i="5"/>
  <c r="F11" i="5"/>
  <c r="F10" i="5"/>
  <c r="E3" i="5"/>
  <c r="F3" i="5" s="1"/>
  <c r="F8" i="5"/>
  <c r="F7" i="5"/>
  <c r="F4" i="5"/>
  <c r="G6" i="5" l="1"/>
  <c r="H6" i="5"/>
  <c r="F2" i="5"/>
  <c r="F5" i="5"/>
  <c r="G9" i="5"/>
  <c r="G2" i="5"/>
  <c r="H9" i="5"/>
  <c r="H5" i="5"/>
  <c r="G3" i="5"/>
  <c r="H3" i="5"/>
</calcChain>
</file>

<file path=xl/sharedStrings.xml><?xml version="1.0" encoding="utf-8"?>
<sst xmlns="http://schemas.openxmlformats.org/spreadsheetml/2006/main" count="9066" uniqueCount="2118">
  <si>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</si>
  <si>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</si>
  <si>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</si>
  <si>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</si>
  <si>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</si>
  <si>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</si>
  <si>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</si>
  <si>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</si>
  <si>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</si>
  <si>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</si>
  <si>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</si>
  <si>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</si>
  <si>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</si>
  <si>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</si>
  <si>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</si>
  <si>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</si>
  <si>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</si>
  <si>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</si>
  <si>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</si>
  <si>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</si>
  <si>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</si>
  <si>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</si>
  <si>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</si>
  <si>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</si>
  <si>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</si>
  <si>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</si>
  <si>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</si>
  <si>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</si>
  <si>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</si>
  <si>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</si>
  <si>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</si>
  <si>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</si>
  <si>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</si>
  <si>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</si>
  <si>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</si>
  <si>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</si>
  <si>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</si>
  <si>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</si>
  <si>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</si>
  <si>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</si>
  <si>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</si>
  <si>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</si>
  <si>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</si>
  <si>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</si>
  <si>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</si>
  <si>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</si>
  <si>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</si>
  <si>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</si>
  <si>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</si>
  <si>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</si>
  <si>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</si>
  <si>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</si>
  <si>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</si>
  <si>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</si>
  <si>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</si>
  <si>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</si>
  <si>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</si>
  <si>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</si>
  <si>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</si>
  <si>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</si>
  <si>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</si>
  <si>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</si>
  <si>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</si>
  <si>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</si>
  <si>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</si>
  <si>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</si>
  <si>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</si>
  <si>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</si>
  <si>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</si>
  <si>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</si>
  <si>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</si>
  <si>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</si>
  <si>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</si>
  <si>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</si>
  <si>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</si>
  <si>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</si>
  <si>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</si>
  <si>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</si>
  <si>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</si>
  <si>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</si>
  <si>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</si>
  <si>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</si>
  <si>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</si>
  <si>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</si>
  <si>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</si>
  <si>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</si>
  <si>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</si>
  <si>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</si>
  <si>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</si>
  <si>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</si>
  <si>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</si>
  <si>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</si>
  <si>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</si>
  <si>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</si>
  <si>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</si>
  <si>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</si>
  <si>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</si>
  <si>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</si>
  <si>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</si>
  <si>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</si>
  <si>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</si>
  <si>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</si>
  <si>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</si>
  <si>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</si>
  <si>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</si>
  <si>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</si>
  <si>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</si>
  <si>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</si>
  <si>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</si>
  <si>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</si>
  <si>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</si>
  <si>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</si>
  <si>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</si>
  <si>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</si>
  <si>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</si>
  <si>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</si>
  <si>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</si>
  <si>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</si>
  <si>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</si>
  <si>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</si>
  <si>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</si>
  <si>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</si>
  <si>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</si>
  <si>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</si>
  <si>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</si>
  <si>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</si>
  <si>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</si>
  <si>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</si>
  <si>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</si>
  <si>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</si>
  <si>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</si>
  <si>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</si>
  <si>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</si>
  <si>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</si>
  <si>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</si>
  <si>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</si>
  <si>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</si>
  <si>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</si>
  <si>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</si>
  <si>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</si>
  <si>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</si>
  <si>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</si>
  <si>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</si>
  <si>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</si>
  <si>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</si>
  <si>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</si>
  <si>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</si>
  <si>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</si>
  <si>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</si>
  <si>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</si>
  <si>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</si>
  <si>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</si>
  <si>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</si>
  <si>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</si>
  <si>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</si>
  <si>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</si>
  <si>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</si>
  <si>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</si>
  <si>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</si>
  <si>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</si>
  <si>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</si>
  <si>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</si>
  <si>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</si>
  <si>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</si>
  <si>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</si>
  <si>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</si>
  <si>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</si>
  <si>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</si>
  <si>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</si>
  <si>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</si>
  <si>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</si>
  <si>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</si>
  <si>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</si>
  <si>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</si>
  <si>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</si>
  <si>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</si>
  <si>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</si>
  <si>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</si>
  <si>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</si>
  <si>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</si>
  <si>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</si>
  <si>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</si>
  <si>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</si>
  <si>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</si>
  <si>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</si>
  <si>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</si>
  <si>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</si>
  <si>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</si>
  <si>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</si>
  <si>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</si>
  <si>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</si>
  <si>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</si>
  <si>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</si>
  <si>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</si>
  <si>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</si>
  <si>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</si>
  <si>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</si>
  <si>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</si>
  <si>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</si>
  <si>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</si>
  <si>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</si>
  <si>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</si>
  <si>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</si>
  <si>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</si>
  <si>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</si>
  <si>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</si>
  <si>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</si>
  <si>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</si>
  <si>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</si>
  <si>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</si>
  <si>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</si>
  <si>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</si>
  <si>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</si>
  <si>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</si>
  <si>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</si>
  <si>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</si>
  <si>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</si>
  <si>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</si>
  <si>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</si>
  <si>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</si>
  <si>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</si>
  <si>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</si>
  <si>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</si>
  <si>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</si>
  <si>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</si>
  <si>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</si>
  <si>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</si>
  <si>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</si>
  <si>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</si>
  <si>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</si>
  <si>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</si>
  <si>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</si>
  <si>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</si>
  <si>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</si>
  <si>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</si>
  <si>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</si>
  <si>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</si>
  <si>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</si>
  <si>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</si>
  <si>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</si>
  <si>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</si>
  <si>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</si>
  <si>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</si>
  <si>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</si>
  <si>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</si>
  <si>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</si>
  <si>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</si>
  <si>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</si>
  <si>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</si>
  <si>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</si>
  <si>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</si>
  <si>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</si>
  <si>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</si>
  <si>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</si>
  <si>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</si>
  <si>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</si>
  <si>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</si>
  <si>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</si>
  <si>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</si>
  <si>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</si>
  <si>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</si>
  <si>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</si>
  <si>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</si>
  <si>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</si>
  <si>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</si>
  <si>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</si>
  <si>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</si>
  <si>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</si>
  <si>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</si>
  <si>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</si>
  <si>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</si>
  <si>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</si>
  <si>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</si>
  <si>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</si>
  <si>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</si>
  <si>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</si>
  <si>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</si>
  <si>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</si>
  <si>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</si>
  <si>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</si>
  <si>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</si>
  <si>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</si>
  <si>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</si>
  <si>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</si>
  <si>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</si>
  <si>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</si>
  <si>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</si>
  <si>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</si>
  <si>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</si>
  <si>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</si>
  <si>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</si>
  <si>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</si>
  <si>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</si>
  <si>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</si>
  <si>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</si>
  <si>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</si>
  <si>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</si>
  <si>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</si>
  <si>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</si>
  <si>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</si>
  <si>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</si>
  <si>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</si>
  <si>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</si>
  <si>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</si>
  <si>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</si>
  <si>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</si>
  <si>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</si>
  <si>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</si>
  <si>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</si>
  <si>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</si>
  <si>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</si>
  <si>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</si>
  <si>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</si>
  <si>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</si>
  <si>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</si>
  <si>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</si>
  <si>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</si>
  <si>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</si>
  <si>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</si>
  <si>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</si>
  <si>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</si>
  <si>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</si>
  <si>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</si>
  <si>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</si>
  <si>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</si>
  <si>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</si>
  <si>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</si>
  <si>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</si>
  <si>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</si>
  <si>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</si>
  <si>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</si>
  <si>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</si>
  <si>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</si>
  <si>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</si>
  <si>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</si>
  <si>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</si>
  <si>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</si>
  <si>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</si>
  <si>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</si>
  <si>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</si>
  <si>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</si>
  <si>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</si>
  <si>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</si>
  <si>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</si>
  <si>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</si>
  <si>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</si>
  <si>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</si>
  <si>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</si>
  <si>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</si>
  <si>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</si>
  <si>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</si>
  <si>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</si>
  <si>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</si>
  <si>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</si>
  <si>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</si>
  <si>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</si>
  <si>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</si>
  <si>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</si>
  <si>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</si>
  <si>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</si>
  <si>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</si>
  <si>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</si>
  <si>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</si>
  <si>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</si>
  <si>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</si>
  <si>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</si>
  <si>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</si>
  <si>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</si>
  <si>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</si>
  <si>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</si>
  <si>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</si>
  <si>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</si>
  <si>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</si>
  <si>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</si>
  <si>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</si>
  <si>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</si>
  <si>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</si>
  <si>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</si>
  <si>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</si>
  <si>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</si>
  <si>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</si>
  <si>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</si>
  <si>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</si>
  <si>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</si>
  <si>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</si>
  <si>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</si>
  <si>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</si>
  <si>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</si>
  <si>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</si>
  <si>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</si>
  <si>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</si>
  <si>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</si>
  <si>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</si>
  <si>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</si>
  <si>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</si>
  <si>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</si>
  <si>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</si>
  <si>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</si>
  <si>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</si>
  <si>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</si>
  <si>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</si>
  <si>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</si>
  <si>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</si>
  <si>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</si>
  <si>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</si>
  <si>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</si>
  <si>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</si>
  <si>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</si>
  <si>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</si>
  <si>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</si>
  <si>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</si>
  <si>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</si>
  <si>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</si>
  <si>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</si>
  <si>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</si>
  <si>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</si>
  <si>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</si>
  <si>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</si>
  <si>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</si>
  <si>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</si>
  <si>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</si>
  <si>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</si>
  <si>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</si>
  <si>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</si>
  <si>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</si>
  <si>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</si>
  <si>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</si>
  <si>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</si>
  <si>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</si>
  <si>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</si>
  <si>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</si>
  <si>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</si>
  <si>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</si>
  <si>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</si>
  <si>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</si>
  <si>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</si>
  <si>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</si>
  <si>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</si>
  <si>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</si>
  <si>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</si>
  <si>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</si>
  <si>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</si>
  <si>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</si>
  <si>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</si>
  <si>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</si>
  <si>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</si>
  <si>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</si>
  <si>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</si>
  <si>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</si>
  <si>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</si>
  <si>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</si>
  <si>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</si>
  <si>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</si>
  <si>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</si>
  <si>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</si>
  <si>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</si>
  <si>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</si>
  <si>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</si>
  <si>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</si>
  <si>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</si>
  <si>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</si>
  <si>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</si>
  <si>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</si>
  <si>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</si>
  <si>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</si>
  <si>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</si>
  <si>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</si>
  <si>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</si>
  <si>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</si>
  <si>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</si>
  <si>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</si>
  <si>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</si>
  <si>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</si>
  <si>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</si>
  <si>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</si>
  <si>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</si>
  <si>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</si>
  <si>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</si>
  <si>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</si>
  <si>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</si>
  <si>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</si>
  <si>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</si>
  <si>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</si>
  <si>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</si>
  <si>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</si>
  <si>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</si>
  <si>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</si>
  <si>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</si>
  <si>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</si>
  <si>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</si>
  <si>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</si>
  <si>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</si>
  <si>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</si>
  <si>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</si>
  <si>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</si>
  <si>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</si>
  <si>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</si>
  <si>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</si>
  <si>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</si>
  <si>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</si>
  <si>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</si>
  <si>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</si>
  <si>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</si>
  <si>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</si>
  <si>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</si>
  <si>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</si>
  <si>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</si>
  <si>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</si>
  <si>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</si>
  <si>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</si>
  <si>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</si>
  <si>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</si>
  <si>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</si>
  <si>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</si>
  <si>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</si>
  <si>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</si>
  <si>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</si>
  <si>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</si>
  <si>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</si>
  <si>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</si>
  <si>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</si>
  <si>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</si>
  <si>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</si>
  <si>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</si>
  <si>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</si>
  <si>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</si>
  <si>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</si>
  <si>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</si>
  <si>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</si>
  <si>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</si>
  <si>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</si>
  <si>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</si>
  <si>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</si>
  <si>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</si>
  <si>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</si>
  <si>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</si>
  <si>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</si>
  <si>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</si>
  <si>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</si>
  <si>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</si>
  <si>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</si>
  <si>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</si>
  <si>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</si>
  <si>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</si>
  <si>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</si>
  <si>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</si>
  <si>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</si>
  <si>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</si>
  <si>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</si>
  <si>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</si>
  <si>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</si>
  <si>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</si>
  <si>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</si>
  <si>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</si>
  <si>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</si>
  <si>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</si>
  <si>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</si>
  <si>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</si>
  <si>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</si>
  <si>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</si>
  <si>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</si>
  <si>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</si>
  <si>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</si>
  <si>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</si>
  <si>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</si>
  <si>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</si>
  <si>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</si>
  <si>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</si>
  <si>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</si>
  <si>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</si>
  <si>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</si>
  <si>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</si>
  <si>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</si>
  <si>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</si>
  <si>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</si>
  <si>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</si>
  <si>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</si>
  <si>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</si>
  <si>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</si>
  <si>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</si>
  <si>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</si>
  <si>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</si>
  <si>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</si>
  <si>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</si>
  <si>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</si>
  <si>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</si>
  <si>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</si>
  <si>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</si>
  <si>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</si>
  <si>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</si>
  <si>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</si>
  <si>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</si>
  <si>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</si>
  <si>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</si>
  <si>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</si>
  <si>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</si>
  <si>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</si>
  <si>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</si>
  <si>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</si>
  <si>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</si>
  <si>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</si>
  <si>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</si>
  <si>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</si>
  <si>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</si>
  <si>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</si>
  <si>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</si>
  <si>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</si>
  <si>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</si>
  <si>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</si>
  <si>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</si>
  <si>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</si>
  <si>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</si>
  <si>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</si>
  <si>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</si>
  <si>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</si>
  <si>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</si>
  <si>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</si>
  <si>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</si>
  <si>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</si>
  <si>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</si>
  <si>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</si>
  <si>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</si>
  <si>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</si>
  <si>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</si>
  <si>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</si>
  <si>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</si>
  <si>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</si>
  <si>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</si>
  <si>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</si>
  <si>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</si>
  <si>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</si>
  <si>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</si>
  <si>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</si>
  <si>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</si>
  <si>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</si>
  <si>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</si>
  <si>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</si>
  <si>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</si>
  <si>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</si>
  <si>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</si>
  <si>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</si>
  <si>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</si>
  <si>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</si>
  <si>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</si>
  <si>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</si>
  <si>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</si>
  <si>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</si>
  <si>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</si>
  <si>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</si>
  <si>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</si>
  <si>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</si>
  <si>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</si>
  <si>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</si>
  <si>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</si>
  <si>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</si>
  <si>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</si>
  <si>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</si>
  <si>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</si>
  <si>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</si>
  <si>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</si>
  <si>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</si>
  <si>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</si>
  <si>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</si>
  <si>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</si>
  <si>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</si>
  <si>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</si>
  <si>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</si>
  <si>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</si>
  <si>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</si>
  <si>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</si>
  <si>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</si>
  <si>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</si>
  <si>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</si>
  <si>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</si>
  <si>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</si>
  <si>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</si>
  <si>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</si>
  <si>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</si>
  <si>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</si>
  <si>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</si>
  <si>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</si>
  <si>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</si>
  <si>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</si>
  <si>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</si>
  <si>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</si>
  <si>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</si>
  <si>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</si>
  <si>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</si>
  <si>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</si>
  <si>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</si>
  <si>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</si>
  <si>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</si>
  <si>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</si>
  <si>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</si>
  <si>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</si>
  <si>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</si>
  <si>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</si>
  <si>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</si>
  <si>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</si>
  <si>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</si>
  <si>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</si>
  <si>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</si>
  <si>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</si>
  <si>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</si>
  <si>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</si>
  <si>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</si>
  <si>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</si>
  <si>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</si>
  <si>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</si>
  <si>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</si>
  <si>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</si>
  <si>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</si>
  <si>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</si>
  <si>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</si>
  <si>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</si>
  <si>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</si>
  <si>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</si>
  <si>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</si>
  <si>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</si>
  <si>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</si>
  <si>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</si>
  <si>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</si>
  <si>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</si>
  <si>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</si>
  <si>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</si>
  <si>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</si>
  <si>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</si>
  <si>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</si>
  <si>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</si>
  <si>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</si>
  <si>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</si>
  <si>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</si>
  <si>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</si>
  <si>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</si>
  <si>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</si>
  <si>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</si>
  <si>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</si>
  <si>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</si>
  <si>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</si>
  <si>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</si>
  <si>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</si>
  <si>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</si>
  <si>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</si>
  <si>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</si>
  <si>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</si>
  <si>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</si>
  <si>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</si>
  <si>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</si>
  <si>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</si>
  <si>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</si>
  <si>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</si>
  <si>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</si>
  <si>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</si>
  <si>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</si>
  <si>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</si>
  <si>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</si>
  <si>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</si>
  <si>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</si>
  <si>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</si>
  <si>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</si>
  <si>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</si>
  <si>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</si>
  <si>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</si>
  <si>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</si>
  <si>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</si>
  <si>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</si>
  <si>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</si>
  <si>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</si>
  <si>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</si>
  <si>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</si>
  <si>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</si>
  <si>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</si>
  <si>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</si>
  <si>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</si>
  <si>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</si>
  <si>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</si>
  <si>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</si>
  <si>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</si>
  <si>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</si>
  <si>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</si>
  <si>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</si>
  <si>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</si>
  <si>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</si>
  <si>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</si>
  <si>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</si>
  <si>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</si>
  <si>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</si>
  <si>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</si>
  <si>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</si>
  <si>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</si>
  <si>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</si>
  <si>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</si>
  <si>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</si>
  <si>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</si>
  <si>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</si>
  <si>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</si>
  <si>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</si>
  <si>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</si>
  <si>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</si>
  <si>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</si>
  <si>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</si>
  <si>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</si>
  <si>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</si>
  <si>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</si>
  <si>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</si>
  <si>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</si>
  <si>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</si>
  <si>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</si>
  <si>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</si>
  <si>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</si>
  <si>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</si>
  <si>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</si>
  <si>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</si>
  <si>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</si>
  <si>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</si>
  <si>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</si>
  <si>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</si>
  <si>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</si>
  <si>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</si>
  <si>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</si>
  <si>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</si>
  <si>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</si>
  <si>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</si>
  <si>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</si>
  <si>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</si>
  <si>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</si>
  <si>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</si>
  <si>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</si>
  <si>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</si>
  <si>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</si>
  <si>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</si>
  <si>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</si>
  <si>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</si>
  <si>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</si>
  <si>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</si>
  <si>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</si>
  <si>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</si>
  <si>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</si>
  <si>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</si>
  <si>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</si>
  <si>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</si>
  <si>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</si>
  <si>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</si>
  <si>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</si>
  <si>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</si>
  <si>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</si>
  <si>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</si>
  <si>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</si>
  <si>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</si>
  <si>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</si>
  <si>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</si>
  <si>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</si>
  <si>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</si>
  <si>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</si>
  <si>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</si>
  <si>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</si>
  <si>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</si>
  <si>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</si>
  <si>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</si>
  <si>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</si>
  <si>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</si>
  <si>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</si>
  <si>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</si>
  <si>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</si>
  <si>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</si>
  <si>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</si>
  <si>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</si>
  <si>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</si>
  <si>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</si>
  <si>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</si>
  <si>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</si>
  <si>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</si>
  <si>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</si>
  <si>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</si>
  <si>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</si>
  <si>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</si>
  <si>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</si>
  <si>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</si>
  <si>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</si>
  <si>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</si>
  <si>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</si>
  <si>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</si>
  <si>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</si>
  <si>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</si>
  <si>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</si>
  <si>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</si>
  <si>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</si>
  <si>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</si>
  <si>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</si>
  <si>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</si>
  <si>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</si>
  <si>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</si>
  <si>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</si>
  <si>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</si>
  <si>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</si>
  <si>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</si>
  <si>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</si>
  <si>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</si>
  <si>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</si>
  <si>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</si>
  <si>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</si>
  <si>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</si>
  <si>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</si>
  <si>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</si>
  <si>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</si>
  <si>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</si>
  <si>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</si>
  <si>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</si>
  <si>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</si>
  <si>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</si>
  <si>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</si>
  <si>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</si>
  <si>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</si>
  <si>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</si>
  <si>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</si>
  <si>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</si>
  <si>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</si>
  <si>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</si>
  <si>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</si>
  <si>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</si>
  <si>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</si>
  <si>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</si>
  <si>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</si>
  <si>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</si>
  <si>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</si>
  <si>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</si>
  <si>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</si>
  <si>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</si>
  <si>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</si>
  <si>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</si>
  <si>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</si>
  <si>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</si>
  <si>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</si>
  <si>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</si>
  <si>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</si>
  <si>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</si>
  <si>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</si>
  <si>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</si>
  <si>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</si>
  <si>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</si>
  <si>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</si>
  <si>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</si>
  <si>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</si>
  <si>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</si>
  <si>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</si>
  <si>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</si>
  <si>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</si>
  <si>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</si>
  <si>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</si>
  <si>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</si>
  <si>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</si>
  <si>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</si>
  <si>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</si>
  <si>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</si>
  <si>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</si>
  <si>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</si>
  <si>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</si>
  <si>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</si>
  <si>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</si>
  <si>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</si>
  <si>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</si>
  <si>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</si>
  <si>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</si>
  <si>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</si>
  <si>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</si>
  <si>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</si>
  <si>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</si>
  <si>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</si>
  <si>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</si>
  <si>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</si>
  <si>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</si>
  <si>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</si>
  <si>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</si>
  <si>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</si>
  <si>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</si>
  <si>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</si>
  <si>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</si>
  <si>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</si>
  <si>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</si>
  <si>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</si>
  <si>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</si>
  <si>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</si>
  <si>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</si>
  <si>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</si>
  <si>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</si>
  <si>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</si>
  <si>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</si>
  <si>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</si>
  <si>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</si>
  <si>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</si>
  <si>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</si>
  <si>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</si>
  <si>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</si>
  <si>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</si>
  <si>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</si>
  <si>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</si>
  <si>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</si>
  <si>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</si>
  <si>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</si>
  <si>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</si>
  <si>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</si>
  <si>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</si>
  <si>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</si>
  <si>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</si>
  <si>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</si>
  <si>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</si>
  <si>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</si>
  <si>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</si>
  <si>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</si>
  <si>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</si>
  <si>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</si>
  <si>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</si>
  <si>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</si>
  <si>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</si>
  <si>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</si>
  <si>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</si>
  <si>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</si>
  <si>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</si>
  <si>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</si>
  <si>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</si>
  <si>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</si>
  <si>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</si>
  <si>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</si>
  <si>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</si>
  <si>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</si>
  <si>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</si>
  <si>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</si>
  <si>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</si>
  <si>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</si>
  <si>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</si>
  <si>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</si>
  <si>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</si>
  <si>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</si>
  <si>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</si>
  <si>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</si>
  <si>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</si>
  <si>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</si>
  <si>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</si>
  <si>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</si>
  <si>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</si>
  <si>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</si>
  <si>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</si>
  <si>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</si>
  <si>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</si>
  <si>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</si>
  <si>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</si>
  <si>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</si>
  <si>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</si>
  <si>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</si>
  <si>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</si>
  <si>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</si>
  <si>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</si>
  <si>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</si>
  <si>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</si>
  <si>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</si>
  <si>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</si>
  <si>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</si>
  <si>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</si>
  <si>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</si>
  <si>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</si>
  <si>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</si>
  <si>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</si>
  <si>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</si>
  <si>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</si>
  <si>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</si>
  <si>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</si>
  <si>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</si>
  <si>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</si>
  <si>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</si>
  <si>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</si>
  <si>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</si>
  <si>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</si>
  <si>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</si>
  <si>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</si>
  <si>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</si>
  <si>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</si>
  <si>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</si>
  <si>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</si>
  <si>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</si>
  <si>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</si>
  <si>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</si>
  <si>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</si>
  <si>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</si>
  <si>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</si>
  <si>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</si>
  <si>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</si>
  <si>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</si>
  <si>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</si>
  <si>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</si>
  <si>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</si>
  <si>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</si>
  <si>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</si>
  <si>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</si>
  <si>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</si>
  <si>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</si>
  <si>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</si>
  <si>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</si>
  <si>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</si>
  <si>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</si>
  <si>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</si>
  <si>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</si>
  <si>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</si>
  <si>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</si>
  <si>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</si>
  <si>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</si>
  <si>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</si>
  <si>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</si>
  <si>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</si>
  <si>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</si>
  <si>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</si>
  <si>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</si>
  <si>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</si>
  <si>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</si>
  <si>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</si>
  <si>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</si>
  <si>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</si>
  <si>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</si>
  <si>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</si>
  <si>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</si>
  <si>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</si>
  <si>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</si>
  <si>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</si>
  <si>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</si>
  <si>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</si>
  <si>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</si>
  <si>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</si>
  <si>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</si>
  <si>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</si>
  <si>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</si>
  <si>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</si>
  <si>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</si>
  <si>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</si>
  <si>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</si>
  <si>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</si>
  <si>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</si>
  <si>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</si>
  <si>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</si>
  <si>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</si>
  <si>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</si>
  <si>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</si>
  <si>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</si>
  <si>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</si>
  <si>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</si>
  <si>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</si>
  <si>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</si>
  <si>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</si>
  <si>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</si>
  <si>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</si>
  <si>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</si>
  <si>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</si>
  <si>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</si>
  <si>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</si>
  <si>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</si>
  <si>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</si>
  <si>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</si>
  <si>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</si>
  <si>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</si>
  <si>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</si>
  <si>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</si>
  <si>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</si>
  <si>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</si>
  <si>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</si>
  <si>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</si>
  <si>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</si>
  <si>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</si>
  <si>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</si>
  <si>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</si>
  <si>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</si>
  <si>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</si>
  <si>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</si>
  <si>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</si>
  <si>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</si>
  <si>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</si>
  <si>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</si>
  <si>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</si>
  <si>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</si>
  <si>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</si>
  <si>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</si>
  <si>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</si>
  <si>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</si>
  <si>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</si>
  <si>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</si>
  <si>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</si>
  <si>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</si>
  <si>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</si>
  <si>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</si>
  <si>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</si>
  <si>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</si>
  <si>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</si>
  <si>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</si>
  <si>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</si>
  <si>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</si>
  <si>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</si>
  <si>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</si>
  <si>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</si>
  <si>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</si>
  <si>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</si>
  <si>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</si>
  <si>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</si>
  <si>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</si>
  <si>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</si>
  <si>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</si>
  <si>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</si>
  <si>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</si>
  <si>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</si>
  <si>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</si>
  <si>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</si>
  <si>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</si>
  <si>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</si>
  <si>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</si>
  <si>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</si>
  <si>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</si>
  <si>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</si>
  <si>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</si>
  <si>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</si>
  <si>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</si>
  <si>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</si>
  <si>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</si>
  <si>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</si>
  <si>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</si>
  <si>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</si>
  <si>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</si>
  <si>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</si>
  <si>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</si>
  <si>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</si>
  <si>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</si>
  <si>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</si>
  <si>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</si>
  <si>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</si>
  <si>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</si>
  <si>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</si>
  <si>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</si>
  <si>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</si>
  <si>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</si>
  <si>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</si>
  <si>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</si>
  <si>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</si>
  <si>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</si>
  <si>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</si>
  <si>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</si>
  <si>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</si>
  <si>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</si>
  <si>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</si>
  <si>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</si>
  <si>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</si>
  <si>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</si>
  <si>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</si>
  <si>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</si>
  <si>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</si>
  <si>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</si>
  <si>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</si>
  <si>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</si>
  <si>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</si>
  <si>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</si>
  <si>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</si>
  <si>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</si>
  <si>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</si>
  <si>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</si>
  <si>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</si>
  <si>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</si>
  <si>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</si>
  <si>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</si>
  <si>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</si>
  <si>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</si>
  <si>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</si>
  <si>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</si>
  <si>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</si>
  <si>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</si>
  <si>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</si>
  <si>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</si>
  <si>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</si>
  <si>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</si>
  <si>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</si>
  <si>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</si>
  <si>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</si>
  <si>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</si>
  <si>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</si>
  <si>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</si>
  <si>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</si>
  <si>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</si>
  <si>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</si>
  <si>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</si>
  <si>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</si>
  <si>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</si>
  <si>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</si>
  <si>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</si>
  <si>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</si>
  <si>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</si>
  <si>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</si>
  <si>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</si>
  <si>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</si>
  <si>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</si>
  <si>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</si>
  <si>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</si>
  <si>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</si>
  <si>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</si>
  <si>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</si>
  <si>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</si>
  <si>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</si>
  <si>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</si>
  <si>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</si>
  <si>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</si>
  <si>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</si>
  <si>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</si>
  <si>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</si>
  <si>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</si>
  <si>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</si>
  <si>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</si>
  <si>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</si>
  <si>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</si>
  <si>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</si>
  <si>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</si>
  <si>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</si>
  <si>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</si>
  <si>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</si>
  <si>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</si>
  <si>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</si>
  <si>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</si>
  <si>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</si>
  <si>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</si>
  <si>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</si>
  <si>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</si>
  <si>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</si>
  <si>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</si>
  <si>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</si>
  <si>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</si>
  <si>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</si>
  <si>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</si>
  <si>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</si>
  <si>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</si>
  <si>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</si>
  <si>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</si>
  <si>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</si>
  <si>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</si>
  <si>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</si>
  <si>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</si>
  <si>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</si>
  <si>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</si>
  <si>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</si>
  <si>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</si>
  <si>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</si>
  <si>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</si>
  <si>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</si>
  <si>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</si>
  <si>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</si>
  <si>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</si>
  <si>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</si>
  <si>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</si>
  <si>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</si>
  <si>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</si>
  <si>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</si>
  <si>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</si>
  <si>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</si>
  <si>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</si>
  <si>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</si>
  <si>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</si>
  <si>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</si>
  <si>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</si>
  <si>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</si>
  <si>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</si>
  <si>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</si>
  <si>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</si>
  <si>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</si>
  <si>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</si>
  <si>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</si>
  <si>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</si>
  <si>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</si>
  <si>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</si>
  <si>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</si>
  <si>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</si>
  <si>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</si>
  <si>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</si>
  <si>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</si>
  <si>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</si>
  <si>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</si>
  <si>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</si>
  <si>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</si>
  <si>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</si>
  <si>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</si>
  <si>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</si>
  <si>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</si>
  <si>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</si>
  <si>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</si>
  <si>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</si>
  <si>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</si>
  <si>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</si>
  <si>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</si>
  <si>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</si>
  <si>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</si>
  <si>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</si>
  <si>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</si>
  <si>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</si>
  <si>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</si>
  <si>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</si>
  <si>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</si>
  <si>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</si>
  <si>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</si>
  <si>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</si>
  <si>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</si>
  <si>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</si>
  <si>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</si>
  <si>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</si>
  <si>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</si>
  <si>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</si>
  <si>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</si>
  <si>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</si>
  <si>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</si>
  <si>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</si>
  <si>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</si>
  <si>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</si>
  <si>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</si>
  <si>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</si>
  <si>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</si>
  <si>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</si>
  <si>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</si>
  <si>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</si>
  <si>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</si>
  <si>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</si>
  <si>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</si>
  <si>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</si>
  <si>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</si>
  <si>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</si>
  <si>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</si>
  <si>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</si>
  <si>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</si>
  <si>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</si>
  <si>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</si>
  <si>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</si>
  <si>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</si>
  <si>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</si>
  <si>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</si>
  <si>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</si>
  <si>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</si>
  <si>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</si>
  <si>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</si>
  <si>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</si>
  <si>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</si>
  <si>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</si>
  <si>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</si>
  <si>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</si>
  <si>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</si>
  <si>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</si>
  <si>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</si>
  <si>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</si>
  <si>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</si>
  <si>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</si>
  <si>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</si>
  <si>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</si>
  <si>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</si>
  <si>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</si>
  <si>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</si>
  <si>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</si>
  <si>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</si>
  <si>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</si>
  <si>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</si>
  <si>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</si>
  <si>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</si>
  <si>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</si>
  <si>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</si>
  <si>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</si>
  <si>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</si>
  <si>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</si>
  <si>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</si>
  <si>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</si>
  <si>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</si>
  <si>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</si>
  <si>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</si>
  <si>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</si>
  <si>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</si>
  <si>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</si>
  <si>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</si>
  <si>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</si>
  <si>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</si>
  <si>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</si>
  <si>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</si>
  <si>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</si>
  <si>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</si>
  <si>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</si>
  <si>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</si>
  <si>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</si>
  <si>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</si>
  <si>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</si>
  <si>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</si>
  <si>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</si>
  <si>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</si>
  <si>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</si>
  <si>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</si>
  <si>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</si>
  <si>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</si>
  <si>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</si>
  <si>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</si>
  <si>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</si>
  <si>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</si>
  <si>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</si>
  <si>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</si>
  <si>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</si>
  <si>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</si>
  <si>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</si>
  <si>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</si>
  <si>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</si>
  <si>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</si>
  <si>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</si>
  <si>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</si>
  <si>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</si>
  <si>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</si>
  <si>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</si>
  <si>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</si>
  <si>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</si>
  <si>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</si>
  <si>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</si>
  <si>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</si>
  <si>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</si>
  <si>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</si>
  <si>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</si>
  <si>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</si>
  <si>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</si>
  <si>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</si>
  <si>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</si>
  <si>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</si>
  <si>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</si>
  <si>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</si>
  <si>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</si>
  <si>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</si>
  <si>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</si>
  <si>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</si>
  <si>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</si>
  <si>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</si>
  <si>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</si>
  <si>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</si>
  <si>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</si>
  <si>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</si>
  <si>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</si>
  <si>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</si>
  <si>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</si>
  <si>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</si>
  <si>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</si>
  <si>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</si>
  <si>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</si>
  <si>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</si>
  <si>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</si>
  <si>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</si>
  <si>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</si>
  <si>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</si>
  <si>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</si>
  <si>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</si>
  <si>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</si>
  <si>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</si>
  <si>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</si>
  <si>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</si>
  <si>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</si>
  <si>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</si>
  <si>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</si>
  <si>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</si>
  <si>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</si>
  <si>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</si>
  <si>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</si>
  <si>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</si>
  <si>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</si>
  <si>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</si>
  <si>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</si>
  <si>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</si>
  <si>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</si>
  <si>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</si>
  <si>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</si>
  <si>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</si>
  <si>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</si>
  <si>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</si>
  <si>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</si>
  <si>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</si>
  <si>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</si>
  <si>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</si>
  <si>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</si>
  <si>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</si>
  <si>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</si>
  <si>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</si>
  <si>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</si>
  <si>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</si>
  <si>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</si>
  <si>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</si>
  <si>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</si>
  <si>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</si>
  <si>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</si>
  <si>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</si>
  <si>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</si>
  <si>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</si>
  <si>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</si>
  <si>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</si>
  <si>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</si>
  <si>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</si>
  <si>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</si>
  <si>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</si>
  <si>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</si>
  <si>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</si>
  <si>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</si>
  <si>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</si>
  <si>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</si>
  <si>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</si>
  <si>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</si>
  <si>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</si>
  <si>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</si>
  <si>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</si>
  <si>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</si>
  <si>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</si>
  <si>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</si>
  <si>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</si>
  <si>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</si>
  <si>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</si>
  <si>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</si>
  <si>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</si>
  <si>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</si>
  <si>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</si>
  <si>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</si>
  <si>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</si>
  <si>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</si>
  <si>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</si>
  <si>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</si>
  <si>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</si>
  <si>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</si>
  <si>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</si>
  <si>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</si>
  <si>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</si>
  <si>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</si>
  <si>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</si>
  <si>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</si>
  <si>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</si>
  <si>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</si>
  <si>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</si>
  <si>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</si>
  <si>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</si>
  <si>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</si>
  <si>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</si>
  <si>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</si>
  <si>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</si>
  <si>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</si>
  <si>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</si>
  <si>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</si>
  <si>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</si>
  <si>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</si>
  <si>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</si>
  <si>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</si>
  <si>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</si>
  <si>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</si>
  <si>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</si>
  <si>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</si>
  <si>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</si>
  <si>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</si>
  <si>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</si>
  <si>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</si>
  <si>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</si>
  <si>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</si>
  <si>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</si>
  <si>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</si>
  <si>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</si>
  <si>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</si>
  <si>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</si>
  <si>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</si>
  <si>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</si>
  <si>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</si>
  <si>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</si>
  <si>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</si>
  <si>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</si>
  <si>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</si>
  <si>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</si>
  <si>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</si>
  <si>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</si>
  <si>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</si>
  <si>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</si>
  <si>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</si>
  <si>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</si>
  <si>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</si>
  <si>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</si>
  <si>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</si>
  <si>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</si>
  <si>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</si>
  <si>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</si>
  <si>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</si>
  <si>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</si>
  <si>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</si>
  <si>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</si>
  <si>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</si>
  <si>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</si>
  <si>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</si>
  <si>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</si>
  <si>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</si>
  <si>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</si>
  <si>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</si>
  <si>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</si>
  <si>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</si>
  <si>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</si>
  <si>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</si>
  <si>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</si>
  <si>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</si>
  <si>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</si>
  <si>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</si>
  <si>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</si>
  <si>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</si>
  <si>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</si>
  <si>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</si>
  <si>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</si>
  <si>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</si>
  <si>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</si>
  <si>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</si>
  <si>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</si>
  <si>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</si>
  <si>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</si>
  <si>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</si>
  <si>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</si>
  <si>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</si>
  <si>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</si>
  <si>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</si>
  <si>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</si>
  <si>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</si>
  <si>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</si>
  <si>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</si>
  <si>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</si>
  <si>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</si>
  <si>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</si>
  <si>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</si>
  <si>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</si>
  <si>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</si>
  <si>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</si>
  <si>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</si>
  <si>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</si>
  <si>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</si>
  <si>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</si>
  <si>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</si>
  <si>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</si>
  <si>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</si>
  <si>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</si>
  <si>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</si>
  <si>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</si>
  <si>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</si>
  <si>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</si>
  <si>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</si>
  <si>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</si>
  <si>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</si>
  <si>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</si>
  <si>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</si>
  <si>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</si>
  <si>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</si>
  <si>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</si>
  <si>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</si>
  <si>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</si>
  <si>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</si>
  <si>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</si>
  <si>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</si>
  <si>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</si>
  <si>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</si>
  <si>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</si>
  <si>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</si>
  <si>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</si>
  <si>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</si>
  <si>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</si>
  <si>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</si>
  <si>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</si>
  <si>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</si>
  <si>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</si>
  <si>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</si>
  <si>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</si>
  <si>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</si>
  <si>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</si>
  <si>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</si>
  <si>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</si>
  <si>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</si>
  <si>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</si>
  <si>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</si>
  <si>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</si>
  <si>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</si>
  <si>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</si>
  <si>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</si>
  <si>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</si>
  <si>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</si>
  <si>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</si>
  <si>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</si>
  <si>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</si>
  <si>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</si>
  <si>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</si>
  <si>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</si>
  <si>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</si>
  <si>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</si>
  <si>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</si>
  <si>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</si>
  <si>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</si>
  <si>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</si>
  <si>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</si>
  <si>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</si>
  <si>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</si>
  <si>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</si>
  <si>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</si>
  <si>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</si>
  <si>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</si>
  <si>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</si>
  <si>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</si>
  <si>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</si>
  <si>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</si>
  <si>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</si>
  <si>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</si>
  <si>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</si>
  <si>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</si>
  <si>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</si>
  <si>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</si>
  <si>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</si>
  <si>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</si>
  <si>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</si>
  <si>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</si>
  <si>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</si>
  <si>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</si>
  <si>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</si>
  <si>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</si>
  <si>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</si>
  <si>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</si>
  <si>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</si>
  <si>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</si>
  <si>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</si>
  <si>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</si>
  <si>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</si>
  <si>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</si>
  <si>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</si>
  <si>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</si>
  <si>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</si>
  <si>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</si>
  <si>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</si>
  <si>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</si>
  <si>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</si>
  <si>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</si>
  <si>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</si>
  <si>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</si>
  <si>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</si>
  <si>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</si>
  <si>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</si>
  <si>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</si>
  <si>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</si>
  <si>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</si>
  <si>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</si>
  <si>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</si>
  <si>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</si>
  <si>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</si>
  <si>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</si>
  <si>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</si>
  <si>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</si>
  <si>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</si>
  <si>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</si>
  <si>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</si>
  <si>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</si>
  <si>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</si>
  <si>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</si>
  <si>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</si>
  <si>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</si>
  <si>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</si>
  <si>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</si>
  <si>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</si>
  <si>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</si>
  <si>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</si>
  <si>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</si>
  <si>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</si>
  <si>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</si>
  <si>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</si>
  <si>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</si>
  <si>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</si>
  <si>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</si>
  <si>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</si>
  <si>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</si>
  <si>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</si>
  <si>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</si>
  <si>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</si>
  <si>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</si>
  <si>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</si>
  <si>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</si>
  <si>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</si>
  <si>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</si>
  <si>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</si>
  <si>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</si>
  <si>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</si>
  <si>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</si>
  <si>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</si>
  <si>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</si>
  <si>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</si>
  <si>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</si>
  <si>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</si>
  <si>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</si>
  <si>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</si>
  <si>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</si>
  <si>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</si>
  <si>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</si>
  <si>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</si>
  <si>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</si>
  <si>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</si>
  <si>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</si>
  <si>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</si>
  <si>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</si>
  <si>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</si>
  <si>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</si>
  <si>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</si>
  <si>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</si>
  <si>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</si>
  <si>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</si>
  <si>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</si>
  <si>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</si>
  <si>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</si>
  <si>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</si>
  <si>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</si>
  <si>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</si>
  <si>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</si>
  <si>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</si>
  <si>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</si>
  <si>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</si>
  <si>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</si>
  <si>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</si>
  <si>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</si>
  <si>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</si>
  <si>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</si>
  <si>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</si>
  <si>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</si>
  <si>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</si>
  <si>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</si>
  <si>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</si>
  <si>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</si>
  <si>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</si>
  <si>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</si>
  <si>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</si>
  <si>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</si>
  <si>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</si>
  <si>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</si>
  <si>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</si>
  <si>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</si>
  <si>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</si>
  <si>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</si>
  <si>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</si>
  <si>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</si>
  <si>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</si>
  <si>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</si>
  <si>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</si>
  <si>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</si>
  <si>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</si>
  <si>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</si>
  <si>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</si>
  <si>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</si>
  <si>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</si>
  <si>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</si>
  <si>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</si>
  <si>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</si>
  <si>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</si>
  <si>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</si>
  <si>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</si>
  <si>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</si>
  <si>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</si>
  <si>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</si>
  <si>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</si>
  <si>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</si>
  <si>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</si>
  <si>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</si>
  <si>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</si>
  <si>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</si>
  <si>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</si>
  <si>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</si>
  <si>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</si>
  <si>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</si>
  <si>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</si>
  <si>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</si>
  <si>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</si>
  <si>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</si>
  <si>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</si>
  <si>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</si>
  <si>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</si>
  <si>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</si>
  <si>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</si>
  <si>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</si>
  <si>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</si>
  <si>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</si>
  <si>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</si>
  <si>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</si>
  <si>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</si>
  <si>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</si>
  <si>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</si>
  <si>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</si>
  <si>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</si>
  <si>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</si>
  <si>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</si>
  <si>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</si>
  <si>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</si>
  <si>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</si>
  <si>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</si>
  <si>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</si>
  <si>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</si>
  <si>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</si>
  <si>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</si>
  <si>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</si>
  <si>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</si>
  <si>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</si>
  <si>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</si>
  <si>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</si>
  <si>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</si>
  <si>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</si>
  <si>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</si>
  <si>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</si>
  <si>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</si>
  <si>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</si>
  <si>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</si>
  <si>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</si>
  <si>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</si>
  <si>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</si>
  <si>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</si>
  <si>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</si>
  <si>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</si>
  <si>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</si>
  <si>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</si>
  <si>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</si>
  <si>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</si>
  <si>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</si>
  <si>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</si>
  <si>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</si>
  <si>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</si>
  <si>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</si>
  <si>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</si>
  <si>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</si>
  <si>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</si>
  <si>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</si>
  <si>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</si>
  <si>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</si>
  <si>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</si>
  <si>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</si>
  <si>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</si>
  <si>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</si>
  <si>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</si>
  <si>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</si>
  <si>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</si>
  <si>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</si>
  <si>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</si>
  <si>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</si>
  <si>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</si>
  <si>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</si>
  <si>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</si>
  <si>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</si>
  <si>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</si>
  <si>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</si>
  <si>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</si>
  <si>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</si>
  <si>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</si>
  <si>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</si>
  <si>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</si>
  <si>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</si>
  <si>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</si>
  <si>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</si>
  <si>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</si>
  <si>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</si>
  <si>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</si>
  <si>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</si>
  <si>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</si>
  <si>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</si>
  <si>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</si>
  <si>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</si>
  <si>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</si>
  <si>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</si>
  <si>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</si>
  <si>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</si>
  <si>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</si>
  <si>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</si>
  <si>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</si>
  <si>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</si>
  <si>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</si>
  <si>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</si>
  <si>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</si>
  <si>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</si>
  <si>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</si>
  <si>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Parent_Category</t>
  </si>
  <si>
    <t>Sub_Category</t>
  </si>
  <si>
    <t>(All)</t>
  </si>
  <si>
    <t>Row Labels</t>
  </si>
  <si>
    <t>Grand Total</t>
  </si>
  <si>
    <t>Column Labels</t>
  </si>
  <si>
    <t>Count of Parent_Category</t>
  </si>
  <si>
    <t>Count of outcome</t>
  </si>
  <si>
    <t>(Multiple Items)</t>
  </si>
  <si>
    <t>Date_Created_Conversion</t>
  </si>
  <si>
    <t>Date_Ended_Convertion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</si>
  <si>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</si>
  <si>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</si>
  <si>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</si>
  <si>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</si>
  <si>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</si>
  <si>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</si>
  <si>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</si>
  <si>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</si>
  <si>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</si>
  <si>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</si>
  <si>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</si>
  <si>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</si>
  <si>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Years (Date_Created_Conversion)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</si>
  <si>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</si>
  <si>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</si>
  <si>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</si>
  <si>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</si>
  <si>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</si>
  <si>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</si>
  <si>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</si>
  <si>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</si>
  <si>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</si>
  <si>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</si>
  <si>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</si>
  <si>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</si>
  <si>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</si>
  <si>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</si>
  <si>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</si>
  <si>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</si>
  <si>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</si>
  <si>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</si>
  <si>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</si>
  <si>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Succesful</t>
  </si>
  <si>
    <t>Failed</t>
  </si>
  <si>
    <t>mean</t>
  </si>
  <si>
    <t>median</t>
  </si>
  <si>
    <t>MIN</t>
  </si>
  <si>
    <t>MAX</t>
  </si>
  <si>
    <t>VAR</t>
  </si>
  <si>
    <t>STDEV</t>
  </si>
  <si>
    <t>Succesul_percentage</t>
  </si>
  <si>
    <t>Failed_percentage</t>
  </si>
  <si>
    <t>successfu_percentage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</si>
</sst>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10" fontId="0" fillId="0" borderId="0" xfId="0" applyNumberFormat="1"/>
    <xf numFmtId="10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8F252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AA404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AA4040"/>
      <color rgb="FF8F2525"/>
      <color rgb="FFFFFFFF"/>
      <color rgb="FFA50021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[Crowdfunding_Book.xlsx]Outcome Year!PivotTable3</c:name>
    <c:fmtId val="1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4-4165-AB50-08913EF430A7}"/>
            </c:ext>
          </c:extLst>
        </c:ser>
        <c:ser>
          <c:idx val="1"/>
          <c:order val="1"/>
          <c:tx>
            <c:strRef>
              <c:f>'Outcome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4-4165-AB50-08913EF430A7}"/>
            </c:ext>
          </c:extLst>
        </c:ser>
        <c:ser>
          <c:idx val="2"/>
          <c:order val="2"/>
          <c:tx>
            <c:strRef>
              <c:f>'Outcome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4-4165-AB50-08913EF4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73903"/>
        <c:axId val="1507725695"/>
      </c:lineChart>
      <c:catAx>
        <c:axId val="12548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7725695"/>
        <c:crosses val="autoZero"/>
        <c:auto val="1"/>
        <c:lblAlgn val="ctr"/>
        <c:lblOffset val="100"/>
        <c:noMultiLvlLbl val="0"/>
      </c:catAx>
      <c:valAx>
        <c:axId val="15077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48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[Crowdfunding_Book.xlsx]Pivot Table 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A40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3-4C3F-8E7D-379304CB6F7F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AA404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3-4C3F-8E7D-379304CB6F7F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3-4C3F-8E7D-379304CB6F7F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3-4C3F-8E7D-379304CB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241839"/>
        <c:axId val="1068227919"/>
      </c:barChart>
      <c:catAx>
        <c:axId val="106824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8227919"/>
        <c:crosses val="autoZero"/>
        <c:auto val="1"/>
        <c:lblAlgn val="ctr"/>
        <c:lblOffset val="100"/>
        <c:noMultiLvlLbl val="0"/>
      </c:catAx>
      <c:valAx>
        <c:axId val="10682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82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[Crowdfunding_Book.xlsx]Pivot Table 2!PivotTable2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A40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7-4711-8C12-03FFE0C42A87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AA404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7-4711-8C12-03FFE0C42A87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7-4711-8C12-03FFE0C42A87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7-4711-8C12-03FFE0C4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736735"/>
        <c:axId val="1507723295"/>
      </c:barChart>
      <c:catAx>
        <c:axId val="15077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7723295"/>
        <c:crosses val="autoZero"/>
        <c:auto val="1"/>
        <c:lblAlgn val="ctr"/>
        <c:lblOffset val="100"/>
        <c:noMultiLvlLbl val="0"/>
      </c:catAx>
      <c:valAx>
        <c:axId val="15077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773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9-4D02-931A-DA87D3A0460C}"/>
            </c:ext>
          </c:extLst>
        </c:ser>
        <c:ser>
          <c:idx val="1"/>
          <c:order val="1"/>
          <c:tx>
            <c:strRef>
              <c:f>'Goal Outcome'!$G$1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rgbClr val="AA4040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9-4D02-931A-DA87D3A0460C}"/>
            </c:ext>
          </c:extLst>
        </c:ser>
        <c:ser>
          <c:idx val="2"/>
          <c:order val="2"/>
          <c:tx>
            <c:strRef>
              <c:f>'Goal Outcome'!$H$1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9-4D02-931A-DA87D3A0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0623"/>
        <c:axId val="74398223"/>
      </c:lineChart>
      <c:catAx>
        <c:axId val="744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398223"/>
        <c:crosses val="autoZero"/>
        <c:auto val="1"/>
        <c:lblAlgn val="ctr"/>
        <c:lblOffset val="100"/>
        <c:noMultiLvlLbl val="0"/>
      </c:catAx>
      <c:valAx>
        <c:axId val="743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4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Box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Chart</a:t>
          </a:r>
        </a:p>
      </cx:txPr>
    </cx:title>
    <cx:plotArea>
      <cx:plotAreaRegion>
        <cx:series layoutId="boxWhisker" uniqueId="{00000007-9896-4B30-B799-4B615CB54894}">
          <cx:tx>
            <cx:txData>
              <cx:f/>
              <cx:v>Successful</cx:v>
            </cx:txData>
          </cx:tx>
          <cx:spPr>
            <a:solidFill>
              <a:schemeClr val="accent6"/>
            </a:solidFill>
          </cx:spPr>
          <cx:dataId val="0"/>
          <cx:layoutPr>
            <cx:statistics quartileMethod="exclusive"/>
          </cx:layoutPr>
        </cx:series>
        <cx:series layoutId="boxWhisker" uniqueId="{00000008-9896-4B30-B799-4B615CB54894}">
          <cx:tx>
            <cx:txData>
              <cx:f/>
              <cx:v>failed</cx:v>
            </cx:txData>
          </cx:tx>
          <cx:spPr>
            <a:solidFill>
              <a:srgbClr val="AA4040"/>
            </a:solidFill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</a:t>
              </a:r>
            </a:p>
          </cx:txPr>
        </cx:title>
        <cx:majorGridlines/>
        <cx:tickLabels/>
      </cx:axis>
    </cx:plotArea>
    <cx:legend pos="t" align="ctr" overlay="0">
      <cx:spPr>
        <a:ln>
          <a:solidFill>
            <a:schemeClr val="bg1"/>
          </a:solidFill>
        </a:ln>
      </cx:sp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Backers</a:t>
          </a:r>
        </a:p>
      </cx:txPr>
    </cx:title>
    <cx:plotArea>
      <cx:plotAreaRegion>
        <cx:series layoutId="clusteredColumn" uniqueId="{518D902D-6262-4A2C-A275-A4DC021F1972}">
          <cx:dataId val="0"/>
          <cx:layoutPr>
            <cx:binning intervalClosed="r" overflow="350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Failed Backers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D916EDA-6732-4F88-A04C-676D162BD4F1}">
          <cx:dataId val="0"/>
          <cx:layoutPr>
            <cx:binning intervalClosed="r" overflow="2500">
              <cx:binSize val="1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2</xdr:row>
      <xdr:rowOff>9524</xdr:rowOff>
    </xdr:from>
    <xdr:to>
      <xdr:col>17</xdr:col>
      <xdr:colOff>485775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CF3A0-53E0-2DB0-98B1-A4FD14C44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90486</xdr:colOff>
      <xdr:row>0</xdr:row>
      <xdr:rowOff>0</xdr:rowOff>
    </xdr:from>
    <xdr:to>
      <xdr:col>22</xdr:col>
      <xdr:colOff>609599</xdr:colOff>
      <xdr:row>20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0C8F0C-DBC1-4028-672E-266B8C7DA2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0086" y="0"/>
              <a:ext cx="7377113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238124</xdr:colOff>
      <xdr:row>23</xdr:row>
      <xdr:rowOff>161924</xdr:rowOff>
    </xdr:from>
    <xdr:to>
      <xdr:col>26</xdr:col>
      <xdr:colOff>400049</xdr:colOff>
      <xdr:row>43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389EDFF-622E-7AAE-6019-9F27D7C50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4" y="4762499"/>
              <a:ext cx="11134725" cy="389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276224</xdr:colOff>
      <xdr:row>44</xdr:row>
      <xdr:rowOff>95249</xdr:rowOff>
    </xdr:from>
    <xdr:to>
      <xdr:col>26</xdr:col>
      <xdr:colOff>247649</xdr:colOff>
      <xdr:row>60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6F04CF-53C2-9D4F-B114-11B06519A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4224" y="8896349"/>
              <a:ext cx="10944225" cy="3267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1</xdr:row>
      <xdr:rowOff>104774</xdr:rowOff>
    </xdr:from>
    <xdr:to>
      <xdr:col>19</xdr:col>
      <xdr:colOff>676275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6CAB7-3627-94AA-7030-1D70B42D6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501183</xdr:colOff>
      <xdr:row>3</xdr:row>
      <xdr:rowOff>119903</xdr:rowOff>
    </xdr:from>
    <xdr:to>
      <xdr:col>22</xdr:col>
      <xdr:colOff>344021</xdr:colOff>
      <xdr:row>29</xdr:row>
      <xdr:rowOff>138952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4E1DD-A698-C426-869D-B083183E9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85725</xdr:rowOff>
    </xdr:from>
    <xdr:to>
      <xdr:col>7</xdr:col>
      <xdr:colOff>1181100</xdr:colOff>
      <xdr:row>31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40F68-9DB6-E123-846F-A4AB8DBBF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Corona" refreshedDate="45090.565571064813" createdVersion="8" refreshedVersion="8" minRefreshableVersion="3" recordCount="1001" xr:uid="{EAC60431-D0E1-489F-B008-4B926585D53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10">
      <sharedItems containsString="0" containsBlank="1" containsNumber="1" minValue="0" maxValue="23.388333333333332"/>
    </cacheField>
    <cacheField name="Average_Donation" numFmtId="0">
      <sharedItems containsString="0" containsBlank="1" containsNumber="1" minValue="0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Corona" refreshedDate="45090.662415393519" createdVersion="8" refreshedVersion="8" minRefreshableVersion="3" recordCount="1001" xr:uid="{F783B365-F456-457D-901D-EFCADFF28944}">
  <cacheSource type="worksheet">
    <worksheetSource ref="C1:T1048576" sheet="Crowdfunding"/>
  </cacheSource>
  <cacheFields count="21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10">
      <sharedItems containsString="0" containsBlank="1" containsNumber="1" minValue="0" maxValue="23.388333333333332"/>
    </cacheField>
    <cacheField name="Average_Donation" numFmtId="0">
      <sharedItems containsString="0" containsBlank="1" containsNumber="1" minValue="0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/>
    </cacheField>
    <cacheField name="Date_Ended_Convertion" numFmtId="0">
      <sharedItems containsNonDate="0" containsDate="1" containsString="0" containsBlank="1" minDate="2010-01-09T06:00:00" maxDate="2020-02-10T06:00:00"/>
    </cacheField>
    <cacheField name="Months (Date_Created_Conversion)" numFmtId="0" databaseField="0">
      <fieldGroup base="16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Quarters (Date_Created_Conversion)" numFmtId="0" databaseField="0">
      <fieldGroup base="16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_Created_Conversion)" numFmtId="0" databaseField="0">
      <fieldGroup base="16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BA6D6-D97B-4A37-8EC1-F47D960049F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1"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4" hier="-1"/>
    <pageField fld="20" hier="-1"/>
  </pageFields>
  <dataFields count="1">
    <dataField name="Count of outcome" fld="3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4D163-7BC0-4D38-9799-1684ED4901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_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BB963-DA05-4469-BBD6-AB535DE398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E1" workbookViewId="0">
      <selection activeCell="S274" sqref="S1:S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0.875" customWidth="1"/>
    <col min="7" max="7" width="16.625" style="5" customWidth="1"/>
    <col min="8" max="8" width="13" bestFit="1" customWidth="1"/>
    <col min="9" max="9" width="8.5" customWidth="1"/>
    <col min="11" max="12" width="11.125" bestFit="1" customWidth="1"/>
    <col min="15" max="15" width="28" bestFit="1" customWidth="1"/>
    <col min="16" max="16" width="17.625" customWidth="1"/>
    <col min="17" max="17" width="15.25" customWidth="1"/>
    <col min="18" max="18" width="17.25" customWidth="1"/>
    <col min="19" max="19" width="16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2064</v>
      </c>
      <c r="R1" s="1" t="s">
        <v>2065</v>
      </c>
      <c r="S1" s="1" t="s">
        <v>2073</v>
      </c>
      <c r="T1" s="1" t="s">
        <v>2074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 t="shared" ref="G2:G65" si="0">(E2/D2)</f>
        <v>0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f t="shared" ref="P2:P65" si="1">IFERROR(E2/H2, 0 )</f>
        <v>0</v>
      </c>
      <c r="Q2" t="s">
        <v>2031</v>
      </c>
      <c r="R2" t="s">
        <v>2032</v>
      </c>
      <c r="S2" s="9">
        <f>(((K2/60)/60)/24)+DATE(1970,1,1)</f>
        <v>42336.25</v>
      </c>
      <c r="T2" s="9">
        <f>(((L2/60)/60)/24)+DATE(1970,1,1)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si="0"/>
        <v>10.4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 t="shared" si="1"/>
        <v>92.151898734177209</v>
      </c>
      <c r="Q3" t="s">
        <v>2033</v>
      </c>
      <c r="R3" t="s">
        <v>2034</v>
      </c>
      <c r="S3" s="9">
        <f t="shared" ref="S3:S66" si="2">(((K3/60)/60)/24)+DATE(1970,1,1)</f>
        <v>41870.208333333336</v>
      </c>
      <c r="T3" s="9">
        <f t="shared" ref="T3:T66" si="3">(((L3/60)/60)/24)+DATE(1970,1,1)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 t="shared" si="1"/>
        <v>100.01614035087719</v>
      </c>
      <c r="Q4" t="s">
        <v>2035</v>
      </c>
      <c r="R4" t="s">
        <v>2036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si="1"/>
        <v>103.20833333333333</v>
      </c>
      <c r="Q5" t="s">
        <v>2033</v>
      </c>
      <c r="R5" t="s">
        <v>2034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1"/>
        <v>99.339622641509436</v>
      </c>
      <c r="Q6" t="s">
        <v>2037</v>
      </c>
      <c r="R6" t="s">
        <v>2038</v>
      </c>
      <c r="S6" s="9">
        <f t="shared" si="2"/>
        <v>43485.25</v>
      </c>
      <c r="T6" s="9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1"/>
        <v>75.833333333333329</v>
      </c>
      <c r="Q7" t="s">
        <v>2037</v>
      </c>
      <c r="R7" t="s">
        <v>2038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1"/>
        <v>60.555555555555557</v>
      </c>
      <c r="Q8" t="s">
        <v>2039</v>
      </c>
      <c r="R8" t="s">
        <v>2040</v>
      </c>
      <c r="S8" s="9">
        <f t="shared" si="2"/>
        <v>42991.208333333328</v>
      </c>
      <c r="T8" s="9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1"/>
        <v>64.93832599118943</v>
      </c>
      <c r="Q9" t="s">
        <v>2037</v>
      </c>
      <c r="R9" t="s">
        <v>2038</v>
      </c>
      <c r="S9" s="9">
        <f t="shared" si="2"/>
        <v>42229.208333333328</v>
      </c>
      <c r="T9" s="9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1"/>
        <v>30.997175141242938</v>
      </c>
      <c r="Q10" t="s">
        <v>2037</v>
      </c>
      <c r="R10" t="s">
        <v>2038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1"/>
        <v>72.909090909090907</v>
      </c>
      <c r="Q11" t="s">
        <v>2033</v>
      </c>
      <c r="R11" t="s">
        <v>2041</v>
      </c>
      <c r="S11" s="9">
        <f t="shared" si="2"/>
        <v>41536.208333333336</v>
      </c>
      <c r="T11" s="9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1"/>
        <v>62.9</v>
      </c>
      <c r="Q12" t="s">
        <v>2039</v>
      </c>
      <c r="R12" t="s">
        <v>2042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1"/>
        <v>112.22222222222223</v>
      </c>
      <c r="Q13" t="s">
        <v>2037</v>
      </c>
      <c r="R13" t="s">
        <v>2038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1"/>
        <v>102.34545454545454</v>
      </c>
      <c r="Q14" t="s">
        <v>2039</v>
      </c>
      <c r="R14" t="s">
        <v>2042</v>
      </c>
      <c r="S14" s="9">
        <f t="shared" si="2"/>
        <v>43760.208333333328</v>
      </c>
      <c r="T14" s="9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1"/>
        <v>105.05102040816327</v>
      </c>
      <c r="Q15" t="s">
        <v>2033</v>
      </c>
      <c r="R15" t="s">
        <v>2043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1"/>
        <v>94.144999999999996</v>
      </c>
      <c r="Q16" t="s">
        <v>2033</v>
      </c>
      <c r="R16" t="s">
        <v>2043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1"/>
        <v>84.986725663716811</v>
      </c>
      <c r="Q17" t="s">
        <v>2035</v>
      </c>
      <c r="R17" t="s">
        <v>2044</v>
      </c>
      <c r="S17" s="9">
        <f t="shared" si="2"/>
        <v>43809.25</v>
      </c>
      <c r="T17" s="9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1"/>
        <v>110.41</v>
      </c>
      <c r="Q18" t="s">
        <v>2045</v>
      </c>
      <c r="R18" t="s">
        <v>2046</v>
      </c>
      <c r="S18" s="9">
        <f t="shared" si="2"/>
        <v>41661.25</v>
      </c>
      <c r="T18" s="9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1"/>
        <v>107.96236989591674</v>
      </c>
      <c r="Q19" t="s">
        <v>2039</v>
      </c>
      <c r="R19" t="s">
        <v>2047</v>
      </c>
      <c r="S19" s="9">
        <f t="shared" si="2"/>
        <v>40555.25</v>
      </c>
      <c r="T19" s="9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1"/>
        <v>45.103703703703701</v>
      </c>
      <c r="Q20" t="s">
        <v>2037</v>
      </c>
      <c r="R20" t="s">
        <v>2038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1"/>
        <v>45.001483679525222</v>
      </c>
      <c r="Q21" t="s">
        <v>2037</v>
      </c>
      <c r="R21" t="s">
        <v>2038</v>
      </c>
      <c r="S21" s="9">
        <f t="shared" si="2"/>
        <v>43528.25</v>
      </c>
      <c r="T21" s="9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1"/>
        <v>105.97134670487107</v>
      </c>
      <c r="Q22" t="s">
        <v>2039</v>
      </c>
      <c r="R22" t="s">
        <v>2042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1"/>
        <v>69.055555555555557</v>
      </c>
      <c r="Q23" t="s">
        <v>2037</v>
      </c>
      <c r="R23" t="s">
        <v>2038</v>
      </c>
      <c r="S23" s="9">
        <f t="shared" si="2"/>
        <v>40770.208333333336</v>
      </c>
      <c r="T23" s="9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1"/>
        <v>85.044943820224717</v>
      </c>
      <c r="Q24" t="s">
        <v>2037</v>
      </c>
      <c r="R24" t="s">
        <v>2038</v>
      </c>
      <c r="S24" s="9">
        <f t="shared" si="2"/>
        <v>43193.208333333328</v>
      </c>
      <c r="T24" s="9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1"/>
        <v>105.22535211267606</v>
      </c>
      <c r="Q25" t="s">
        <v>2039</v>
      </c>
      <c r="R25" t="s">
        <v>2040</v>
      </c>
      <c r="S25" s="9">
        <f t="shared" si="2"/>
        <v>43510.25</v>
      </c>
      <c r="T25" s="9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1"/>
        <v>39.003741114852225</v>
      </c>
      <c r="Q26" t="s">
        <v>2035</v>
      </c>
      <c r="R26" t="s">
        <v>2044</v>
      </c>
      <c r="S26" s="9">
        <f t="shared" si="2"/>
        <v>41811.208333333336</v>
      </c>
      <c r="T26" s="9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1"/>
        <v>73.030674846625772</v>
      </c>
      <c r="Q27" t="s">
        <v>2048</v>
      </c>
      <c r="R27" t="s">
        <v>2049</v>
      </c>
      <c r="S27" s="9">
        <f t="shared" si="2"/>
        <v>40681.208333333336</v>
      </c>
      <c r="T27" s="9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1"/>
        <v>35.009459459459457</v>
      </c>
      <c r="Q28" t="s">
        <v>2037</v>
      </c>
      <c r="R28" t="s">
        <v>2038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1"/>
        <v>106.6</v>
      </c>
      <c r="Q29" t="s">
        <v>2033</v>
      </c>
      <c r="R29" t="s">
        <v>2034</v>
      </c>
      <c r="S29" s="9">
        <f t="shared" si="2"/>
        <v>42280.208333333328</v>
      </c>
      <c r="T29" s="9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1"/>
        <v>61.997747747747745</v>
      </c>
      <c r="Q30" t="s">
        <v>2037</v>
      </c>
      <c r="R30" t="s">
        <v>2038</v>
      </c>
      <c r="S30" s="9">
        <f t="shared" si="2"/>
        <v>40218.25</v>
      </c>
      <c r="T30" s="9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1"/>
        <v>94.000622665006233</v>
      </c>
      <c r="Q31" t="s">
        <v>2039</v>
      </c>
      <c r="R31" t="s">
        <v>2050</v>
      </c>
      <c r="S31" s="9">
        <f t="shared" si="2"/>
        <v>43301.208333333328</v>
      </c>
      <c r="T31" s="9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1"/>
        <v>112.05426356589147</v>
      </c>
      <c r="Q32" t="s">
        <v>2039</v>
      </c>
      <c r="R32" t="s">
        <v>2047</v>
      </c>
      <c r="S32" s="9">
        <f t="shared" si="2"/>
        <v>43609.208333333328</v>
      </c>
      <c r="T32" s="9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1"/>
        <v>48.008849557522126</v>
      </c>
      <c r="Q33" t="s">
        <v>2048</v>
      </c>
      <c r="R33" t="s">
        <v>2049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1"/>
        <v>38.004334633723452</v>
      </c>
      <c r="Q34" t="s">
        <v>2039</v>
      </c>
      <c r="R34" t="s">
        <v>2040</v>
      </c>
      <c r="S34" s="9">
        <f t="shared" si="2"/>
        <v>43110.25</v>
      </c>
      <c r="T34" s="9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1"/>
        <v>35.000184535892231</v>
      </c>
      <c r="Q35" t="s">
        <v>2037</v>
      </c>
      <c r="R35" t="s">
        <v>2038</v>
      </c>
      <c r="S35" s="9">
        <f t="shared" si="2"/>
        <v>41917.208333333336</v>
      </c>
      <c r="T35" s="9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1"/>
        <v>85</v>
      </c>
      <c r="Q36" t="s">
        <v>2039</v>
      </c>
      <c r="R36" t="s">
        <v>2040</v>
      </c>
      <c r="S36" s="9">
        <f t="shared" si="2"/>
        <v>42817.208333333328</v>
      </c>
      <c r="T36" s="9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1"/>
        <v>95.993893129770996</v>
      </c>
      <c r="Q37" t="s">
        <v>2039</v>
      </c>
      <c r="R37" t="s">
        <v>2042</v>
      </c>
      <c r="S37" s="9">
        <f t="shared" si="2"/>
        <v>43484.25</v>
      </c>
      <c r="T37" s="9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1"/>
        <v>68.8125</v>
      </c>
      <c r="Q38" t="s">
        <v>2037</v>
      </c>
      <c r="R38" t="s">
        <v>2038</v>
      </c>
      <c r="S38" s="9">
        <f t="shared" si="2"/>
        <v>40600.25</v>
      </c>
      <c r="T38" s="9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1"/>
        <v>105.97196261682242</v>
      </c>
      <c r="Q39" t="s">
        <v>2045</v>
      </c>
      <c r="R39" t="s">
        <v>2051</v>
      </c>
      <c r="S39" s="9">
        <f t="shared" si="2"/>
        <v>43744.208333333328</v>
      </c>
      <c r="T39" s="9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1"/>
        <v>75.261194029850742</v>
      </c>
      <c r="Q40" t="s">
        <v>2052</v>
      </c>
      <c r="R40" t="s">
        <v>2053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1"/>
        <v>57.125</v>
      </c>
      <c r="Q41" t="s">
        <v>2037</v>
      </c>
      <c r="R41" t="s">
        <v>2038</v>
      </c>
      <c r="S41" s="9">
        <f t="shared" si="2"/>
        <v>41330.25</v>
      </c>
      <c r="T41" s="9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1"/>
        <v>75.141414141414145</v>
      </c>
      <c r="Q42" t="s">
        <v>2035</v>
      </c>
      <c r="R42" t="s">
        <v>2044</v>
      </c>
      <c r="S42" s="9">
        <f t="shared" si="2"/>
        <v>40334.208333333336</v>
      </c>
      <c r="T42" s="9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1"/>
        <v>107.42342342342343</v>
      </c>
      <c r="Q43" t="s">
        <v>2033</v>
      </c>
      <c r="R43" t="s">
        <v>2034</v>
      </c>
      <c r="S43" s="9">
        <f t="shared" si="2"/>
        <v>41156.208333333336</v>
      </c>
      <c r="T43" s="9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1"/>
        <v>35.995495495495497</v>
      </c>
      <c r="Q44" t="s">
        <v>2031</v>
      </c>
      <c r="R44" t="s">
        <v>2032</v>
      </c>
      <c r="S44" s="9">
        <f t="shared" si="2"/>
        <v>40728.208333333336</v>
      </c>
      <c r="T44" s="9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1"/>
        <v>26.998873148744366</v>
      </c>
      <c r="Q45" t="s">
        <v>2045</v>
      </c>
      <c r="R45" t="s">
        <v>2054</v>
      </c>
      <c r="S45" s="9">
        <f t="shared" si="2"/>
        <v>41844.208333333336</v>
      </c>
      <c r="T45" s="9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1"/>
        <v>107.56122448979592</v>
      </c>
      <c r="Q46" t="s">
        <v>2045</v>
      </c>
      <c r="R46" t="s">
        <v>2051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1"/>
        <v>94.375</v>
      </c>
      <c r="Q47" t="s">
        <v>2037</v>
      </c>
      <c r="R47" t="s">
        <v>2038</v>
      </c>
      <c r="S47" s="9">
        <f t="shared" si="2"/>
        <v>42676.208333333328</v>
      </c>
      <c r="T47" s="9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1"/>
        <v>46.163043478260867</v>
      </c>
      <c r="Q48" t="s">
        <v>2033</v>
      </c>
      <c r="R48" t="s">
        <v>2034</v>
      </c>
      <c r="S48" s="9">
        <f t="shared" si="2"/>
        <v>40367.208333333336</v>
      </c>
      <c r="T48" s="9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1"/>
        <v>47.845637583892618</v>
      </c>
      <c r="Q49" t="s">
        <v>2037</v>
      </c>
      <c r="R49" t="s">
        <v>2038</v>
      </c>
      <c r="S49" s="9">
        <f t="shared" si="2"/>
        <v>41727.208333333336</v>
      </c>
      <c r="T49" s="9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1"/>
        <v>53.007815713698065</v>
      </c>
      <c r="Q50" t="s">
        <v>2037</v>
      </c>
      <c r="R50" t="s">
        <v>2038</v>
      </c>
      <c r="S50" s="9">
        <f t="shared" si="2"/>
        <v>42180.208333333328</v>
      </c>
      <c r="T50" s="9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1"/>
        <v>45.059405940594061</v>
      </c>
      <c r="Q51" t="s">
        <v>2033</v>
      </c>
      <c r="R51" t="s">
        <v>2034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1"/>
        <v>2</v>
      </c>
      <c r="Q52" t="s">
        <v>2033</v>
      </c>
      <c r="R52" t="s">
        <v>2055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1"/>
        <v>99.006816632583508</v>
      </c>
      <c r="Q53" t="s">
        <v>2035</v>
      </c>
      <c r="R53" t="s">
        <v>2044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1"/>
        <v>32.786666666666669</v>
      </c>
      <c r="Q54" t="s">
        <v>2037</v>
      </c>
      <c r="R54" t="s">
        <v>2038</v>
      </c>
      <c r="S54" s="9">
        <f t="shared" si="2"/>
        <v>40436.208333333336</v>
      </c>
      <c r="T54" s="9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1"/>
        <v>59.119617224880386</v>
      </c>
      <c r="Q55" t="s">
        <v>2039</v>
      </c>
      <c r="R55" t="s">
        <v>2042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1"/>
        <v>44.93333333333333</v>
      </c>
      <c r="Q56" t="s">
        <v>2035</v>
      </c>
      <c r="R56" t="s">
        <v>2044</v>
      </c>
      <c r="S56" s="9">
        <f t="shared" si="2"/>
        <v>43170.25</v>
      </c>
      <c r="T56" s="9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1"/>
        <v>89.664122137404576</v>
      </c>
      <c r="Q57" t="s">
        <v>2033</v>
      </c>
      <c r="R57" t="s">
        <v>2056</v>
      </c>
      <c r="S57" s="9">
        <f t="shared" si="2"/>
        <v>43311.208333333328</v>
      </c>
      <c r="T57" s="9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1"/>
        <v>70.079268292682926</v>
      </c>
      <c r="Q58" t="s">
        <v>2035</v>
      </c>
      <c r="R58" t="s">
        <v>2044</v>
      </c>
      <c r="S58" s="9">
        <f t="shared" si="2"/>
        <v>42014.25</v>
      </c>
      <c r="T58" s="9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1"/>
        <v>31.059701492537314</v>
      </c>
      <c r="Q59" t="s">
        <v>2048</v>
      </c>
      <c r="R59" t="s">
        <v>2049</v>
      </c>
      <c r="S59" s="9">
        <f t="shared" si="2"/>
        <v>42979.208333333328</v>
      </c>
      <c r="T59" s="9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1"/>
        <v>29.061611374407583</v>
      </c>
      <c r="Q60" t="s">
        <v>2037</v>
      </c>
      <c r="R60" t="s">
        <v>2038</v>
      </c>
      <c r="S60" s="9">
        <f t="shared" si="2"/>
        <v>42268.208333333328</v>
      </c>
      <c r="T60" s="9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1"/>
        <v>30.0859375</v>
      </c>
      <c r="Q61" t="s">
        <v>2037</v>
      </c>
      <c r="R61" t="s">
        <v>2038</v>
      </c>
      <c r="S61" s="9">
        <f t="shared" si="2"/>
        <v>42898.208333333328</v>
      </c>
      <c r="T61" s="9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1"/>
        <v>84.998125000000002</v>
      </c>
      <c r="Q62" t="s">
        <v>2037</v>
      </c>
      <c r="R62" t="s">
        <v>2038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1"/>
        <v>82.001775410563695</v>
      </c>
      <c r="Q63" t="s">
        <v>2037</v>
      </c>
      <c r="R63" t="s">
        <v>2038</v>
      </c>
      <c r="S63" s="9">
        <f t="shared" si="2"/>
        <v>40595.25</v>
      </c>
      <c r="T63" s="9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1"/>
        <v>58.040160642570278</v>
      </c>
      <c r="Q64" t="s">
        <v>2035</v>
      </c>
      <c r="R64" t="s">
        <v>2036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1"/>
        <v>111.4</v>
      </c>
      <c r="Q65" t="s">
        <v>2037</v>
      </c>
      <c r="R65" t="s">
        <v>2038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ref="G66:G129" si="4">(E66/D66)</f>
        <v>0.97642857142857142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ref="P66:P129" si="5">IFERROR(E66/H66, 0 )</f>
        <v>71.94736842105263</v>
      </c>
      <c r="Q66" t="s">
        <v>2035</v>
      </c>
      <c r="R66" t="s">
        <v>2036</v>
      </c>
      <c r="S66" s="9">
        <f t="shared" si="2"/>
        <v>43283.208333333328</v>
      </c>
      <c r="T66" s="9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si="4"/>
        <v>2.3614754098360655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si="5"/>
        <v>61.038135593220339</v>
      </c>
      <c r="Q67" t="s">
        <v>2037</v>
      </c>
      <c r="R67" t="s">
        <v>2038</v>
      </c>
      <c r="S67" s="9">
        <f t="shared" ref="S67:S130" si="6">(((K67/60)/60)/24)+DATE(1970,1,1)</f>
        <v>40570.25</v>
      </c>
      <c r="T67" s="9">
        <f t="shared" ref="T67:T130" si="7">(((L67/60)/60)/24)+DATE(1970,1,1)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4"/>
        <v>0.45068965517241377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si="5"/>
        <v>108.91666666666667</v>
      </c>
      <c r="Q68" t="s">
        <v>2037</v>
      </c>
      <c r="R68" t="s">
        <v>2038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4"/>
        <v>1.6238567493112948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5"/>
        <v>29.001722017220171</v>
      </c>
      <c r="Q69" t="s">
        <v>2035</v>
      </c>
      <c r="R69" t="s">
        <v>2044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4"/>
        <v>2.5452631578947367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5"/>
        <v>58.975609756097562</v>
      </c>
      <c r="Q70" t="s">
        <v>2037</v>
      </c>
      <c r="R70" t="s">
        <v>2038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4"/>
        <v>0.24063291139240506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5"/>
        <v>111.82352941176471</v>
      </c>
      <c r="Q71" t="s">
        <v>2037</v>
      </c>
      <c r="R71" t="s">
        <v>2038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4"/>
        <v>1.2374140625000001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5"/>
        <v>63.995555555555555</v>
      </c>
      <c r="Q72" t="s">
        <v>2037</v>
      </c>
      <c r="R72" t="s">
        <v>2038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4"/>
        <v>1.0806666666666667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5"/>
        <v>85.315789473684205</v>
      </c>
      <c r="Q73" t="s">
        <v>2037</v>
      </c>
      <c r="R73" t="s">
        <v>2038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4"/>
        <v>6.7033333333333331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5"/>
        <v>74.481481481481481</v>
      </c>
      <c r="Q74" t="s">
        <v>2039</v>
      </c>
      <c r="R74" t="s">
        <v>2047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4"/>
        <v>6.609285714285714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5"/>
        <v>105.14772727272727</v>
      </c>
      <c r="Q75" t="s">
        <v>2033</v>
      </c>
      <c r="R75" t="s">
        <v>2056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4"/>
        <v>1.2246153846153847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5"/>
        <v>56.188235294117646</v>
      </c>
      <c r="Q76" t="s">
        <v>2033</v>
      </c>
      <c r="R76" t="s">
        <v>2055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4"/>
        <v>1.5057731958762886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5"/>
        <v>85.917647058823533</v>
      </c>
      <c r="Q77" t="s">
        <v>2052</v>
      </c>
      <c r="R77" t="s">
        <v>2053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4"/>
        <v>0.78106590724165992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5"/>
        <v>57.00296912114014</v>
      </c>
      <c r="Q78" t="s">
        <v>2037</v>
      </c>
      <c r="R78" t="s">
        <v>2038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4"/>
        <v>0.46947368421052632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5"/>
        <v>79.642857142857139</v>
      </c>
      <c r="Q79" t="s">
        <v>2039</v>
      </c>
      <c r="R79" t="s">
        <v>2047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4"/>
        <v>3.008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5"/>
        <v>41.018181818181816</v>
      </c>
      <c r="Q80" t="s">
        <v>2045</v>
      </c>
      <c r="R80" t="s">
        <v>2057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4"/>
        <v>0.6959861591695502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5"/>
        <v>48.004773269689736</v>
      </c>
      <c r="Q81" t="s">
        <v>2037</v>
      </c>
      <c r="R81" t="s">
        <v>2038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4"/>
        <v>6.374545454545455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5"/>
        <v>55.212598425196852</v>
      </c>
      <c r="Q82" t="s">
        <v>2048</v>
      </c>
      <c r="R82" t="s">
        <v>2049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4"/>
        <v>2.253392857142857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5"/>
        <v>92.109489051094897</v>
      </c>
      <c r="Q83" t="s">
        <v>2033</v>
      </c>
      <c r="R83" t="s">
        <v>2034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4"/>
        <v>14.973000000000001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5"/>
        <v>83.183333333333337</v>
      </c>
      <c r="Q84" t="s">
        <v>2048</v>
      </c>
      <c r="R84" t="s">
        <v>2049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4"/>
        <v>0.37590225563909774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5"/>
        <v>39.996000000000002</v>
      </c>
      <c r="Q85" t="s">
        <v>2033</v>
      </c>
      <c r="R85" t="s">
        <v>2041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4"/>
        <v>1.3236942675159236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5"/>
        <v>111.1336898395722</v>
      </c>
      <c r="Q86" t="s">
        <v>2035</v>
      </c>
      <c r="R86" t="s">
        <v>2044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4"/>
        <v>1.3122448979591836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5"/>
        <v>90.563380281690144</v>
      </c>
      <c r="Q87" t="s">
        <v>2033</v>
      </c>
      <c r="R87" t="s">
        <v>2043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4"/>
        <v>1.6763513513513513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5"/>
        <v>61.108374384236456</v>
      </c>
      <c r="Q88" t="s">
        <v>2037</v>
      </c>
      <c r="R88" t="s">
        <v>2038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4"/>
        <v>0.6198488664987406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5"/>
        <v>83.022941970310384</v>
      </c>
      <c r="Q89" t="s">
        <v>2033</v>
      </c>
      <c r="R89" t="s">
        <v>2034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4"/>
        <v>2.6074999999999999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5"/>
        <v>110.76106194690266</v>
      </c>
      <c r="Q90" t="s">
        <v>2045</v>
      </c>
      <c r="R90" t="s">
        <v>2057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4"/>
        <v>2.5258823529411765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5"/>
        <v>89.458333333333329</v>
      </c>
      <c r="Q91" t="s">
        <v>2037</v>
      </c>
      <c r="R91" t="s">
        <v>2038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4"/>
        <v>0.7861538461538462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5"/>
        <v>57.849056603773583</v>
      </c>
      <c r="Q92" t="s">
        <v>2037</v>
      </c>
      <c r="R92" t="s">
        <v>2038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4"/>
        <v>0.48404406999351912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5"/>
        <v>109.99705449189985</v>
      </c>
      <c r="Q93" t="s">
        <v>2045</v>
      </c>
      <c r="R93" t="s">
        <v>2057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4"/>
        <v>2.5887500000000001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5"/>
        <v>103.96586345381526</v>
      </c>
      <c r="Q94" t="s">
        <v>2048</v>
      </c>
      <c r="R94" t="s">
        <v>2049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4"/>
        <v>0.60548713235294116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5"/>
        <v>107.99508196721311</v>
      </c>
      <c r="Q95" t="s">
        <v>2037</v>
      </c>
      <c r="R95" t="s">
        <v>2038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4"/>
        <v>3.036896551724138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5"/>
        <v>48.927777777777777</v>
      </c>
      <c r="Q96" t="s">
        <v>2035</v>
      </c>
      <c r="R96" t="s">
        <v>2036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4"/>
        <v>1.1299999999999999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5"/>
        <v>37.666666666666664</v>
      </c>
      <c r="Q97" t="s">
        <v>2039</v>
      </c>
      <c r="R97" t="s">
        <v>2040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4"/>
        <v>2.1737876614060259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5"/>
        <v>64.999141999141997</v>
      </c>
      <c r="Q98" t="s">
        <v>2037</v>
      </c>
      <c r="R98" t="s">
        <v>2038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4"/>
        <v>9.2669230769230762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5"/>
        <v>106.61061946902655</v>
      </c>
      <c r="Q99" t="s">
        <v>2031</v>
      </c>
      <c r="R99" t="s">
        <v>2032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4"/>
        <v>0.33692229038854804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5"/>
        <v>27.009016393442622</v>
      </c>
      <c r="Q100" t="s">
        <v>2048</v>
      </c>
      <c r="R100" t="s">
        <v>2049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4"/>
        <v>1.9672368421052631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5"/>
        <v>91.16463414634147</v>
      </c>
      <c r="Q101" t="s">
        <v>2037</v>
      </c>
      <c r="R101" t="s">
        <v>2038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4"/>
        <v>0.01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5"/>
        <v>1</v>
      </c>
      <c r="Q102" t="s">
        <v>2037</v>
      </c>
      <c r="R102" t="s">
        <v>2038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4"/>
        <v>10.214444444444444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5"/>
        <v>56.054878048780488</v>
      </c>
      <c r="Q103" t="s">
        <v>2033</v>
      </c>
      <c r="R103" t="s">
        <v>2041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4"/>
        <v>2.8167567567567566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5"/>
        <v>31.017857142857142</v>
      </c>
      <c r="Q104" t="s">
        <v>2035</v>
      </c>
      <c r="R104" t="s">
        <v>2044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4"/>
        <v>0.24610000000000001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5"/>
        <v>66.513513513513516</v>
      </c>
      <c r="Q105" t="s">
        <v>2033</v>
      </c>
      <c r="R105" t="s">
        <v>2041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4"/>
        <v>1.4314010067114094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5"/>
        <v>89.005216484089729</v>
      </c>
      <c r="Q106" t="s">
        <v>2033</v>
      </c>
      <c r="R106" t="s">
        <v>2043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4"/>
        <v>1.4454411764705883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5"/>
        <v>103.46315789473684</v>
      </c>
      <c r="Q107" t="s">
        <v>2035</v>
      </c>
      <c r="R107" t="s">
        <v>2036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4"/>
        <v>3.5912820512820511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5"/>
        <v>95.278911564625844</v>
      </c>
      <c r="Q108" t="s">
        <v>2037</v>
      </c>
      <c r="R108" t="s">
        <v>2038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4"/>
        <v>1.8648571428571428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5"/>
        <v>75.895348837209298</v>
      </c>
      <c r="Q109" t="s">
        <v>2037</v>
      </c>
      <c r="R109" t="s">
        <v>2038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4"/>
        <v>5.9526666666666666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5"/>
        <v>107.57831325301204</v>
      </c>
      <c r="Q110" t="s">
        <v>2039</v>
      </c>
      <c r="R110" t="s">
        <v>2040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4"/>
        <v>0.5921153846153846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5"/>
        <v>51.31666666666667</v>
      </c>
      <c r="Q111" t="s">
        <v>2039</v>
      </c>
      <c r="R111" t="s">
        <v>2058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4"/>
        <v>0.14962780898876404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5"/>
        <v>71.983108108108112</v>
      </c>
      <c r="Q112" t="s">
        <v>2031</v>
      </c>
      <c r="R112" t="s">
        <v>2032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4"/>
        <v>1.1995602605863191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5"/>
        <v>108.95414201183432</v>
      </c>
      <c r="Q113" t="s">
        <v>2045</v>
      </c>
      <c r="R113" t="s">
        <v>2054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4"/>
        <v>2.6882978723404256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5"/>
        <v>35</v>
      </c>
      <c r="Q114" t="s">
        <v>2035</v>
      </c>
      <c r="R114" t="s">
        <v>2036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4"/>
        <v>3.7687878787878786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5"/>
        <v>94.938931297709928</v>
      </c>
      <c r="Q115" t="s">
        <v>2031</v>
      </c>
      <c r="R115" t="s">
        <v>2032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4"/>
        <v>7.2715789473684209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5"/>
        <v>109.65079365079364</v>
      </c>
      <c r="Q116" t="s">
        <v>2035</v>
      </c>
      <c r="R116" t="s">
        <v>2044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4"/>
        <v>0.87211757648470301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5"/>
        <v>44.001815980629537</v>
      </c>
      <c r="Q117" t="s">
        <v>2045</v>
      </c>
      <c r="R117" t="s">
        <v>2051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4"/>
        <v>0.88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5"/>
        <v>86.794520547945211</v>
      </c>
      <c r="Q118" t="s">
        <v>2037</v>
      </c>
      <c r="R118" t="s">
        <v>2038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4"/>
        <v>1.7393877551020409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5"/>
        <v>30.992727272727272</v>
      </c>
      <c r="Q119" t="s">
        <v>2039</v>
      </c>
      <c r="R119" t="s">
        <v>2058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4"/>
        <v>1.1761111111111111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5"/>
        <v>94.791044776119406</v>
      </c>
      <c r="Q120" t="s">
        <v>2052</v>
      </c>
      <c r="R120" t="s">
        <v>2053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4"/>
        <v>2.1496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5"/>
        <v>69.79220779220779</v>
      </c>
      <c r="Q121" t="s">
        <v>2039</v>
      </c>
      <c r="R121" t="s">
        <v>2040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4"/>
        <v>1.4949667110519307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5"/>
        <v>63.003367003367003</v>
      </c>
      <c r="Q122" t="s">
        <v>2048</v>
      </c>
      <c r="R122" t="s">
        <v>2059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4"/>
        <v>2.1933995584988963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5"/>
        <v>110.0343300110742</v>
      </c>
      <c r="Q123" t="s">
        <v>2048</v>
      </c>
      <c r="R123" t="s">
        <v>2049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4"/>
        <v>0.64367690058479532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5"/>
        <v>25.997933274284026</v>
      </c>
      <c r="Q124" t="s">
        <v>2045</v>
      </c>
      <c r="R124" t="s">
        <v>2051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4"/>
        <v>0.18622397298818233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5"/>
        <v>49.987915407854985</v>
      </c>
      <c r="Q125" t="s">
        <v>2037</v>
      </c>
      <c r="R125" t="s">
        <v>2038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4"/>
        <v>3.6776923076923076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5"/>
        <v>101.72340425531915</v>
      </c>
      <c r="Q126" t="s">
        <v>2052</v>
      </c>
      <c r="R126" t="s">
        <v>2053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4"/>
        <v>1.5990566037735849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5"/>
        <v>47.083333333333336</v>
      </c>
      <c r="Q127" t="s">
        <v>2037</v>
      </c>
      <c r="R127" t="s">
        <v>2038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4"/>
        <v>0.38633185349611543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5"/>
        <v>89.944444444444443</v>
      </c>
      <c r="Q128" t="s">
        <v>2037</v>
      </c>
      <c r="R128" t="s">
        <v>2038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4"/>
        <v>0.51421511627906979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5"/>
        <v>78.96875</v>
      </c>
      <c r="Q129" t="s">
        <v>2037</v>
      </c>
      <c r="R129" t="s">
        <v>2038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ref="G130:G193" si="8">(E130/D130)</f>
        <v>0.60334277620396604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ref="P130:P193" si="9">IFERROR(E130/H130, 0 )</f>
        <v>80.067669172932327</v>
      </c>
      <c r="Q130" t="s">
        <v>2033</v>
      </c>
      <c r="R130" t="s">
        <v>2034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si="8"/>
        <v>3.2026936026936029E-2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si="9"/>
        <v>86.472727272727269</v>
      </c>
      <c r="Q131" t="s">
        <v>2031</v>
      </c>
      <c r="R131" t="s">
        <v>2032</v>
      </c>
      <c r="S131" s="9">
        <f t="shared" ref="S131:S194" si="10">(((K131/60)/60)/24)+DATE(1970,1,1)</f>
        <v>42038.25</v>
      </c>
      <c r="T131" s="9">
        <f t="shared" ref="T131:T194" si="11">(((L131/60)/60)/24)+DATE(1970,1,1)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8"/>
        <v>1.5546875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si="9"/>
        <v>28.001876172607879</v>
      </c>
      <c r="Q132" t="s">
        <v>2039</v>
      </c>
      <c r="R132" t="s">
        <v>2042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8"/>
        <v>1.0085974499089254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9"/>
        <v>67.996725337699544</v>
      </c>
      <c r="Q133" t="s">
        <v>2035</v>
      </c>
      <c r="R133" t="s">
        <v>2036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8"/>
        <v>1.1618181818181819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9"/>
        <v>43.078651685393261</v>
      </c>
      <c r="Q134" t="s">
        <v>2037</v>
      </c>
      <c r="R134" t="s">
        <v>2038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8"/>
        <v>3.1077777777777778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9"/>
        <v>87.95597484276729</v>
      </c>
      <c r="Q135" t="s">
        <v>2033</v>
      </c>
      <c r="R135" t="s">
        <v>2060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8"/>
        <v>0.89736683417085428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9"/>
        <v>94.987234042553197</v>
      </c>
      <c r="Q136" t="s">
        <v>2039</v>
      </c>
      <c r="R136" t="s">
        <v>2040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8"/>
        <v>0.71272727272727276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9"/>
        <v>46.905982905982903</v>
      </c>
      <c r="Q137" t="s">
        <v>2037</v>
      </c>
      <c r="R137" t="s">
        <v>2038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8"/>
        <v>3.2862318840579711E-2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9"/>
        <v>46.913793103448278</v>
      </c>
      <c r="Q138" t="s">
        <v>2039</v>
      </c>
      <c r="R138" t="s">
        <v>2042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8"/>
        <v>2.617777777777778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9"/>
        <v>94.24</v>
      </c>
      <c r="Q139" t="s">
        <v>2045</v>
      </c>
      <c r="R139" t="s">
        <v>2046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8"/>
        <v>0.96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9"/>
        <v>80.139130434782615</v>
      </c>
      <c r="Q140" t="s">
        <v>2048</v>
      </c>
      <c r="R140" t="s">
        <v>2059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8"/>
        <v>0.20896851248642778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9"/>
        <v>59.036809815950917</v>
      </c>
      <c r="Q141" t="s">
        <v>2035</v>
      </c>
      <c r="R141" t="s">
        <v>2044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8"/>
        <v>2.2316363636363636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9"/>
        <v>65.989247311827953</v>
      </c>
      <c r="Q142" t="s">
        <v>2039</v>
      </c>
      <c r="R142" t="s">
        <v>2040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8"/>
        <v>1.0159097978227061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9"/>
        <v>60.992530345471522</v>
      </c>
      <c r="Q143" t="s">
        <v>2035</v>
      </c>
      <c r="R143" t="s">
        <v>2036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8"/>
        <v>2.3003999999999998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9"/>
        <v>98.307692307692307</v>
      </c>
      <c r="Q144" t="s">
        <v>2035</v>
      </c>
      <c r="R144" t="s">
        <v>2036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8"/>
        <v>1.355925925925926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9"/>
        <v>104.6</v>
      </c>
      <c r="Q145" t="s">
        <v>2033</v>
      </c>
      <c r="R145" t="s">
        <v>2043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8"/>
        <v>1.2909999999999999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9"/>
        <v>86.066666666666663</v>
      </c>
      <c r="Q146" t="s">
        <v>2037</v>
      </c>
      <c r="R146" t="s">
        <v>2038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8"/>
        <v>2.3651200000000001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9"/>
        <v>76.989583333333329</v>
      </c>
      <c r="Q147" t="s">
        <v>2035</v>
      </c>
      <c r="R147" t="s">
        <v>2044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8"/>
        <v>0.17249999999999999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9"/>
        <v>29.764705882352942</v>
      </c>
      <c r="Q148" t="s">
        <v>2037</v>
      </c>
      <c r="R148" t="s">
        <v>2038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8"/>
        <v>1.1249397590361445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9"/>
        <v>46.91959798994975</v>
      </c>
      <c r="Q149" t="s">
        <v>2037</v>
      </c>
      <c r="R149" t="s">
        <v>2038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8"/>
        <v>1.2102150537634409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9"/>
        <v>105.18691588785046</v>
      </c>
      <c r="Q150" t="s">
        <v>2035</v>
      </c>
      <c r="R150" t="s">
        <v>2044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8"/>
        <v>2.1987096774193549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9"/>
        <v>69.907692307692301</v>
      </c>
      <c r="Q151" t="s">
        <v>2033</v>
      </c>
      <c r="R151" t="s">
        <v>2043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8"/>
        <v>0.01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9"/>
        <v>1</v>
      </c>
      <c r="Q152" t="s">
        <v>2033</v>
      </c>
      <c r="R152" t="s">
        <v>2034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8"/>
        <v>0.64166909620991253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9"/>
        <v>60.011588275391958</v>
      </c>
      <c r="Q153" t="s">
        <v>2033</v>
      </c>
      <c r="R153" t="s">
        <v>2041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8"/>
        <v>4.2306746987951804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9"/>
        <v>52.006220379146917</v>
      </c>
      <c r="Q154" t="s">
        <v>2033</v>
      </c>
      <c r="R154" t="s">
        <v>2043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8"/>
        <v>0.92984160506863778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9"/>
        <v>31.000176025347649</v>
      </c>
      <c r="Q155" t="s">
        <v>2037</v>
      </c>
      <c r="R155" t="s">
        <v>2038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8"/>
        <v>0.58756567425569173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9"/>
        <v>95.042492917847028</v>
      </c>
      <c r="Q156" t="s">
        <v>2033</v>
      </c>
      <c r="R156" t="s">
        <v>2043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8"/>
        <v>0.65022222222222226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9"/>
        <v>75.968174204355108</v>
      </c>
      <c r="Q157" t="s">
        <v>2037</v>
      </c>
      <c r="R157" t="s">
        <v>2038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8"/>
        <v>0.73939560439560437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9"/>
        <v>71.013192612137203</v>
      </c>
      <c r="Q158" t="s">
        <v>2033</v>
      </c>
      <c r="R158" t="s">
        <v>2034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8"/>
        <v>0.52666666666666662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9"/>
        <v>73.733333333333334</v>
      </c>
      <c r="Q159" t="s">
        <v>2052</v>
      </c>
      <c r="R159" t="s">
        <v>2053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8"/>
        <v>2.2095238095238097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9"/>
        <v>113.17073170731707</v>
      </c>
      <c r="Q160" t="s">
        <v>2033</v>
      </c>
      <c r="R160" t="s">
        <v>2034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8"/>
        <v>1.0001150627615063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9"/>
        <v>105.00933552992861</v>
      </c>
      <c r="Q161" t="s">
        <v>2037</v>
      </c>
      <c r="R161" t="s">
        <v>2038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8"/>
        <v>1.6231249999999999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9"/>
        <v>79.176829268292678</v>
      </c>
      <c r="Q162" t="s">
        <v>2035</v>
      </c>
      <c r="R162" t="s">
        <v>2044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8"/>
        <v>0.78181818181818186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9"/>
        <v>57.333333333333336</v>
      </c>
      <c r="Q163" t="s">
        <v>2035</v>
      </c>
      <c r="R163" t="s">
        <v>2036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8"/>
        <v>1.4973770491803278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9"/>
        <v>58.178343949044589</v>
      </c>
      <c r="Q164" t="s">
        <v>2033</v>
      </c>
      <c r="R164" t="s">
        <v>2034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8"/>
        <v>2.5325714285714285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9"/>
        <v>36.032520325203251</v>
      </c>
      <c r="Q165" t="s">
        <v>2052</v>
      </c>
      <c r="R165" t="s">
        <v>2053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8"/>
        <v>1.0016943521594683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9"/>
        <v>107.99068767908309</v>
      </c>
      <c r="Q166" t="s">
        <v>2037</v>
      </c>
      <c r="R166" t="s">
        <v>2038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8"/>
        <v>1.2199004424778761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9"/>
        <v>44.005985634477256</v>
      </c>
      <c r="Q167" t="s">
        <v>2035</v>
      </c>
      <c r="R167" t="s">
        <v>2036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8"/>
        <v>1.3713265306122449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9"/>
        <v>55.077868852459019</v>
      </c>
      <c r="Q168" t="s">
        <v>2052</v>
      </c>
      <c r="R168" t="s">
        <v>2053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8"/>
        <v>4.155384615384615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9"/>
        <v>74</v>
      </c>
      <c r="Q169" t="s">
        <v>2037</v>
      </c>
      <c r="R169" t="s">
        <v>2038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8"/>
        <v>0.3130913348946136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9"/>
        <v>41.996858638743454</v>
      </c>
      <c r="Q170" t="s">
        <v>2033</v>
      </c>
      <c r="R170" t="s">
        <v>2043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8"/>
        <v>4.240815450643777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9"/>
        <v>77.988161010260455</v>
      </c>
      <c r="Q171" t="s">
        <v>2039</v>
      </c>
      <c r="R171" t="s">
        <v>2050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8"/>
        <v>2.9388623072833599E-2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9"/>
        <v>82.507462686567166</v>
      </c>
      <c r="Q172" t="s">
        <v>2033</v>
      </c>
      <c r="R172" t="s">
        <v>2043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8"/>
        <v>0.1063265306122449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9"/>
        <v>104.2</v>
      </c>
      <c r="Q173" t="s">
        <v>2045</v>
      </c>
      <c r="R173" t="s">
        <v>2057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8"/>
        <v>0.82874999999999999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9"/>
        <v>25.5</v>
      </c>
      <c r="Q174" t="s">
        <v>2039</v>
      </c>
      <c r="R174" t="s">
        <v>2040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8"/>
        <v>1.6301447776628748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9"/>
        <v>100.98334401024984</v>
      </c>
      <c r="Q175" t="s">
        <v>2037</v>
      </c>
      <c r="R175" t="s">
        <v>2038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8"/>
        <v>8.9466666666666672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9"/>
        <v>111.83333333333333</v>
      </c>
      <c r="Q176" t="s">
        <v>2035</v>
      </c>
      <c r="R176" t="s">
        <v>2044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8"/>
        <v>0.26191501103752757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9"/>
        <v>41.999115044247787</v>
      </c>
      <c r="Q177" t="s">
        <v>2037</v>
      </c>
      <c r="R177" t="s">
        <v>2038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8"/>
        <v>0.74834782608695649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9"/>
        <v>110.05115089514067</v>
      </c>
      <c r="Q178" t="s">
        <v>2037</v>
      </c>
      <c r="R178" t="s">
        <v>2038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8"/>
        <v>4.1647680412371137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9"/>
        <v>58.997079225994888</v>
      </c>
      <c r="Q179" t="s">
        <v>2037</v>
      </c>
      <c r="R179" t="s">
        <v>2038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8"/>
        <v>0.96208333333333329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9"/>
        <v>32.985714285714288</v>
      </c>
      <c r="Q180" t="s">
        <v>2031</v>
      </c>
      <c r="R180" t="s">
        <v>2032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8"/>
        <v>3.5771910112359548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9"/>
        <v>45.005654509471306</v>
      </c>
      <c r="Q181" t="s">
        <v>2037</v>
      </c>
      <c r="R181" t="s">
        <v>2038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8"/>
        <v>3.0845714285714285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9"/>
        <v>81.98196487897485</v>
      </c>
      <c r="Q182" t="s">
        <v>2035</v>
      </c>
      <c r="R182" t="s">
        <v>2044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8"/>
        <v>0.61802325581395345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9"/>
        <v>39.080882352941174</v>
      </c>
      <c r="Q183" t="s">
        <v>2035</v>
      </c>
      <c r="R183" t="s">
        <v>2036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8"/>
        <v>7.2232472324723247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9"/>
        <v>58.996383363471971</v>
      </c>
      <c r="Q184" t="s">
        <v>2037</v>
      </c>
      <c r="R184" t="s">
        <v>2038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8"/>
        <v>0.69117647058823528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9"/>
        <v>40.988372093023258</v>
      </c>
      <c r="Q185" t="s">
        <v>2033</v>
      </c>
      <c r="R185" t="s">
        <v>2034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8"/>
        <v>2.9305555555555554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9"/>
        <v>31.029411764705884</v>
      </c>
      <c r="Q186" t="s">
        <v>2037</v>
      </c>
      <c r="R186" t="s">
        <v>2038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8"/>
        <v>0.71799999999999997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9"/>
        <v>37.789473684210527</v>
      </c>
      <c r="Q187" t="s">
        <v>2039</v>
      </c>
      <c r="R187" t="s">
        <v>2058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8"/>
        <v>0.31934684684684683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9"/>
        <v>32.006772009029348</v>
      </c>
      <c r="Q188" t="s">
        <v>2037</v>
      </c>
      <c r="R188" t="s">
        <v>2038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8"/>
        <v>2.2987375415282392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9"/>
        <v>95.966712898751737</v>
      </c>
      <c r="Q189" t="s">
        <v>2039</v>
      </c>
      <c r="R189" t="s">
        <v>2050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8"/>
        <v>0.3201219512195122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9"/>
        <v>75</v>
      </c>
      <c r="Q190" t="s">
        <v>2037</v>
      </c>
      <c r="R190" t="s">
        <v>2038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8"/>
        <v>0.23525352848928385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9"/>
        <v>102.0498866213152</v>
      </c>
      <c r="Q191" t="s">
        <v>2037</v>
      </c>
      <c r="R191" t="s">
        <v>2038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8"/>
        <v>0.68594594594594593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9"/>
        <v>105.75</v>
      </c>
      <c r="Q192" t="s">
        <v>2037</v>
      </c>
      <c r="R192" t="s">
        <v>2038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8"/>
        <v>0.37952380952380954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9"/>
        <v>37.069767441860463</v>
      </c>
      <c r="Q193" t="s">
        <v>2037</v>
      </c>
      <c r="R193" t="s">
        <v>2038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ref="G194:G257" si="12">(E194/D194)</f>
        <v>0.19992957746478873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ref="P194:P257" si="13">IFERROR(E194/H194, 0 )</f>
        <v>35.049382716049379</v>
      </c>
      <c r="Q194" t="s">
        <v>2033</v>
      </c>
      <c r="R194" t="s">
        <v>2034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si="12"/>
        <v>0.45636363636363636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si="13"/>
        <v>46.338461538461537</v>
      </c>
      <c r="Q195" t="s">
        <v>2033</v>
      </c>
      <c r="R195" t="s">
        <v>2043</v>
      </c>
      <c r="S195" s="9">
        <f t="shared" ref="S195:S258" si="14">(((K195/60)/60)/24)+DATE(1970,1,1)</f>
        <v>43198.208333333328</v>
      </c>
      <c r="T195" s="9">
        <f t="shared" ref="T195:T258" si="15">(((L195/60)/60)/24)+DATE(1970,1,1)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2"/>
        <v>1.227605633802817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si="13"/>
        <v>69.174603174603178</v>
      </c>
      <c r="Q196" t="s">
        <v>2033</v>
      </c>
      <c r="R196" t="s">
        <v>2055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2"/>
        <v>3.61753164556962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13"/>
        <v>109.07824427480917</v>
      </c>
      <c r="Q197" t="s">
        <v>2033</v>
      </c>
      <c r="R197" t="s">
        <v>2041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2"/>
        <v>0.63146341463414635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3"/>
        <v>51.78</v>
      </c>
      <c r="Q198" t="s">
        <v>2035</v>
      </c>
      <c r="R198" t="s">
        <v>2044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2"/>
        <v>2.9820475319926874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13"/>
        <v>82.010055304172951</v>
      </c>
      <c r="Q199" t="s">
        <v>2039</v>
      </c>
      <c r="R199" t="s">
        <v>2042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2"/>
        <v>9.5585443037974685E-2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13"/>
        <v>35.958333333333336</v>
      </c>
      <c r="Q200" t="s">
        <v>2033</v>
      </c>
      <c r="R200" t="s">
        <v>2041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2"/>
        <v>0.5377777777777778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13"/>
        <v>74.461538461538467</v>
      </c>
      <c r="Q201" t="s">
        <v>2033</v>
      </c>
      <c r="R201" t="s">
        <v>2034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2"/>
        <v>0.02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13"/>
        <v>2</v>
      </c>
      <c r="Q202" t="s">
        <v>2037</v>
      </c>
      <c r="R202" t="s">
        <v>2038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2"/>
        <v>6.8119047619047617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13"/>
        <v>91.114649681528661</v>
      </c>
      <c r="Q203" t="s">
        <v>2035</v>
      </c>
      <c r="R203" t="s">
        <v>2036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2"/>
        <v>0.78831325301204824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13"/>
        <v>79.792682926829272</v>
      </c>
      <c r="Q204" t="s">
        <v>2031</v>
      </c>
      <c r="R204" t="s">
        <v>2032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2"/>
        <v>1.3440792216817234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13"/>
        <v>42.999777678968428</v>
      </c>
      <c r="Q205" t="s">
        <v>2037</v>
      </c>
      <c r="R205" t="s">
        <v>2038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2"/>
        <v>3.372E-2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13"/>
        <v>63.225000000000001</v>
      </c>
      <c r="Q206" t="s">
        <v>2033</v>
      </c>
      <c r="R206" t="s">
        <v>2056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2"/>
        <v>4.3184615384615386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13"/>
        <v>70.174999999999997</v>
      </c>
      <c r="Q207" t="s">
        <v>2037</v>
      </c>
      <c r="R207" t="s">
        <v>2038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2"/>
        <v>0.38844444444444443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13"/>
        <v>61.333333333333336</v>
      </c>
      <c r="Q208" t="s">
        <v>2045</v>
      </c>
      <c r="R208" t="s">
        <v>2051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2"/>
        <v>4.2569999999999997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13"/>
        <v>99</v>
      </c>
      <c r="Q209" t="s">
        <v>2033</v>
      </c>
      <c r="R209" t="s">
        <v>2034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2"/>
        <v>1.0112239715591671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13"/>
        <v>96.984900146127615</v>
      </c>
      <c r="Q210" t="s">
        <v>2039</v>
      </c>
      <c r="R210" t="s">
        <v>2040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2"/>
        <v>0.21188688946015424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13"/>
        <v>51.004950495049506</v>
      </c>
      <c r="Q211" t="s">
        <v>2039</v>
      </c>
      <c r="R211" t="s">
        <v>2040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2"/>
        <v>0.67425531914893622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13"/>
        <v>28.044247787610619</v>
      </c>
      <c r="Q212" t="s">
        <v>2039</v>
      </c>
      <c r="R212" t="s">
        <v>2061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2"/>
        <v>0.9492337164750958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13"/>
        <v>60.984615384615381</v>
      </c>
      <c r="Q213" t="s">
        <v>2037</v>
      </c>
      <c r="R213" t="s">
        <v>2038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2"/>
        <v>1.5185185185185186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13"/>
        <v>73.214285714285708</v>
      </c>
      <c r="Q214" t="s">
        <v>2037</v>
      </c>
      <c r="R214" t="s">
        <v>2038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2"/>
        <v>1.9516382252559727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13"/>
        <v>39.997435299603637</v>
      </c>
      <c r="Q215" t="s">
        <v>2033</v>
      </c>
      <c r="R215" t="s">
        <v>2043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2"/>
        <v>10.231428571428571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13"/>
        <v>86.812121212121212</v>
      </c>
      <c r="Q216" t="s">
        <v>2033</v>
      </c>
      <c r="R216" t="s">
        <v>2034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2"/>
        <v>3.8418367346938778E-2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13"/>
        <v>42.125874125874127</v>
      </c>
      <c r="Q217" t="s">
        <v>2037</v>
      </c>
      <c r="R217" t="s">
        <v>2038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2"/>
        <v>1.5507066557107643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13"/>
        <v>103.97851239669421</v>
      </c>
      <c r="Q218" t="s">
        <v>2037</v>
      </c>
      <c r="R218" t="s">
        <v>2038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2"/>
        <v>0.44753477588871715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13"/>
        <v>62.003211991434689</v>
      </c>
      <c r="Q219" t="s">
        <v>2039</v>
      </c>
      <c r="R219" t="s">
        <v>2061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2"/>
        <v>2.1594736842105262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13"/>
        <v>31.005037783375315</v>
      </c>
      <c r="Q220" t="s">
        <v>2039</v>
      </c>
      <c r="R220" t="s">
        <v>2050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2"/>
        <v>3.3212709832134291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13"/>
        <v>89.991552956465242</v>
      </c>
      <c r="Q221" t="s">
        <v>2039</v>
      </c>
      <c r="R221" t="s">
        <v>2047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2"/>
        <v>8.4430379746835441E-2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13"/>
        <v>39.235294117647058</v>
      </c>
      <c r="Q222" t="s">
        <v>2037</v>
      </c>
      <c r="R222" t="s">
        <v>2038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2"/>
        <v>0.9862551440329218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13"/>
        <v>54.993116108306566</v>
      </c>
      <c r="Q223" t="s">
        <v>2031</v>
      </c>
      <c r="R223" t="s">
        <v>2032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2"/>
        <v>1.3797916666666667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13"/>
        <v>47.992753623188406</v>
      </c>
      <c r="Q224" t="s">
        <v>2052</v>
      </c>
      <c r="R224" t="s">
        <v>2053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2"/>
        <v>0.93810996563573879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13"/>
        <v>87.966702470461868</v>
      </c>
      <c r="Q225" t="s">
        <v>2037</v>
      </c>
      <c r="R225" t="s">
        <v>2038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2"/>
        <v>4.0363930885529156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13"/>
        <v>51.999165275459099</v>
      </c>
      <c r="Q226" t="s">
        <v>2039</v>
      </c>
      <c r="R226" t="s">
        <v>2061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2"/>
        <v>2.6017404129793511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13"/>
        <v>29.999659863945578</v>
      </c>
      <c r="Q227" t="s">
        <v>2033</v>
      </c>
      <c r="R227" t="s">
        <v>2034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2"/>
        <v>3.6663333333333332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13"/>
        <v>98.205357142857139</v>
      </c>
      <c r="Q228" t="s">
        <v>2052</v>
      </c>
      <c r="R228" t="s">
        <v>2053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2"/>
        <v>1.687208538587849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13"/>
        <v>108.96182396606575</v>
      </c>
      <c r="Q229" t="s">
        <v>2048</v>
      </c>
      <c r="R229" t="s">
        <v>2059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2"/>
        <v>1.1990717911530093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13"/>
        <v>66.998379254457049</v>
      </c>
      <c r="Q230" t="s">
        <v>2039</v>
      </c>
      <c r="R230" t="s">
        <v>2047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2"/>
        <v>1.936892523364486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13"/>
        <v>64.99333594668758</v>
      </c>
      <c r="Q231" t="s">
        <v>2048</v>
      </c>
      <c r="R231" t="s">
        <v>2059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2"/>
        <v>4.2016666666666671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13"/>
        <v>99.841584158415841</v>
      </c>
      <c r="Q232" t="s">
        <v>2048</v>
      </c>
      <c r="R232" t="s">
        <v>2049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2"/>
        <v>0.76708333333333334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13"/>
        <v>82.432835820895519</v>
      </c>
      <c r="Q233" t="s">
        <v>2037</v>
      </c>
      <c r="R233" t="s">
        <v>2038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2"/>
        <v>1.7126470588235294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13"/>
        <v>63.293478260869563</v>
      </c>
      <c r="Q234" t="s">
        <v>2037</v>
      </c>
      <c r="R234" t="s">
        <v>2038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2"/>
        <v>1.5789473684210527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13"/>
        <v>96.774193548387103</v>
      </c>
      <c r="Q235" t="s">
        <v>2039</v>
      </c>
      <c r="R235" t="s">
        <v>2047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2"/>
        <v>1.0908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13"/>
        <v>54.906040268456373</v>
      </c>
      <c r="Q236" t="s">
        <v>2048</v>
      </c>
      <c r="R236" t="s">
        <v>2049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2"/>
        <v>0.41732558139534881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13"/>
        <v>39.010869565217391</v>
      </c>
      <c r="Q237" t="s">
        <v>2039</v>
      </c>
      <c r="R237" t="s">
        <v>2047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2"/>
        <v>0.10944303797468355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13"/>
        <v>75.84210526315789</v>
      </c>
      <c r="Q238" t="s">
        <v>2033</v>
      </c>
      <c r="R238" t="s">
        <v>2034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2"/>
        <v>1.593763440860215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13"/>
        <v>45.051671732522799</v>
      </c>
      <c r="Q239" t="s">
        <v>2039</v>
      </c>
      <c r="R239" t="s">
        <v>2047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2"/>
        <v>4.2241666666666671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13"/>
        <v>104.51546391752578</v>
      </c>
      <c r="Q240" t="s">
        <v>2037</v>
      </c>
      <c r="R240" t="s">
        <v>2038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2"/>
        <v>0.97718749999999999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13"/>
        <v>76.268292682926827</v>
      </c>
      <c r="Q241" t="s">
        <v>2035</v>
      </c>
      <c r="R241" t="s">
        <v>2044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2"/>
        <v>4.1878911564625847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13"/>
        <v>69.015695067264573</v>
      </c>
      <c r="Q242" t="s">
        <v>2037</v>
      </c>
      <c r="R242" t="s">
        <v>2038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2"/>
        <v>1.0191632047477746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13"/>
        <v>101.97684085510689</v>
      </c>
      <c r="Q243" t="s">
        <v>2045</v>
      </c>
      <c r="R243" t="s">
        <v>2046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2"/>
        <v>1.2772619047619047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13"/>
        <v>42.915999999999997</v>
      </c>
      <c r="Q244" t="s">
        <v>2033</v>
      </c>
      <c r="R244" t="s">
        <v>2034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2"/>
        <v>4.4521739130434783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13"/>
        <v>43.025210084033617</v>
      </c>
      <c r="Q245" t="s">
        <v>2037</v>
      </c>
      <c r="R245" t="s">
        <v>2038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2"/>
        <v>5.6971428571428575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13"/>
        <v>75.245283018867923</v>
      </c>
      <c r="Q246" t="s">
        <v>2037</v>
      </c>
      <c r="R246" t="s">
        <v>2038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2"/>
        <v>5.0934482758620687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13"/>
        <v>69.023364485981304</v>
      </c>
      <c r="Q247" t="s">
        <v>2037</v>
      </c>
      <c r="R247" t="s">
        <v>2038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2"/>
        <v>3.2553333333333332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13"/>
        <v>65.986486486486484</v>
      </c>
      <c r="Q248" t="s">
        <v>2035</v>
      </c>
      <c r="R248" t="s">
        <v>2036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2"/>
        <v>9.3261616161616168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13"/>
        <v>98.013800424628457</v>
      </c>
      <c r="Q249" t="s">
        <v>2045</v>
      </c>
      <c r="R249" t="s">
        <v>2051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2"/>
        <v>2.1133870967741935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13"/>
        <v>60.105504587155963</v>
      </c>
      <c r="Q250" t="s">
        <v>2048</v>
      </c>
      <c r="R250" t="s">
        <v>2059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2"/>
        <v>2.7332520325203253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13"/>
        <v>26.000773395204948</v>
      </c>
      <c r="Q251" t="s">
        <v>2045</v>
      </c>
      <c r="R251" t="s">
        <v>2057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2"/>
        <v>0.03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13"/>
        <v>3</v>
      </c>
      <c r="Q252" t="s">
        <v>2033</v>
      </c>
      <c r="R252" t="s">
        <v>2034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2"/>
        <v>0.54084507042253516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13"/>
        <v>38.019801980198018</v>
      </c>
      <c r="Q253" t="s">
        <v>2037</v>
      </c>
      <c r="R253" t="s">
        <v>2038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2"/>
        <v>6.2629999999999999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13"/>
        <v>106.15254237288136</v>
      </c>
      <c r="Q254" t="s">
        <v>2037</v>
      </c>
      <c r="R254" t="s">
        <v>2038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2"/>
        <v>0.8902139917695473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13"/>
        <v>81.019475655430711</v>
      </c>
      <c r="Q255" t="s">
        <v>2039</v>
      </c>
      <c r="R255" t="s">
        <v>2042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2"/>
        <v>1.8489130434782608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13"/>
        <v>96.647727272727266</v>
      </c>
      <c r="Q256" t="s">
        <v>2045</v>
      </c>
      <c r="R256" t="s">
        <v>2046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2"/>
        <v>1.2016770186335404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13"/>
        <v>57.003535651149086</v>
      </c>
      <c r="Q257" t="s">
        <v>2033</v>
      </c>
      <c r="R257" t="s">
        <v>2034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ref="G258:G321" si="16">(E258/D258)</f>
        <v>0.23390243902439026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ref="P258:P321" si="17">IFERROR(E258/H258, 0 )</f>
        <v>63.93333333333333</v>
      </c>
      <c r="Q258" t="s">
        <v>2033</v>
      </c>
      <c r="R258" t="s">
        <v>2034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si="16"/>
        <v>1.46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si="17"/>
        <v>90.456521739130437</v>
      </c>
      <c r="Q259" t="s">
        <v>2037</v>
      </c>
      <c r="R259" t="s">
        <v>2038</v>
      </c>
      <c r="S259" s="9">
        <f t="shared" ref="S259:S322" si="18">(((K259/60)/60)/24)+DATE(1970,1,1)</f>
        <v>41338.25</v>
      </c>
      <c r="T259" s="9">
        <f t="shared" ref="T259:T322" si="19">(((L259/60)/60)/24)+DATE(1970,1,1)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6"/>
        <v>2.6848000000000001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si="17"/>
        <v>72.172043010752688</v>
      </c>
      <c r="Q260" t="s">
        <v>2037</v>
      </c>
      <c r="R260" t="s">
        <v>2038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6"/>
        <v>5.9749999999999996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17"/>
        <v>77.934782608695656</v>
      </c>
      <c r="Q261" t="s">
        <v>2052</v>
      </c>
      <c r="R261" t="s">
        <v>2053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6"/>
        <v>1.5769841269841269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17"/>
        <v>38.065134099616856</v>
      </c>
      <c r="Q262" t="s">
        <v>2033</v>
      </c>
      <c r="R262" t="s">
        <v>2034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6"/>
        <v>0.31201660735468567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17"/>
        <v>57.936123348017624</v>
      </c>
      <c r="Q263" t="s">
        <v>2033</v>
      </c>
      <c r="R263" t="s">
        <v>2034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6"/>
        <v>3.1341176470588237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17"/>
        <v>49.794392523364486</v>
      </c>
      <c r="Q264" t="s">
        <v>2033</v>
      </c>
      <c r="R264" t="s">
        <v>2043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6"/>
        <v>3.7089655172413791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17"/>
        <v>54.050251256281406</v>
      </c>
      <c r="Q265" t="s">
        <v>2052</v>
      </c>
      <c r="R265" t="s">
        <v>2053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6"/>
        <v>3.6266447368421053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17"/>
        <v>30.002721335268504</v>
      </c>
      <c r="Q266" t="s">
        <v>2037</v>
      </c>
      <c r="R266" t="s">
        <v>2038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6"/>
        <v>1.2308163265306122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17"/>
        <v>70.127906976744185</v>
      </c>
      <c r="Q267" t="s">
        <v>2037</v>
      </c>
      <c r="R267" t="s">
        <v>2038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6"/>
        <v>0.76766756032171579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17"/>
        <v>26.996228786926462</v>
      </c>
      <c r="Q268" t="s">
        <v>2033</v>
      </c>
      <c r="R268" t="s">
        <v>2056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6"/>
        <v>2.3362012987012988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17"/>
        <v>51.990606936416185</v>
      </c>
      <c r="Q269" t="s">
        <v>2037</v>
      </c>
      <c r="R269" t="s">
        <v>2038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6"/>
        <v>1.8053333333333332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17"/>
        <v>56.416666666666664</v>
      </c>
      <c r="Q270" t="s">
        <v>2039</v>
      </c>
      <c r="R270" t="s">
        <v>2040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6"/>
        <v>2.5262857142857142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17"/>
        <v>101.63218390804597</v>
      </c>
      <c r="Q271" t="s">
        <v>2039</v>
      </c>
      <c r="R271" t="s">
        <v>2058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6"/>
        <v>0.27176538240368026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17"/>
        <v>25.005291005291006</v>
      </c>
      <c r="Q272" t="s">
        <v>2048</v>
      </c>
      <c r="R272" t="s">
        <v>2049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6"/>
        <v>1.2706571242680547E-2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17"/>
        <v>32.016393442622949</v>
      </c>
      <c r="Q273" t="s">
        <v>2052</v>
      </c>
      <c r="R273" t="s">
        <v>2053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6"/>
        <v>3.0400978473581213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17"/>
        <v>82.021647307286173</v>
      </c>
      <c r="Q274" t="s">
        <v>2037</v>
      </c>
      <c r="R274" t="s">
        <v>2038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6"/>
        <v>1.3723076923076922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17"/>
        <v>37.957446808510639</v>
      </c>
      <c r="Q275" t="s">
        <v>2037</v>
      </c>
      <c r="R275" t="s">
        <v>2038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6"/>
        <v>0.32208333333333333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17"/>
        <v>51.533333333333331</v>
      </c>
      <c r="Q276" t="s">
        <v>2037</v>
      </c>
      <c r="R276" t="s">
        <v>2038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6"/>
        <v>2.4151282051282053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17"/>
        <v>81.198275862068968</v>
      </c>
      <c r="Q277" t="s">
        <v>2045</v>
      </c>
      <c r="R277" t="s">
        <v>2057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6"/>
        <v>0.96799999999999997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17"/>
        <v>40.030075187969928</v>
      </c>
      <c r="Q278" t="s">
        <v>2048</v>
      </c>
      <c r="R278" t="s">
        <v>2049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6"/>
        <v>10.664285714285715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17"/>
        <v>89.939759036144579</v>
      </c>
      <c r="Q279" t="s">
        <v>2037</v>
      </c>
      <c r="R279" t="s">
        <v>2038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6"/>
        <v>3.2588888888888889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17"/>
        <v>96.692307692307693</v>
      </c>
      <c r="Q280" t="s">
        <v>2035</v>
      </c>
      <c r="R280" t="s">
        <v>2036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6"/>
        <v>1.7070000000000001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17"/>
        <v>25.010989010989011</v>
      </c>
      <c r="Q281" t="s">
        <v>2037</v>
      </c>
      <c r="R281" t="s">
        <v>2038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6"/>
        <v>5.8144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17"/>
        <v>36.987277353689571</v>
      </c>
      <c r="Q282" t="s">
        <v>2039</v>
      </c>
      <c r="R282" t="s">
        <v>2047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6"/>
        <v>0.91520972644376897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17"/>
        <v>73.012609117361791</v>
      </c>
      <c r="Q283" t="s">
        <v>2037</v>
      </c>
      <c r="R283" t="s">
        <v>2038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6"/>
        <v>1.0804761904761904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17"/>
        <v>68.240601503759393</v>
      </c>
      <c r="Q284" t="s">
        <v>2039</v>
      </c>
      <c r="R284" t="s">
        <v>2058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6"/>
        <v>0.18728395061728395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17"/>
        <v>52.310344827586206</v>
      </c>
      <c r="Q285" t="s">
        <v>2033</v>
      </c>
      <c r="R285" t="s">
        <v>2034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6"/>
        <v>0.83193877551020412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17"/>
        <v>61.765151515151516</v>
      </c>
      <c r="Q286" t="s">
        <v>2035</v>
      </c>
      <c r="R286" t="s">
        <v>2036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6"/>
        <v>7.0633333333333335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17"/>
        <v>25.027559055118111</v>
      </c>
      <c r="Q287" t="s">
        <v>2037</v>
      </c>
      <c r="R287" t="s">
        <v>2038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6"/>
        <v>0.17446030330062445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17"/>
        <v>106.28804347826087</v>
      </c>
      <c r="Q288" t="s">
        <v>2037</v>
      </c>
      <c r="R288" t="s">
        <v>2038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6"/>
        <v>2.0973015873015872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17"/>
        <v>75.07386363636364</v>
      </c>
      <c r="Q289" t="s">
        <v>2033</v>
      </c>
      <c r="R289" t="s">
        <v>2041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6"/>
        <v>0.97785714285714287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17"/>
        <v>39.970802919708028</v>
      </c>
      <c r="Q290" t="s">
        <v>2033</v>
      </c>
      <c r="R290" t="s">
        <v>2055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6"/>
        <v>16.842500000000001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17"/>
        <v>39.982195845697326</v>
      </c>
      <c r="Q291" t="s">
        <v>2037</v>
      </c>
      <c r="R291" t="s">
        <v>2038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6"/>
        <v>0.54402135231316728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17"/>
        <v>101.01541850220265</v>
      </c>
      <c r="Q292" t="s">
        <v>2039</v>
      </c>
      <c r="R292" t="s">
        <v>2040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6"/>
        <v>4.5661111111111108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17"/>
        <v>76.813084112149539</v>
      </c>
      <c r="Q293" t="s">
        <v>2035</v>
      </c>
      <c r="R293" t="s">
        <v>2036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6"/>
        <v>9.8219178082191785E-2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17"/>
        <v>71.7</v>
      </c>
      <c r="Q294" t="s">
        <v>2031</v>
      </c>
      <c r="R294" t="s">
        <v>2032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6"/>
        <v>0.16384615384615384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17"/>
        <v>33.28125</v>
      </c>
      <c r="Q295" t="s">
        <v>2037</v>
      </c>
      <c r="R295" t="s">
        <v>2038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6"/>
        <v>13.396666666666667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17"/>
        <v>43.923497267759565</v>
      </c>
      <c r="Q296" t="s">
        <v>2037</v>
      </c>
      <c r="R296" t="s">
        <v>2038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6"/>
        <v>0.35650077760497667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17"/>
        <v>36.004712041884815</v>
      </c>
      <c r="Q297" t="s">
        <v>2037</v>
      </c>
      <c r="R297" t="s">
        <v>2038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6"/>
        <v>0.54950819672131146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17"/>
        <v>88.21052631578948</v>
      </c>
      <c r="Q298" t="s">
        <v>2037</v>
      </c>
      <c r="R298" t="s">
        <v>2038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6"/>
        <v>0.94236111111111109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17"/>
        <v>65.240384615384613</v>
      </c>
      <c r="Q299" t="s">
        <v>2037</v>
      </c>
      <c r="R299" t="s">
        <v>2038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6"/>
        <v>1.4391428571428571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17"/>
        <v>69.958333333333329</v>
      </c>
      <c r="Q300" t="s">
        <v>2033</v>
      </c>
      <c r="R300" t="s">
        <v>2034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6"/>
        <v>0.51421052631578945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17"/>
        <v>39.877551020408163</v>
      </c>
      <c r="Q301" t="s">
        <v>2031</v>
      </c>
      <c r="R301" t="s">
        <v>2032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6"/>
        <v>0.05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17"/>
        <v>5</v>
      </c>
      <c r="Q302" t="s">
        <v>2045</v>
      </c>
      <c r="R302" t="s">
        <v>2046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6"/>
        <v>13.446666666666667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17"/>
        <v>41.023728813559323</v>
      </c>
      <c r="Q303" t="s">
        <v>2039</v>
      </c>
      <c r="R303" t="s">
        <v>2040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6"/>
        <v>0.31844940867279897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17"/>
        <v>98.914285714285711</v>
      </c>
      <c r="Q304" t="s">
        <v>2037</v>
      </c>
      <c r="R304" t="s">
        <v>2038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6"/>
        <v>0.82617647058823529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17"/>
        <v>87.78125</v>
      </c>
      <c r="Q305" t="s">
        <v>2033</v>
      </c>
      <c r="R305" t="s">
        <v>2043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6"/>
        <v>5.4614285714285717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17"/>
        <v>80.767605633802816</v>
      </c>
      <c r="Q306" t="s">
        <v>2039</v>
      </c>
      <c r="R306" t="s">
        <v>2040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6"/>
        <v>2.8621428571428571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17"/>
        <v>94.28235294117647</v>
      </c>
      <c r="Q307" t="s">
        <v>2037</v>
      </c>
      <c r="R307" t="s">
        <v>2038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6"/>
        <v>7.9076923076923072E-2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17"/>
        <v>73.428571428571431</v>
      </c>
      <c r="Q308" t="s">
        <v>2037</v>
      </c>
      <c r="R308" t="s">
        <v>2038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6"/>
        <v>1.3213677811550153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17"/>
        <v>65.968133535660087</v>
      </c>
      <c r="Q309" t="s">
        <v>2045</v>
      </c>
      <c r="R309" t="s">
        <v>2051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6"/>
        <v>0.74077834179357027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17"/>
        <v>109.04109589041096</v>
      </c>
      <c r="Q310" t="s">
        <v>2037</v>
      </c>
      <c r="R310" t="s">
        <v>2038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6"/>
        <v>0.75292682926829269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17"/>
        <v>41.16</v>
      </c>
      <c r="Q311" t="s">
        <v>2033</v>
      </c>
      <c r="R311" t="s">
        <v>2043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6"/>
        <v>0.20333333333333334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17"/>
        <v>99.125</v>
      </c>
      <c r="Q312" t="s">
        <v>2048</v>
      </c>
      <c r="R312" t="s">
        <v>2049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6"/>
        <v>2.0336507936507937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17"/>
        <v>105.88429752066116</v>
      </c>
      <c r="Q313" t="s">
        <v>2037</v>
      </c>
      <c r="R313" t="s">
        <v>2038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6"/>
        <v>3.1022842639593908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17"/>
        <v>48.996525921966864</v>
      </c>
      <c r="Q314" t="s">
        <v>2037</v>
      </c>
      <c r="R314" t="s">
        <v>2038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6"/>
        <v>3.9531818181818181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17"/>
        <v>39</v>
      </c>
      <c r="Q315" t="s">
        <v>2033</v>
      </c>
      <c r="R315" t="s">
        <v>2034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6"/>
        <v>2.9471428571428571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17"/>
        <v>31.022556390977442</v>
      </c>
      <c r="Q316" t="s">
        <v>2039</v>
      </c>
      <c r="R316" t="s">
        <v>2040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6"/>
        <v>0.33894736842105261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17"/>
        <v>103.87096774193549</v>
      </c>
      <c r="Q317" t="s">
        <v>2037</v>
      </c>
      <c r="R317" t="s">
        <v>2038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6"/>
        <v>0.66677083333333331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17"/>
        <v>59.268518518518519</v>
      </c>
      <c r="Q318" t="s">
        <v>2031</v>
      </c>
      <c r="R318" t="s">
        <v>2032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6"/>
        <v>0.19227272727272726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17"/>
        <v>42.3</v>
      </c>
      <c r="Q319" t="s">
        <v>2037</v>
      </c>
      <c r="R319" t="s">
        <v>2038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6"/>
        <v>0.15842105263157893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17"/>
        <v>53.117647058823529</v>
      </c>
      <c r="Q320" t="s">
        <v>2033</v>
      </c>
      <c r="R320" t="s">
        <v>2034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6"/>
        <v>0.38702380952380955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17"/>
        <v>50.796875</v>
      </c>
      <c r="Q321" t="s">
        <v>2035</v>
      </c>
      <c r="R321" t="s">
        <v>2036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ref="G322:G385" si="20">(E322/D322)</f>
        <v>9.5876777251184833E-2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ref="P322:P385" si="21">IFERROR(E322/H322, 0 )</f>
        <v>101.15</v>
      </c>
      <c r="Q322" t="s">
        <v>2045</v>
      </c>
      <c r="R322" t="s">
        <v>2051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si="20"/>
        <v>0.94144366197183094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si="21"/>
        <v>65.000810372771468</v>
      </c>
      <c r="Q323" t="s">
        <v>2039</v>
      </c>
      <c r="R323" t="s">
        <v>2050</v>
      </c>
      <c r="S323" s="9">
        <f t="shared" ref="S323:S386" si="22">(((K323/60)/60)/24)+DATE(1970,1,1)</f>
        <v>40634.208333333336</v>
      </c>
      <c r="T323" s="9">
        <f t="shared" ref="T323:T386" si="23">(((L323/60)/60)/24)+DATE(1970,1,1)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20"/>
        <v>1.6656234096692113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si="21"/>
        <v>37.998645510835914</v>
      </c>
      <c r="Q324" t="s">
        <v>2037</v>
      </c>
      <c r="R324" t="s">
        <v>2038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20"/>
        <v>0.24134831460674158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21"/>
        <v>82.615384615384613</v>
      </c>
      <c r="Q325" t="s">
        <v>2039</v>
      </c>
      <c r="R325" t="s">
        <v>2040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20"/>
        <v>1.6405633802816901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21"/>
        <v>37.941368078175898</v>
      </c>
      <c r="Q326" t="s">
        <v>2037</v>
      </c>
      <c r="R326" t="s">
        <v>2038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20"/>
        <v>0.90723076923076929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21"/>
        <v>80.780821917808225</v>
      </c>
      <c r="Q327" t="s">
        <v>2037</v>
      </c>
      <c r="R327" t="s">
        <v>2038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20"/>
        <v>0.46194444444444444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21"/>
        <v>25.984375</v>
      </c>
      <c r="Q328" t="s">
        <v>2039</v>
      </c>
      <c r="R328" t="s">
        <v>2047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20"/>
        <v>0.38538461538461538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21"/>
        <v>30.363636363636363</v>
      </c>
      <c r="Q329" t="s">
        <v>2037</v>
      </c>
      <c r="R329" t="s">
        <v>2038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20"/>
        <v>1.3356231003039514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21"/>
        <v>54.004916018025398</v>
      </c>
      <c r="Q330" t="s">
        <v>2033</v>
      </c>
      <c r="R330" t="s">
        <v>2034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20"/>
        <v>0.22896588486140726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21"/>
        <v>101.78672985781991</v>
      </c>
      <c r="Q331" t="s">
        <v>2048</v>
      </c>
      <c r="R331" t="s">
        <v>2049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20"/>
        <v>1.8495548961424333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21"/>
        <v>45.003610108303249</v>
      </c>
      <c r="Q332" t="s">
        <v>2039</v>
      </c>
      <c r="R332" t="s">
        <v>2040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20"/>
        <v>4.4372727272727275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21"/>
        <v>77.068421052631578</v>
      </c>
      <c r="Q333" t="s">
        <v>2031</v>
      </c>
      <c r="R333" t="s">
        <v>2032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20"/>
        <v>1.999806763285024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21"/>
        <v>88.076595744680844</v>
      </c>
      <c r="Q334" t="s">
        <v>2035</v>
      </c>
      <c r="R334" t="s">
        <v>2044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20"/>
        <v>1.2395833333333333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21"/>
        <v>47.035573122529641</v>
      </c>
      <c r="Q335" t="s">
        <v>2037</v>
      </c>
      <c r="R335" t="s">
        <v>2038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20"/>
        <v>1.8661329305135952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21"/>
        <v>110.99550763701707</v>
      </c>
      <c r="Q336" t="s">
        <v>2033</v>
      </c>
      <c r="R336" t="s">
        <v>2034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20"/>
        <v>1.1428538550057536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21"/>
        <v>87.003066141042481</v>
      </c>
      <c r="Q337" t="s">
        <v>2033</v>
      </c>
      <c r="R337" t="s">
        <v>2034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20"/>
        <v>0.97032531824611035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21"/>
        <v>63.994402985074629</v>
      </c>
      <c r="Q338" t="s">
        <v>2033</v>
      </c>
      <c r="R338" t="s">
        <v>2034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20"/>
        <v>1.2281904761904763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21"/>
        <v>105.9945205479452</v>
      </c>
      <c r="Q339" t="s">
        <v>2037</v>
      </c>
      <c r="R339" t="s">
        <v>2038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20"/>
        <v>1.7914326647564469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21"/>
        <v>73.989349112426041</v>
      </c>
      <c r="Q340" t="s">
        <v>2037</v>
      </c>
      <c r="R340" t="s">
        <v>2038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20"/>
        <v>0.79951577402787966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21"/>
        <v>84.02004626060139</v>
      </c>
      <c r="Q341" t="s">
        <v>2037</v>
      </c>
      <c r="R341" t="s">
        <v>2038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20"/>
        <v>0.94242587601078165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21"/>
        <v>88.966921119592882</v>
      </c>
      <c r="Q342" t="s">
        <v>2052</v>
      </c>
      <c r="R342" t="s">
        <v>2053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20"/>
        <v>0.84669291338582675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21"/>
        <v>76.990453460620529</v>
      </c>
      <c r="Q343" t="s">
        <v>2033</v>
      </c>
      <c r="R343" t="s">
        <v>2043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20"/>
        <v>0.66521920668058454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21"/>
        <v>97.146341463414629</v>
      </c>
      <c r="Q344" t="s">
        <v>2037</v>
      </c>
      <c r="R344" t="s">
        <v>2038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20"/>
        <v>0.53922222222222227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21"/>
        <v>33.013605442176868</v>
      </c>
      <c r="Q345" t="s">
        <v>2037</v>
      </c>
      <c r="R345" t="s">
        <v>2038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20"/>
        <v>0.41983299595141699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21"/>
        <v>99.950602409638549</v>
      </c>
      <c r="Q346" t="s">
        <v>2048</v>
      </c>
      <c r="R346" t="s">
        <v>2049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20"/>
        <v>0.14694796954314721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21"/>
        <v>69.966767371601208</v>
      </c>
      <c r="Q347" t="s">
        <v>2039</v>
      </c>
      <c r="R347" t="s">
        <v>2042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20"/>
        <v>0.34475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21"/>
        <v>110.32</v>
      </c>
      <c r="Q348" t="s">
        <v>2033</v>
      </c>
      <c r="R348" t="s">
        <v>2043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20"/>
        <v>14.007777777777777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21"/>
        <v>66.005235602094245</v>
      </c>
      <c r="Q349" t="s">
        <v>2035</v>
      </c>
      <c r="R349" t="s">
        <v>2036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20"/>
        <v>0.71770351758793971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21"/>
        <v>41.005742176284812</v>
      </c>
      <c r="Q350" t="s">
        <v>2031</v>
      </c>
      <c r="R350" t="s">
        <v>2032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20"/>
        <v>0.53074115044247783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21"/>
        <v>103.96316359696641</v>
      </c>
      <c r="Q351" t="s">
        <v>2037</v>
      </c>
      <c r="R351" t="s">
        <v>2038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20"/>
        <v>0.05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21"/>
        <v>5</v>
      </c>
      <c r="Q352" t="s">
        <v>2033</v>
      </c>
      <c r="R352" t="s">
        <v>2056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20"/>
        <v>1.2770715249662619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21"/>
        <v>47.009935419771487</v>
      </c>
      <c r="Q353" t="s">
        <v>2033</v>
      </c>
      <c r="R353" t="s">
        <v>2034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20"/>
        <v>0.34892857142857142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21"/>
        <v>29.606060606060606</v>
      </c>
      <c r="Q354" t="s">
        <v>2037</v>
      </c>
      <c r="R354" t="s">
        <v>2038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20"/>
        <v>4.105982142857143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21"/>
        <v>81.010569583088667</v>
      </c>
      <c r="Q355" t="s">
        <v>2037</v>
      </c>
      <c r="R355" t="s">
        <v>2038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20"/>
        <v>1.2373770491803278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21"/>
        <v>94.35</v>
      </c>
      <c r="Q356" t="s">
        <v>2039</v>
      </c>
      <c r="R356" t="s">
        <v>2040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20"/>
        <v>0.58973684210526311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21"/>
        <v>26.058139534883722</v>
      </c>
      <c r="Q357" t="s">
        <v>2035</v>
      </c>
      <c r="R357" t="s">
        <v>2044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20"/>
        <v>0.36892473118279567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21"/>
        <v>85.775000000000006</v>
      </c>
      <c r="Q358" t="s">
        <v>2037</v>
      </c>
      <c r="R358" t="s">
        <v>2038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20"/>
        <v>1.8491304347826087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21"/>
        <v>103.73170731707317</v>
      </c>
      <c r="Q359" t="s">
        <v>2048</v>
      </c>
      <c r="R359" t="s">
        <v>2049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20"/>
        <v>0.11814432989690722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21"/>
        <v>49.826086956521742</v>
      </c>
      <c r="Q360" t="s">
        <v>2052</v>
      </c>
      <c r="R360" t="s">
        <v>2053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20"/>
        <v>2.9870000000000001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21"/>
        <v>63.893048128342244</v>
      </c>
      <c r="Q361" t="s">
        <v>2039</v>
      </c>
      <c r="R361" t="s">
        <v>2047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20"/>
        <v>2.2635175879396985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21"/>
        <v>47.002434782608695</v>
      </c>
      <c r="Q362" t="s">
        <v>2037</v>
      </c>
      <c r="R362" t="s">
        <v>2038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20"/>
        <v>1.7356363636363636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21"/>
        <v>108.47727272727273</v>
      </c>
      <c r="Q363" t="s">
        <v>2037</v>
      </c>
      <c r="R363" t="s">
        <v>2038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20"/>
        <v>3.7175675675675675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21"/>
        <v>72.015706806282722</v>
      </c>
      <c r="Q364" t="s">
        <v>2033</v>
      </c>
      <c r="R364" t="s">
        <v>2034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20"/>
        <v>1.601923076923077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21"/>
        <v>59.928057553956833</v>
      </c>
      <c r="Q365" t="s">
        <v>2033</v>
      </c>
      <c r="R365" t="s">
        <v>2034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20"/>
        <v>16.163333333333334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21"/>
        <v>78.209677419354833</v>
      </c>
      <c r="Q366" t="s">
        <v>2033</v>
      </c>
      <c r="R366" t="s">
        <v>2043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20"/>
        <v>7.3343749999999996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21"/>
        <v>104.77678571428571</v>
      </c>
      <c r="Q367" t="s">
        <v>2037</v>
      </c>
      <c r="R367" t="s">
        <v>2038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20"/>
        <v>5.9211111111111112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21"/>
        <v>105.52475247524752</v>
      </c>
      <c r="Q368" t="s">
        <v>2037</v>
      </c>
      <c r="R368" t="s">
        <v>2038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20"/>
        <v>0.18888888888888888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21"/>
        <v>24.933333333333334</v>
      </c>
      <c r="Q369" t="s">
        <v>2037</v>
      </c>
      <c r="R369" t="s">
        <v>2038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20"/>
        <v>2.7680769230769231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21"/>
        <v>69.873786407766985</v>
      </c>
      <c r="Q370" t="s">
        <v>2039</v>
      </c>
      <c r="R370" t="s">
        <v>2040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20"/>
        <v>2.730185185185185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21"/>
        <v>95.733766233766232</v>
      </c>
      <c r="Q371" t="s">
        <v>2039</v>
      </c>
      <c r="R371" t="s">
        <v>2058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20"/>
        <v>1.593633125556545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21"/>
        <v>29.997485752598056</v>
      </c>
      <c r="Q372" t="s">
        <v>2037</v>
      </c>
      <c r="R372" t="s">
        <v>2038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20"/>
        <v>0.67869978858350954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21"/>
        <v>59.011948529411768</v>
      </c>
      <c r="Q373" t="s">
        <v>2037</v>
      </c>
      <c r="R373" t="s">
        <v>2038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20"/>
        <v>15.915555555555555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21"/>
        <v>84.757396449704146</v>
      </c>
      <c r="Q374" t="s">
        <v>2039</v>
      </c>
      <c r="R374" t="s">
        <v>2040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20"/>
        <v>7.3018222222222224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21"/>
        <v>78.010921177587846</v>
      </c>
      <c r="Q375" t="s">
        <v>2037</v>
      </c>
      <c r="R375" t="s">
        <v>2038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20"/>
        <v>0.13185782556750297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21"/>
        <v>50.05215419501134</v>
      </c>
      <c r="Q376" t="s">
        <v>2039</v>
      </c>
      <c r="R376" t="s">
        <v>2040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20"/>
        <v>0.54777777777777781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21"/>
        <v>59.16</v>
      </c>
      <c r="Q377" t="s">
        <v>2033</v>
      </c>
      <c r="R377" t="s">
        <v>2043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20"/>
        <v>3.6102941176470589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21"/>
        <v>93.702290076335885</v>
      </c>
      <c r="Q378" t="s">
        <v>2033</v>
      </c>
      <c r="R378" t="s">
        <v>2034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20"/>
        <v>0.10257545271629778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21"/>
        <v>40.14173228346457</v>
      </c>
      <c r="Q379" t="s">
        <v>2037</v>
      </c>
      <c r="R379" t="s">
        <v>2038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20"/>
        <v>0.13962962962962963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21"/>
        <v>70.090140845070422</v>
      </c>
      <c r="Q380" t="s">
        <v>2039</v>
      </c>
      <c r="R380" t="s">
        <v>2040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20"/>
        <v>0.40444444444444444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21"/>
        <v>66.181818181818187</v>
      </c>
      <c r="Q381" t="s">
        <v>2037</v>
      </c>
      <c r="R381" t="s">
        <v>2038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20"/>
        <v>1.6032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21"/>
        <v>47.714285714285715</v>
      </c>
      <c r="Q382" t="s">
        <v>2037</v>
      </c>
      <c r="R382" t="s">
        <v>2038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20"/>
        <v>1.8394339622641509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21"/>
        <v>62.896774193548389</v>
      </c>
      <c r="Q383" t="s">
        <v>2037</v>
      </c>
      <c r="R383" t="s">
        <v>2038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20"/>
        <v>0.63769230769230767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21"/>
        <v>86.611940298507463</v>
      </c>
      <c r="Q384" t="s">
        <v>2052</v>
      </c>
      <c r="R384" t="s">
        <v>2053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20"/>
        <v>2.2538095238095237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21"/>
        <v>75.126984126984127</v>
      </c>
      <c r="Q385" t="s">
        <v>2031</v>
      </c>
      <c r="R385" t="s">
        <v>2032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ref="G386:G449" si="24">(E386/D386)</f>
        <v>1.7200961538461539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ref="P386:P449" si="25">IFERROR(E386/H386, 0 )</f>
        <v>41.004167534903104</v>
      </c>
      <c r="Q386" t="s">
        <v>2039</v>
      </c>
      <c r="R386" t="s">
        <v>2040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si="24"/>
        <v>1.4616709511568124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si="25"/>
        <v>50.007915567282325</v>
      </c>
      <c r="Q387" t="s">
        <v>2045</v>
      </c>
      <c r="R387" t="s">
        <v>2046</v>
      </c>
      <c r="S387" s="9">
        <f t="shared" ref="S387:S450" si="26">(((K387/60)/60)/24)+DATE(1970,1,1)</f>
        <v>43553.208333333328</v>
      </c>
      <c r="T387" s="9">
        <f t="shared" ref="T387:T450" si="27">(((L387/60)/60)/24)+DATE(1970,1,1)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24"/>
        <v>0.76423616236162362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si="25"/>
        <v>96.960674157303373</v>
      </c>
      <c r="Q388" t="s">
        <v>2037</v>
      </c>
      <c r="R388" t="s">
        <v>2038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4"/>
        <v>0.39261467889908258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25"/>
        <v>100.93160377358491</v>
      </c>
      <c r="Q389" t="s">
        <v>2035</v>
      </c>
      <c r="R389" t="s">
        <v>2044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4"/>
        <v>0.11270034843205574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25"/>
        <v>89.227586206896547</v>
      </c>
      <c r="Q390" t="s">
        <v>2033</v>
      </c>
      <c r="R390" t="s">
        <v>2043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4"/>
        <v>1.2211084337349398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25"/>
        <v>87.979166666666671</v>
      </c>
      <c r="Q391" t="s">
        <v>2037</v>
      </c>
      <c r="R391" t="s">
        <v>2038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4"/>
        <v>1.8654166666666667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25"/>
        <v>89.54</v>
      </c>
      <c r="Q392" t="s">
        <v>2052</v>
      </c>
      <c r="R392" t="s">
        <v>2053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4"/>
        <v>7.27317880794702E-2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25"/>
        <v>29.09271523178808</v>
      </c>
      <c r="Q393" t="s">
        <v>2045</v>
      </c>
      <c r="R393" t="s">
        <v>2046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4"/>
        <v>0.65642371234207963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25"/>
        <v>42.006218905472636</v>
      </c>
      <c r="Q394" t="s">
        <v>2035</v>
      </c>
      <c r="R394" t="s">
        <v>2044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4"/>
        <v>2.2896178343949045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25"/>
        <v>47.004903563255965</v>
      </c>
      <c r="Q395" t="s">
        <v>2033</v>
      </c>
      <c r="R395" t="s">
        <v>2056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4"/>
        <v>4.6937499999999996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25"/>
        <v>110.44117647058823</v>
      </c>
      <c r="Q396" t="s">
        <v>2039</v>
      </c>
      <c r="R396" t="s">
        <v>2040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4"/>
        <v>1.3011267605633803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25"/>
        <v>41.990909090909092</v>
      </c>
      <c r="Q397" t="s">
        <v>2037</v>
      </c>
      <c r="R397" t="s">
        <v>2038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4"/>
        <v>1.6705422993492407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25"/>
        <v>48.012468827930178</v>
      </c>
      <c r="Q398" t="s">
        <v>2039</v>
      </c>
      <c r="R398" t="s">
        <v>2042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4"/>
        <v>1.738641975308642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25"/>
        <v>31.019823788546255</v>
      </c>
      <c r="Q399" t="s">
        <v>2033</v>
      </c>
      <c r="R399" t="s">
        <v>2034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4"/>
        <v>7.1776470588235295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25"/>
        <v>99.203252032520325</v>
      </c>
      <c r="Q400" t="s">
        <v>2039</v>
      </c>
      <c r="R400" t="s">
        <v>2047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4"/>
        <v>0.63850976361767731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25"/>
        <v>66.022316684378325</v>
      </c>
      <c r="Q401" t="s">
        <v>2033</v>
      </c>
      <c r="R401" t="s">
        <v>2043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4"/>
        <v>0.02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25"/>
        <v>2</v>
      </c>
      <c r="Q402" t="s">
        <v>2052</v>
      </c>
      <c r="R402" t="s">
        <v>2053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4"/>
        <v>15.302222222222222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25"/>
        <v>46.060200668896321</v>
      </c>
      <c r="Q403" t="s">
        <v>2037</v>
      </c>
      <c r="R403" t="s">
        <v>2038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4"/>
        <v>0.40356164383561643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25"/>
        <v>73.650000000000006</v>
      </c>
      <c r="Q404" t="s">
        <v>2039</v>
      </c>
      <c r="R404" t="s">
        <v>2050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4"/>
        <v>0.86220633299284988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25"/>
        <v>55.99336650082919</v>
      </c>
      <c r="Q405" t="s">
        <v>2037</v>
      </c>
      <c r="R405" t="s">
        <v>2038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4"/>
        <v>3.1558486707566464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25"/>
        <v>68.985695127402778</v>
      </c>
      <c r="Q406" t="s">
        <v>2037</v>
      </c>
      <c r="R406" t="s">
        <v>2038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4"/>
        <v>0.89618243243243245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25"/>
        <v>60.981609195402299</v>
      </c>
      <c r="Q407" t="s">
        <v>2037</v>
      </c>
      <c r="R407" t="s">
        <v>2038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4"/>
        <v>1.8214503816793892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25"/>
        <v>110.98139534883721</v>
      </c>
      <c r="Q408" t="s">
        <v>2039</v>
      </c>
      <c r="R408" t="s">
        <v>2040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4"/>
        <v>3.5588235294117645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25"/>
        <v>25</v>
      </c>
      <c r="Q409" t="s">
        <v>2037</v>
      </c>
      <c r="R409" t="s">
        <v>2038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4"/>
        <v>1.3183695652173912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25"/>
        <v>78.759740259740255</v>
      </c>
      <c r="Q410" t="s">
        <v>2039</v>
      </c>
      <c r="R410" t="s">
        <v>2040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4"/>
        <v>0.46315634218289087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25"/>
        <v>87.960784313725483</v>
      </c>
      <c r="Q411" t="s">
        <v>2033</v>
      </c>
      <c r="R411" t="s">
        <v>2034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4"/>
        <v>0.36132726089785294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25"/>
        <v>49.987398739873989</v>
      </c>
      <c r="Q412" t="s">
        <v>2048</v>
      </c>
      <c r="R412" t="s">
        <v>2059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4"/>
        <v>1.0462820512820512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25"/>
        <v>99.524390243902445</v>
      </c>
      <c r="Q413" t="s">
        <v>2037</v>
      </c>
      <c r="R413" t="s">
        <v>2038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4"/>
        <v>6.6885714285714286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25"/>
        <v>104.82089552238806</v>
      </c>
      <c r="Q414" t="s">
        <v>2045</v>
      </c>
      <c r="R414" t="s">
        <v>2051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4"/>
        <v>0.62072823218997364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25"/>
        <v>108.01469237832875</v>
      </c>
      <c r="Q415" t="s">
        <v>2039</v>
      </c>
      <c r="R415" t="s">
        <v>2047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4"/>
        <v>0.84699787460148779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25"/>
        <v>28.998544660724033</v>
      </c>
      <c r="Q416" t="s">
        <v>2031</v>
      </c>
      <c r="R416" t="s">
        <v>2032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4"/>
        <v>0.11059030837004405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25"/>
        <v>30.028708133971293</v>
      </c>
      <c r="Q417" t="s">
        <v>2037</v>
      </c>
      <c r="R417" t="s">
        <v>2038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4"/>
        <v>0.43838781575037145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25"/>
        <v>41.005559416261292</v>
      </c>
      <c r="Q418" t="s">
        <v>2039</v>
      </c>
      <c r="R418" t="s">
        <v>2040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4"/>
        <v>0.55470588235294116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25"/>
        <v>62.866666666666667</v>
      </c>
      <c r="Q419" t="s">
        <v>2037</v>
      </c>
      <c r="R419" t="s">
        <v>2038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4"/>
        <v>0.57399511301160655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25"/>
        <v>47.005002501250623</v>
      </c>
      <c r="Q420" t="s">
        <v>2039</v>
      </c>
      <c r="R420" t="s">
        <v>2040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4"/>
        <v>1.2343497363796134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25"/>
        <v>26.997693638285604</v>
      </c>
      <c r="Q421" t="s">
        <v>2035</v>
      </c>
      <c r="R421" t="s">
        <v>2036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4"/>
        <v>1.2846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25"/>
        <v>68.329787234042556</v>
      </c>
      <c r="Q422" t="s">
        <v>2037</v>
      </c>
      <c r="R422" t="s">
        <v>2038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4"/>
        <v>0.63989361702127656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25"/>
        <v>50.974576271186443</v>
      </c>
      <c r="Q423" t="s">
        <v>2035</v>
      </c>
      <c r="R423" t="s">
        <v>2044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4"/>
        <v>1.2729885057471264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25"/>
        <v>54.024390243902438</v>
      </c>
      <c r="Q424" t="s">
        <v>2037</v>
      </c>
      <c r="R424" t="s">
        <v>2038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4"/>
        <v>0.10638024357239513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25"/>
        <v>97.055555555555557</v>
      </c>
      <c r="Q425" t="s">
        <v>2031</v>
      </c>
      <c r="R425" t="s">
        <v>2032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4"/>
        <v>0.40470588235294119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25"/>
        <v>24.867469879518072</v>
      </c>
      <c r="Q426" t="s">
        <v>2033</v>
      </c>
      <c r="R426" t="s">
        <v>2043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4"/>
        <v>2.8766666666666665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25"/>
        <v>84.423913043478265</v>
      </c>
      <c r="Q427" t="s">
        <v>2052</v>
      </c>
      <c r="R427" t="s">
        <v>2053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4"/>
        <v>5.7294444444444448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25"/>
        <v>47.091324200913242</v>
      </c>
      <c r="Q428" t="s">
        <v>2037</v>
      </c>
      <c r="R428" t="s">
        <v>2038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4"/>
        <v>1.1290429799426933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25"/>
        <v>77.996041171813147</v>
      </c>
      <c r="Q429" t="s">
        <v>2037</v>
      </c>
      <c r="R429" t="s">
        <v>2038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4"/>
        <v>0.46387573964497042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25"/>
        <v>62.967871485943775</v>
      </c>
      <c r="Q430" t="s">
        <v>2039</v>
      </c>
      <c r="R430" t="s">
        <v>2047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4"/>
        <v>0.90675916230366493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25"/>
        <v>81.006080449017773</v>
      </c>
      <c r="Q431" t="s">
        <v>2052</v>
      </c>
      <c r="R431" t="s">
        <v>2053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4"/>
        <v>0.67740740740740746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25"/>
        <v>65.321428571428569</v>
      </c>
      <c r="Q432" t="s">
        <v>2037</v>
      </c>
      <c r="R432" t="s">
        <v>2038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4"/>
        <v>1.9249019607843136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25"/>
        <v>104.43617021276596</v>
      </c>
      <c r="Q433" t="s">
        <v>2037</v>
      </c>
      <c r="R433" t="s">
        <v>2038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4"/>
        <v>0.82714285714285718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25"/>
        <v>69.989010989010993</v>
      </c>
      <c r="Q434" t="s">
        <v>2037</v>
      </c>
      <c r="R434" t="s">
        <v>2038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4"/>
        <v>0.54163920922570019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25"/>
        <v>83.023989898989896</v>
      </c>
      <c r="Q435" t="s">
        <v>2039</v>
      </c>
      <c r="R435" t="s">
        <v>2040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4"/>
        <v>0.16722222222222222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25"/>
        <v>90.3</v>
      </c>
      <c r="Q436" t="s">
        <v>2037</v>
      </c>
      <c r="R436" t="s">
        <v>2038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4"/>
        <v>1.168766404199475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25"/>
        <v>103.98131932282546</v>
      </c>
      <c r="Q437" t="s">
        <v>2037</v>
      </c>
      <c r="R437" t="s">
        <v>2038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4"/>
        <v>10.521538461538462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25"/>
        <v>54.931726907630519</v>
      </c>
      <c r="Q438" t="s">
        <v>2033</v>
      </c>
      <c r="R438" t="s">
        <v>2056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4"/>
        <v>1.2307407407407407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25"/>
        <v>51.921875</v>
      </c>
      <c r="Q439" t="s">
        <v>2039</v>
      </c>
      <c r="R439" t="s">
        <v>2047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4"/>
        <v>1.7863855421686747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25"/>
        <v>60.02834008097166</v>
      </c>
      <c r="Q440" t="s">
        <v>2037</v>
      </c>
      <c r="R440" t="s">
        <v>2038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4"/>
        <v>3.5528169014084505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25"/>
        <v>44.003488879197555</v>
      </c>
      <c r="Q441" t="s">
        <v>2039</v>
      </c>
      <c r="R441" t="s">
        <v>2061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4"/>
        <v>1.6190634146341463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25"/>
        <v>53.003513254551258</v>
      </c>
      <c r="Q442" t="s">
        <v>2039</v>
      </c>
      <c r="R442" t="s">
        <v>2058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4"/>
        <v>0.24914285714285714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25"/>
        <v>54.5</v>
      </c>
      <c r="Q443" t="s">
        <v>2035</v>
      </c>
      <c r="R443" t="s">
        <v>2044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4"/>
        <v>1.9872222222222222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25"/>
        <v>75.04195804195804</v>
      </c>
      <c r="Q444" t="s">
        <v>2037</v>
      </c>
      <c r="R444" t="s">
        <v>2038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4"/>
        <v>0.34752688172043011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25"/>
        <v>35.911111111111111</v>
      </c>
      <c r="Q445" t="s">
        <v>2037</v>
      </c>
      <c r="R445" t="s">
        <v>2038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4"/>
        <v>1.7641935483870967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25"/>
        <v>36.952702702702702</v>
      </c>
      <c r="Q446" t="s">
        <v>2033</v>
      </c>
      <c r="R446" t="s">
        <v>2043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4"/>
        <v>5.1138095238095236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25"/>
        <v>63.170588235294119</v>
      </c>
      <c r="Q447" t="s">
        <v>2037</v>
      </c>
      <c r="R447" t="s">
        <v>2038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4"/>
        <v>0.82044117647058823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25"/>
        <v>29.99462365591398</v>
      </c>
      <c r="Q448" t="s">
        <v>2035</v>
      </c>
      <c r="R448" t="s">
        <v>2044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4"/>
        <v>0.24326030927835052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25"/>
        <v>86</v>
      </c>
      <c r="Q449" t="s">
        <v>2039</v>
      </c>
      <c r="R449" t="s">
        <v>2058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ref="G450:G513" si="28">(E450/D450)</f>
        <v>0.50482758620689661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ref="P450:P513" si="29">IFERROR(E450/H450, 0 )</f>
        <v>75.014876033057845</v>
      </c>
      <c r="Q450" t="s">
        <v>2048</v>
      </c>
      <c r="R450" t="s">
        <v>2049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si="28"/>
        <v>9.67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si="29"/>
        <v>101.19767441860465</v>
      </c>
      <c r="Q451" t="s">
        <v>2048</v>
      </c>
      <c r="R451" t="s">
        <v>2049</v>
      </c>
      <c r="S451" s="9">
        <f t="shared" ref="S451:S514" si="30">(((K451/60)/60)/24)+DATE(1970,1,1)</f>
        <v>43530.25</v>
      </c>
      <c r="T451" s="9">
        <f t="shared" ref="T451:T514" si="31">(((L451/60)/60)/24)+DATE(1970,1,1)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8"/>
        <v>0.04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si="29"/>
        <v>4</v>
      </c>
      <c r="Q452" t="s">
        <v>2039</v>
      </c>
      <c r="R452" t="s">
        <v>2047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8"/>
        <v>1.2284501347708894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si="29"/>
        <v>29.001272669424118</v>
      </c>
      <c r="Q453" t="s">
        <v>2033</v>
      </c>
      <c r="R453" t="s">
        <v>2034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8"/>
        <v>0.63437500000000002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29"/>
        <v>98.225806451612897</v>
      </c>
      <c r="Q454" t="s">
        <v>2039</v>
      </c>
      <c r="R454" t="s">
        <v>2042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8"/>
        <v>0.56331688596491225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si="29"/>
        <v>87.001693480101608</v>
      </c>
      <c r="Q455" t="s">
        <v>2039</v>
      </c>
      <c r="R455" t="s">
        <v>2061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8"/>
        <v>0.44074999999999998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29"/>
        <v>45.205128205128204</v>
      </c>
      <c r="Q456" t="s">
        <v>2039</v>
      </c>
      <c r="R456" t="s">
        <v>2042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8"/>
        <v>1.1837253218884121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29"/>
        <v>37.001341561577675</v>
      </c>
      <c r="Q457" t="s">
        <v>2037</v>
      </c>
      <c r="R457" t="s">
        <v>2038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8"/>
        <v>1.041243169398907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29"/>
        <v>94.976947040498445</v>
      </c>
      <c r="Q458" t="s">
        <v>2033</v>
      </c>
      <c r="R458" t="s">
        <v>2043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8"/>
        <v>0.26640000000000003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29"/>
        <v>28.956521739130434</v>
      </c>
      <c r="Q459" t="s">
        <v>2037</v>
      </c>
      <c r="R459" t="s">
        <v>2038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8"/>
        <v>3.5120118343195266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29"/>
        <v>55.993396226415094</v>
      </c>
      <c r="Q460" t="s">
        <v>2037</v>
      </c>
      <c r="R460" t="s">
        <v>2038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8"/>
        <v>0.90063492063492068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29"/>
        <v>54.038095238095238</v>
      </c>
      <c r="Q461" t="s">
        <v>2039</v>
      </c>
      <c r="R461" t="s">
        <v>2040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8"/>
        <v>1.7162500000000001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29"/>
        <v>82.38</v>
      </c>
      <c r="Q462" t="s">
        <v>2037</v>
      </c>
      <c r="R462" t="s">
        <v>2038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8"/>
        <v>1.4104655870445344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29"/>
        <v>66.997115384615384</v>
      </c>
      <c r="Q463" t="s">
        <v>2039</v>
      </c>
      <c r="R463" t="s">
        <v>2042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8"/>
        <v>0.30579449152542371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29"/>
        <v>107.91401869158878</v>
      </c>
      <c r="Q464" t="s">
        <v>2048</v>
      </c>
      <c r="R464" t="s">
        <v>2059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8"/>
        <v>1.0816455696202532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29"/>
        <v>69.009501187648453</v>
      </c>
      <c r="Q465" t="s">
        <v>2039</v>
      </c>
      <c r="R465" t="s">
        <v>2047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8"/>
        <v>1.3345505617977529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29"/>
        <v>39.006568144499177</v>
      </c>
      <c r="Q466" t="s">
        <v>2037</v>
      </c>
      <c r="R466" t="s">
        <v>2038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8"/>
        <v>1.8785106382978722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29"/>
        <v>110.3625</v>
      </c>
      <c r="Q467" t="s">
        <v>2045</v>
      </c>
      <c r="R467" t="s">
        <v>2057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8"/>
        <v>3.32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29"/>
        <v>94.857142857142861</v>
      </c>
      <c r="Q468" t="s">
        <v>2035</v>
      </c>
      <c r="R468" t="s">
        <v>2044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8"/>
        <v>5.7521428571428572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29"/>
        <v>57.935251798561154</v>
      </c>
      <c r="Q469" t="s">
        <v>2035</v>
      </c>
      <c r="R469" t="s">
        <v>2036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8"/>
        <v>0.40500000000000003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29"/>
        <v>101.25</v>
      </c>
      <c r="Q470" t="s">
        <v>2037</v>
      </c>
      <c r="R470" t="s">
        <v>2038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8"/>
        <v>1.8442857142857143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29"/>
        <v>64.95597484276729</v>
      </c>
      <c r="Q471" t="s">
        <v>2039</v>
      </c>
      <c r="R471" t="s">
        <v>2042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8"/>
        <v>2.8580555555555556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29"/>
        <v>27.00524934383202</v>
      </c>
      <c r="Q472" t="s">
        <v>2035</v>
      </c>
      <c r="R472" t="s">
        <v>2044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8"/>
        <v>3.19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29"/>
        <v>50.97422680412371</v>
      </c>
      <c r="Q473" t="s">
        <v>2031</v>
      </c>
      <c r="R473" t="s">
        <v>2032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8"/>
        <v>0.39234070221066319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29"/>
        <v>104.94260869565217</v>
      </c>
      <c r="Q474" t="s">
        <v>2033</v>
      </c>
      <c r="R474" t="s">
        <v>2034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8"/>
        <v>1.7814000000000001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29"/>
        <v>84.028301886792448</v>
      </c>
      <c r="Q475" t="s">
        <v>2033</v>
      </c>
      <c r="R475" t="s">
        <v>2041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8"/>
        <v>3.6515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29"/>
        <v>102.85915492957747</v>
      </c>
      <c r="Q476" t="s">
        <v>2039</v>
      </c>
      <c r="R476" t="s">
        <v>2058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8"/>
        <v>1.1394594594594594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29"/>
        <v>39.962085308056871</v>
      </c>
      <c r="Q477" t="s">
        <v>2045</v>
      </c>
      <c r="R477" t="s">
        <v>2057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8"/>
        <v>0.29828720626631855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29"/>
        <v>51.001785714285717</v>
      </c>
      <c r="Q478" t="s">
        <v>2045</v>
      </c>
      <c r="R478" t="s">
        <v>2051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8"/>
        <v>0.54270588235294115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29"/>
        <v>40.823008849557525</v>
      </c>
      <c r="Q479" t="s">
        <v>2039</v>
      </c>
      <c r="R479" t="s">
        <v>2061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8"/>
        <v>2.3634156976744185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29"/>
        <v>58.999637155297535</v>
      </c>
      <c r="Q480" t="s">
        <v>2035</v>
      </c>
      <c r="R480" t="s">
        <v>2044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8"/>
        <v>5.1291666666666664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29"/>
        <v>71.156069364161851</v>
      </c>
      <c r="Q481" t="s">
        <v>2031</v>
      </c>
      <c r="R481" t="s">
        <v>2032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8"/>
        <v>1.0065116279069768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29"/>
        <v>99.494252873563212</v>
      </c>
      <c r="Q482" t="s">
        <v>2052</v>
      </c>
      <c r="R482" t="s">
        <v>2053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8"/>
        <v>0.81348423194303154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29"/>
        <v>103.98634590377114</v>
      </c>
      <c r="Q483" t="s">
        <v>2037</v>
      </c>
      <c r="R483" t="s">
        <v>2038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8"/>
        <v>0.16404761904761905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29"/>
        <v>76.555555555555557</v>
      </c>
      <c r="Q484" t="s">
        <v>2045</v>
      </c>
      <c r="R484" t="s">
        <v>2051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8"/>
        <v>0.52774617067833696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29"/>
        <v>87.068592057761734</v>
      </c>
      <c r="Q485" t="s">
        <v>2037</v>
      </c>
      <c r="R485" t="s">
        <v>2038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8"/>
        <v>2.6020608108108108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29"/>
        <v>48.99554707379135</v>
      </c>
      <c r="Q486" t="s">
        <v>2031</v>
      </c>
      <c r="R486" t="s">
        <v>2032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8"/>
        <v>0.30732891832229581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29"/>
        <v>42.969135802469133</v>
      </c>
      <c r="Q487" t="s">
        <v>2037</v>
      </c>
      <c r="R487" t="s">
        <v>2038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8"/>
        <v>0.13500000000000001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29"/>
        <v>33.428571428571431</v>
      </c>
      <c r="Q488" t="s">
        <v>2045</v>
      </c>
      <c r="R488" t="s">
        <v>2057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8"/>
        <v>1.7862556663644606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29"/>
        <v>83.982949701619773</v>
      </c>
      <c r="Q489" t="s">
        <v>2037</v>
      </c>
      <c r="R489" t="s">
        <v>2038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8"/>
        <v>2.2005660377358489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29"/>
        <v>101.41739130434783</v>
      </c>
      <c r="Q490" t="s">
        <v>2037</v>
      </c>
      <c r="R490" t="s">
        <v>2038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8"/>
        <v>1.015108695652174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29"/>
        <v>109.87058823529412</v>
      </c>
      <c r="Q491" t="s">
        <v>2035</v>
      </c>
      <c r="R491" t="s">
        <v>2044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8"/>
        <v>1.915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29"/>
        <v>31.916666666666668</v>
      </c>
      <c r="Q492" t="s">
        <v>2062</v>
      </c>
      <c r="R492" t="s">
        <v>2063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8"/>
        <v>3.0534683098591549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29"/>
        <v>70.993450675399103</v>
      </c>
      <c r="Q493" t="s">
        <v>2031</v>
      </c>
      <c r="R493" t="s">
        <v>2032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8"/>
        <v>0.23995287958115183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29"/>
        <v>77.026890756302521</v>
      </c>
      <c r="Q494" t="s">
        <v>2039</v>
      </c>
      <c r="R494" t="s">
        <v>2050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8"/>
        <v>7.2377777777777776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29"/>
        <v>101.78125</v>
      </c>
      <c r="Q495" t="s">
        <v>2052</v>
      </c>
      <c r="R495" t="s">
        <v>2053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8"/>
        <v>5.4736000000000002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29"/>
        <v>51.059701492537314</v>
      </c>
      <c r="Q496" t="s">
        <v>2035</v>
      </c>
      <c r="R496" t="s">
        <v>2044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8"/>
        <v>4.1449999999999996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29"/>
        <v>68.02051282051282</v>
      </c>
      <c r="Q497" t="s">
        <v>2037</v>
      </c>
      <c r="R497" t="s">
        <v>2038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8"/>
        <v>9.0696409140369975E-3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29"/>
        <v>30.87037037037037</v>
      </c>
      <c r="Q498" t="s">
        <v>2039</v>
      </c>
      <c r="R498" t="s">
        <v>2047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8"/>
        <v>0.34173469387755101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29"/>
        <v>27.908333333333335</v>
      </c>
      <c r="Q499" t="s">
        <v>2035</v>
      </c>
      <c r="R499" t="s">
        <v>2044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8"/>
        <v>0.239488107549121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29"/>
        <v>79.994818652849744</v>
      </c>
      <c r="Q500" t="s">
        <v>2035</v>
      </c>
      <c r="R500" t="s">
        <v>2036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8"/>
        <v>0.48072649572649573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29"/>
        <v>38.003378378378379</v>
      </c>
      <c r="Q501" t="s">
        <v>2039</v>
      </c>
      <c r="R501" t="s">
        <v>2040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8"/>
        <v>0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>
        <f t="shared" si="29"/>
        <v>0</v>
      </c>
      <c r="Q502" t="s">
        <v>2037</v>
      </c>
      <c r="R502" t="s">
        <v>2038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8"/>
        <v>0.70145182291666663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29"/>
        <v>59.990534521158132</v>
      </c>
      <c r="Q503" t="s">
        <v>2039</v>
      </c>
      <c r="R503" t="s">
        <v>2040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8"/>
        <v>5.2992307692307694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29"/>
        <v>37.037634408602152</v>
      </c>
      <c r="Q504" t="s">
        <v>2048</v>
      </c>
      <c r="R504" t="s">
        <v>2049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8"/>
        <v>1.8032549019607844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29"/>
        <v>99.963043478260872</v>
      </c>
      <c r="Q505" t="s">
        <v>2039</v>
      </c>
      <c r="R505" t="s">
        <v>2042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8"/>
        <v>0.92320000000000002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29"/>
        <v>111.6774193548387</v>
      </c>
      <c r="Q506" t="s">
        <v>2033</v>
      </c>
      <c r="R506" t="s">
        <v>2034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8"/>
        <v>0.13901001112347053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29"/>
        <v>36.014409221902014</v>
      </c>
      <c r="Q507" t="s">
        <v>2045</v>
      </c>
      <c r="R507" t="s">
        <v>2054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8"/>
        <v>9.2707777777777771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29"/>
        <v>66.010284810126578</v>
      </c>
      <c r="Q508" t="s">
        <v>2037</v>
      </c>
      <c r="R508" t="s">
        <v>2038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8"/>
        <v>0.39857142857142858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29"/>
        <v>44.05263157894737</v>
      </c>
      <c r="Q509" t="s">
        <v>2035</v>
      </c>
      <c r="R509" t="s">
        <v>2036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8"/>
        <v>1.1222929936305732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29"/>
        <v>52.999726551818434</v>
      </c>
      <c r="Q510" t="s">
        <v>2037</v>
      </c>
      <c r="R510" t="s">
        <v>2038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8"/>
        <v>0.70925816023738875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29"/>
        <v>95</v>
      </c>
      <c r="Q511" t="s">
        <v>2037</v>
      </c>
      <c r="R511" t="s">
        <v>2038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8"/>
        <v>1.1908974358974358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29"/>
        <v>70.908396946564892</v>
      </c>
      <c r="Q512" t="s">
        <v>2039</v>
      </c>
      <c r="R512" t="s">
        <v>2042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8"/>
        <v>0.24017591339648173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29"/>
        <v>98.060773480662988</v>
      </c>
      <c r="Q513" t="s">
        <v>2037</v>
      </c>
      <c r="R513" t="s">
        <v>2038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ref="G514:G577" si="32">(E514/D514)</f>
        <v>1.3931868131868133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ref="P514:P577" si="33">IFERROR(E514/H514, 0 )</f>
        <v>53.046025104602514</v>
      </c>
      <c r="Q514" t="s">
        <v>2048</v>
      </c>
      <c r="R514" t="s">
        <v>2049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si="32"/>
        <v>0.39277108433734942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si="33"/>
        <v>93.142857142857139</v>
      </c>
      <c r="Q515" t="s">
        <v>2039</v>
      </c>
      <c r="R515" t="s">
        <v>2058</v>
      </c>
      <c r="S515" s="9">
        <f t="shared" ref="S515:S578" si="34">(((K515/60)/60)/24)+DATE(1970,1,1)</f>
        <v>40430.208333333336</v>
      </c>
      <c r="T515" s="9">
        <f t="shared" ref="T515:T578" si="35">(((L515/60)/60)/24)+DATE(1970,1,1)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32"/>
        <v>0.22439077144917088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si="33"/>
        <v>58.945075757575758</v>
      </c>
      <c r="Q516" t="s">
        <v>2033</v>
      </c>
      <c r="R516" t="s">
        <v>2034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32"/>
        <v>0.55779069767441858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33"/>
        <v>36.067669172932334</v>
      </c>
      <c r="Q517" t="s">
        <v>2037</v>
      </c>
      <c r="R517" t="s">
        <v>2038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32"/>
        <v>0.42523125996810207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33"/>
        <v>63.030732860520096</v>
      </c>
      <c r="Q518" t="s">
        <v>2045</v>
      </c>
      <c r="R518" t="s">
        <v>2046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32"/>
        <v>1.1200000000000001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33"/>
        <v>84.717948717948715</v>
      </c>
      <c r="Q519" t="s">
        <v>2031</v>
      </c>
      <c r="R519" t="s">
        <v>2032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32"/>
        <v>7.0681818181818179E-2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33"/>
        <v>62.2</v>
      </c>
      <c r="Q520" t="s">
        <v>2039</v>
      </c>
      <c r="R520" t="s">
        <v>2047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32"/>
        <v>1.0174563871693867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33"/>
        <v>101.97518330513255</v>
      </c>
      <c r="Q521" t="s">
        <v>2033</v>
      </c>
      <c r="R521" t="s">
        <v>2034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32"/>
        <v>4.2575000000000003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33"/>
        <v>106.4375</v>
      </c>
      <c r="Q522" t="s">
        <v>2037</v>
      </c>
      <c r="R522" t="s">
        <v>2038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32"/>
        <v>1.4553947368421052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33"/>
        <v>29.975609756097562</v>
      </c>
      <c r="Q523" t="s">
        <v>2039</v>
      </c>
      <c r="R523" t="s">
        <v>2042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32"/>
        <v>0.32453465346534655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33"/>
        <v>85.806282722513089</v>
      </c>
      <c r="Q524" t="s">
        <v>2039</v>
      </c>
      <c r="R524" t="s">
        <v>2050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32"/>
        <v>7.003333333333333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33"/>
        <v>70.82022471910112</v>
      </c>
      <c r="Q525" t="s">
        <v>2039</v>
      </c>
      <c r="R525" t="s">
        <v>2050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32"/>
        <v>0.83904860392967939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33"/>
        <v>40.998484082870135</v>
      </c>
      <c r="Q526" t="s">
        <v>2037</v>
      </c>
      <c r="R526" t="s">
        <v>2038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32"/>
        <v>0.84190476190476193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33"/>
        <v>28.063492063492063</v>
      </c>
      <c r="Q527" t="s">
        <v>2035</v>
      </c>
      <c r="R527" t="s">
        <v>2044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32"/>
        <v>1.5595180722891566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33"/>
        <v>88.054421768707485</v>
      </c>
      <c r="Q528" t="s">
        <v>2037</v>
      </c>
      <c r="R528" t="s">
        <v>2038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32"/>
        <v>0.99619450317124736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33"/>
        <v>31</v>
      </c>
      <c r="Q529" t="s">
        <v>2039</v>
      </c>
      <c r="R529" t="s">
        <v>2047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32"/>
        <v>0.80300000000000005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33"/>
        <v>90.337500000000006</v>
      </c>
      <c r="Q530" t="s">
        <v>2033</v>
      </c>
      <c r="R530" t="s">
        <v>2043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32"/>
        <v>0.11254901960784314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33"/>
        <v>63.777777777777779</v>
      </c>
      <c r="Q531" t="s">
        <v>2048</v>
      </c>
      <c r="R531" t="s">
        <v>2049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32"/>
        <v>0.91740952380952379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33"/>
        <v>53.995515695067262</v>
      </c>
      <c r="Q532" t="s">
        <v>2045</v>
      </c>
      <c r="R532" t="s">
        <v>2051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32"/>
        <v>0.95521156936261387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33"/>
        <v>48.993956043956047</v>
      </c>
      <c r="Q533" t="s">
        <v>2048</v>
      </c>
      <c r="R533" t="s">
        <v>2049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32"/>
        <v>5.0287499999999996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33"/>
        <v>63.857142857142854</v>
      </c>
      <c r="Q534" t="s">
        <v>2037</v>
      </c>
      <c r="R534" t="s">
        <v>2038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32"/>
        <v>1.5924394463667819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33"/>
        <v>82.996393146979258</v>
      </c>
      <c r="Q535" t="s">
        <v>2033</v>
      </c>
      <c r="R535" t="s">
        <v>2043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32"/>
        <v>0.15022446689113356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33"/>
        <v>55.08230452674897</v>
      </c>
      <c r="Q536" t="s">
        <v>2039</v>
      </c>
      <c r="R536" t="s">
        <v>2042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32"/>
        <v>4.820384615384615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33"/>
        <v>62.044554455445542</v>
      </c>
      <c r="Q537" t="s">
        <v>2037</v>
      </c>
      <c r="R537" t="s">
        <v>2038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32"/>
        <v>1.4996938775510205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33"/>
        <v>104.97857142857143</v>
      </c>
      <c r="Q538" t="s">
        <v>2045</v>
      </c>
      <c r="R538" t="s">
        <v>2051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32"/>
        <v>1.1722156398104266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33"/>
        <v>94.044676806083643</v>
      </c>
      <c r="Q539" t="s">
        <v>2039</v>
      </c>
      <c r="R539" t="s">
        <v>2040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32"/>
        <v>0.37695968274950431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33"/>
        <v>44.007716049382715</v>
      </c>
      <c r="Q540" t="s">
        <v>2048</v>
      </c>
      <c r="R540" t="s">
        <v>2059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32"/>
        <v>0.72653061224489801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33"/>
        <v>92.467532467532465</v>
      </c>
      <c r="Q541" t="s">
        <v>2031</v>
      </c>
      <c r="R541" t="s">
        <v>2032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32"/>
        <v>2.6598113207547169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33"/>
        <v>57.072874493927124</v>
      </c>
      <c r="Q542" t="s">
        <v>2052</v>
      </c>
      <c r="R542" t="s">
        <v>2053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32"/>
        <v>0.24205617977528091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33"/>
        <v>109.07848101265823</v>
      </c>
      <c r="Q543" t="s">
        <v>2048</v>
      </c>
      <c r="R543" t="s">
        <v>2059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32"/>
        <v>2.5064935064935064E-2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33"/>
        <v>39.387755102040813</v>
      </c>
      <c r="Q544" t="s">
        <v>2033</v>
      </c>
      <c r="R544" t="s">
        <v>2043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32"/>
        <v>0.1632979976442874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33"/>
        <v>77.022222222222226</v>
      </c>
      <c r="Q545" t="s">
        <v>2048</v>
      </c>
      <c r="R545" t="s">
        <v>2049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32"/>
        <v>2.7650000000000001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33"/>
        <v>92.166666666666671</v>
      </c>
      <c r="Q546" t="s">
        <v>2033</v>
      </c>
      <c r="R546" t="s">
        <v>2034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32"/>
        <v>0.88803571428571426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33"/>
        <v>61.007063197026021</v>
      </c>
      <c r="Q547" t="s">
        <v>2037</v>
      </c>
      <c r="R547" t="s">
        <v>2038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32"/>
        <v>1.6357142857142857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33"/>
        <v>78.068181818181813</v>
      </c>
      <c r="Q548" t="s">
        <v>2037</v>
      </c>
      <c r="R548" t="s">
        <v>2038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32"/>
        <v>9.69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33"/>
        <v>80.75</v>
      </c>
      <c r="Q549" t="s">
        <v>2039</v>
      </c>
      <c r="R549" t="s">
        <v>2042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32"/>
        <v>2.7091376701966716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33"/>
        <v>59.991289782244557</v>
      </c>
      <c r="Q550" t="s">
        <v>2037</v>
      </c>
      <c r="R550" t="s">
        <v>2038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32"/>
        <v>2.8421355932203389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33"/>
        <v>110.03018372703411</v>
      </c>
      <c r="Q551" t="s">
        <v>2035</v>
      </c>
      <c r="R551" t="s">
        <v>2044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32"/>
        <v>0.04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33"/>
        <v>4</v>
      </c>
      <c r="Q552" t="s">
        <v>2033</v>
      </c>
      <c r="R552" t="s">
        <v>2043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32"/>
        <v>0.58632981676846196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33"/>
        <v>37.99856063332134</v>
      </c>
      <c r="Q553" t="s">
        <v>2035</v>
      </c>
      <c r="R553" t="s">
        <v>2036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32"/>
        <v>0.98511111111111116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33"/>
        <v>96.369565217391298</v>
      </c>
      <c r="Q554" t="s">
        <v>2037</v>
      </c>
      <c r="R554" t="s">
        <v>2038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32"/>
        <v>0.43975381008206332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33"/>
        <v>72.978599221789878</v>
      </c>
      <c r="Q555" t="s">
        <v>2033</v>
      </c>
      <c r="R555" t="s">
        <v>2034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32"/>
        <v>1.5166315789473683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33"/>
        <v>26.007220216606498</v>
      </c>
      <c r="Q556" t="s">
        <v>2033</v>
      </c>
      <c r="R556" t="s">
        <v>2043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32"/>
        <v>2.2363492063492063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33"/>
        <v>104.36296296296297</v>
      </c>
      <c r="Q557" t="s">
        <v>2033</v>
      </c>
      <c r="R557" t="s">
        <v>2034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32"/>
        <v>2.3975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33"/>
        <v>102.18852459016394</v>
      </c>
      <c r="Q558" t="s">
        <v>2045</v>
      </c>
      <c r="R558" t="s">
        <v>2057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32"/>
        <v>1.9933333333333334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33"/>
        <v>54.117647058823529</v>
      </c>
      <c r="Q559" t="s">
        <v>2039</v>
      </c>
      <c r="R559" t="s">
        <v>2061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32"/>
        <v>1.373448275862069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33"/>
        <v>63.222222222222221</v>
      </c>
      <c r="Q560" t="s">
        <v>2037</v>
      </c>
      <c r="R560" t="s">
        <v>2038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32"/>
        <v>1.009696106362773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33"/>
        <v>104.03228962818004</v>
      </c>
      <c r="Q561" t="s">
        <v>2037</v>
      </c>
      <c r="R561" t="s">
        <v>2038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32"/>
        <v>7.9416000000000002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33"/>
        <v>49.994334277620396</v>
      </c>
      <c r="Q562" t="s">
        <v>2039</v>
      </c>
      <c r="R562" t="s">
        <v>2047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32"/>
        <v>3.6970000000000001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33"/>
        <v>56.015151515151516</v>
      </c>
      <c r="Q563" t="s">
        <v>2037</v>
      </c>
      <c r="R563" t="s">
        <v>2038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32"/>
        <v>0.12818181818181817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33"/>
        <v>48.807692307692307</v>
      </c>
      <c r="Q564" t="s">
        <v>2033</v>
      </c>
      <c r="R564" t="s">
        <v>2034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32"/>
        <v>1.3802702702702703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33"/>
        <v>60.082352941176474</v>
      </c>
      <c r="Q565" t="s">
        <v>2039</v>
      </c>
      <c r="R565" t="s">
        <v>2040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32"/>
        <v>0.83813278008298753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33"/>
        <v>78.990502793296088</v>
      </c>
      <c r="Q566" t="s">
        <v>2037</v>
      </c>
      <c r="R566" t="s">
        <v>2038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32"/>
        <v>2.0460063224446787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33"/>
        <v>53.99499443826474</v>
      </c>
      <c r="Q567" t="s">
        <v>2037</v>
      </c>
      <c r="R567" t="s">
        <v>2038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32"/>
        <v>0.44344086021505374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33"/>
        <v>111.45945945945945</v>
      </c>
      <c r="Q568" t="s">
        <v>2033</v>
      </c>
      <c r="R568" t="s">
        <v>2041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32"/>
        <v>2.1860294117647059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33"/>
        <v>60.922131147540981</v>
      </c>
      <c r="Q569" t="s">
        <v>2033</v>
      </c>
      <c r="R569" t="s">
        <v>2034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32"/>
        <v>1.8603314917127072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33"/>
        <v>26.0015444015444</v>
      </c>
      <c r="Q570" t="s">
        <v>2037</v>
      </c>
      <c r="R570" t="s">
        <v>2038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32"/>
        <v>2.3733830845771142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33"/>
        <v>80.993208828522924</v>
      </c>
      <c r="Q571" t="s">
        <v>2039</v>
      </c>
      <c r="R571" t="s">
        <v>2047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32"/>
        <v>3.0565384615384614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33"/>
        <v>34.995963302752294</v>
      </c>
      <c r="Q572" t="s">
        <v>2033</v>
      </c>
      <c r="R572" t="s">
        <v>2034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32"/>
        <v>0.94142857142857139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33"/>
        <v>94.142857142857139</v>
      </c>
      <c r="Q573" t="s">
        <v>2039</v>
      </c>
      <c r="R573" t="s">
        <v>2050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32"/>
        <v>0.54400000000000004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33"/>
        <v>52.085106382978722</v>
      </c>
      <c r="Q574" t="s">
        <v>2033</v>
      </c>
      <c r="R574" t="s">
        <v>2034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32"/>
        <v>1.1188059701492536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33"/>
        <v>24.986666666666668</v>
      </c>
      <c r="Q575" t="s">
        <v>2062</v>
      </c>
      <c r="R575" t="s">
        <v>2063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32"/>
        <v>3.6914814814814814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33"/>
        <v>69.215277777777771</v>
      </c>
      <c r="Q576" t="s">
        <v>2031</v>
      </c>
      <c r="R576" t="s">
        <v>2032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32"/>
        <v>0.62930372148859548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33"/>
        <v>93.944444444444443</v>
      </c>
      <c r="Q577" t="s">
        <v>2037</v>
      </c>
      <c r="R577" t="s">
        <v>2038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ref="G578:G641" si="36">(E578/D578)</f>
        <v>0.6492783505154639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ref="P578:P641" si="37">IFERROR(E578/H578, 0 )</f>
        <v>98.40625</v>
      </c>
      <c r="Q578" t="s">
        <v>2037</v>
      </c>
      <c r="R578" t="s">
        <v>2038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si="36"/>
        <v>0.18853658536585366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si="37"/>
        <v>41.783783783783782</v>
      </c>
      <c r="Q579" t="s">
        <v>2033</v>
      </c>
      <c r="R579" t="s">
        <v>2056</v>
      </c>
      <c r="S579" s="9">
        <f t="shared" ref="S579:S642" si="38">(((K579/60)/60)/24)+DATE(1970,1,1)</f>
        <v>40613.25</v>
      </c>
      <c r="T579" s="9">
        <f t="shared" ref="T579:T642" si="39">(((L579/60)/60)/24)+DATE(1970,1,1)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36"/>
        <v>0.1675440414507772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si="37"/>
        <v>65.991836734693877</v>
      </c>
      <c r="Q580" t="s">
        <v>2039</v>
      </c>
      <c r="R580" t="s">
        <v>2061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36"/>
        <v>1.0111290322580646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37"/>
        <v>72.05747126436782</v>
      </c>
      <c r="Q581" t="s">
        <v>2033</v>
      </c>
      <c r="R581" t="s">
        <v>2056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36"/>
        <v>3.4150228310502282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37"/>
        <v>48.003209242618745</v>
      </c>
      <c r="Q582" t="s">
        <v>2037</v>
      </c>
      <c r="R582" t="s">
        <v>2038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36"/>
        <v>0.64016666666666666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37"/>
        <v>54.098591549295776</v>
      </c>
      <c r="Q583" t="s">
        <v>2035</v>
      </c>
      <c r="R583" t="s">
        <v>2036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36"/>
        <v>0.5208045977011494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37"/>
        <v>107.88095238095238</v>
      </c>
      <c r="Q584" t="s">
        <v>2048</v>
      </c>
      <c r="R584" t="s">
        <v>2049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36"/>
        <v>3.2240211640211642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37"/>
        <v>67.034103410341032</v>
      </c>
      <c r="Q585" t="s">
        <v>2039</v>
      </c>
      <c r="R585" t="s">
        <v>2040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36"/>
        <v>1.1950810185185186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37"/>
        <v>64.01425914445133</v>
      </c>
      <c r="Q586" t="s">
        <v>2035</v>
      </c>
      <c r="R586" t="s">
        <v>2036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36"/>
        <v>1.4679775280898877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37"/>
        <v>96.066176470588232</v>
      </c>
      <c r="Q587" t="s">
        <v>2045</v>
      </c>
      <c r="R587" t="s">
        <v>2057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36"/>
        <v>9.5057142857142853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37"/>
        <v>51.184615384615384</v>
      </c>
      <c r="Q588" t="s">
        <v>2033</v>
      </c>
      <c r="R588" t="s">
        <v>2034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36"/>
        <v>0.72893617021276591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37"/>
        <v>43.92307692307692</v>
      </c>
      <c r="Q589" t="s">
        <v>2031</v>
      </c>
      <c r="R589" t="s">
        <v>2032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36"/>
        <v>0.7900824873096447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37"/>
        <v>91.021198830409361</v>
      </c>
      <c r="Q590" t="s">
        <v>2037</v>
      </c>
      <c r="R590" t="s">
        <v>2038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36"/>
        <v>0.64721518987341775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37"/>
        <v>50.127450980392155</v>
      </c>
      <c r="Q591" t="s">
        <v>2039</v>
      </c>
      <c r="R591" t="s">
        <v>2040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36"/>
        <v>0.82028169014084507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37"/>
        <v>67.720930232558146</v>
      </c>
      <c r="Q592" t="s">
        <v>2045</v>
      </c>
      <c r="R592" t="s">
        <v>2054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36"/>
        <v>10.376666666666667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37"/>
        <v>61.03921568627451</v>
      </c>
      <c r="Q593" t="s">
        <v>2048</v>
      </c>
      <c r="R593" t="s">
        <v>2049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36"/>
        <v>0.12910076530612244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37"/>
        <v>80.011857707509876</v>
      </c>
      <c r="Q594" t="s">
        <v>2037</v>
      </c>
      <c r="R594" t="s">
        <v>2038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36"/>
        <v>1.5484210526315789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37"/>
        <v>47.001497753369947</v>
      </c>
      <c r="Q595" t="s">
        <v>2039</v>
      </c>
      <c r="R595" t="s">
        <v>2047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36"/>
        <v>7.0991735537190084E-2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37"/>
        <v>71.127388535031841</v>
      </c>
      <c r="Q596" t="s">
        <v>2037</v>
      </c>
      <c r="R596" t="s">
        <v>2038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36"/>
        <v>2.0852773826458035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37"/>
        <v>89.99079189686924</v>
      </c>
      <c r="Q597" t="s">
        <v>2037</v>
      </c>
      <c r="R597" t="s">
        <v>2038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36"/>
        <v>0.99683544303797467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37"/>
        <v>43.032786885245905</v>
      </c>
      <c r="Q598" t="s">
        <v>2039</v>
      </c>
      <c r="R598" t="s">
        <v>2042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36"/>
        <v>2.0159756097560977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37"/>
        <v>67.997714808043881</v>
      </c>
      <c r="Q599" t="s">
        <v>2037</v>
      </c>
      <c r="R599" t="s">
        <v>2038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36"/>
        <v>1.6209032258064515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37"/>
        <v>73.004566210045667</v>
      </c>
      <c r="Q600" t="s">
        <v>2033</v>
      </c>
      <c r="R600" t="s">
        <v>2034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36"/>
        <v>3.6436208125445471E-2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37"/>
        <v>62.341463414634148</v>
      </c>
      <c r="Q601" t="s">
        <v>2039</v>
      </c>
      <c r="R601" t="s">
        <v>2040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36"/>
        <v>0.05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37"/>
        <v>5</v>
      </c>
      <c r="Q602" t="s">
        <v>2031</v>
      </c>
      <c r="R602" t="s">
        <v>2032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36"/>
        <v>2.0663492063492064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37"/>
        <v>67.103092783505161</v>
      </c>
      <c r="Q603" t="s">
        <v>2035</v>
      </c>
      <c r="R603" t="s">
        <v>2044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36"/>
        <v>1.2823628691983122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37"/>
        <v>79.978947368421046</v>
      </c>
      <c r="Q604" t="s">
        <v>2037</v>
      </c>
      <c r="R604" t="s">
        <v>2038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36"/>
        <v>1.1966037735849056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37"/>
        <v>62.176470588235297</v>
      </c>
      <c r="Q605" t="s">
        <v>2037</v>
      </c>
      <c r="R605" t="s">
        <v>2038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36"/>
        <v>1.7073055242390078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37"/>
        <v>53.005950297514879</v>
      </c>
      <c r="Q606" t="s">
        <v>2037</v>
      </c>
      <c r="R606" t="s">
        <v>2038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36"/>
        <v>1.8721212121212121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37"/>
        <v>57.738317757009348</v>
      </c>
      <c r="Q607" t="s">
        <v>2045</v>
      </c>
      <c r="R607" t="s">
        <v>2046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36"/>
        <v>1.8838235294117647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37"/>
        <v>40.03125</v>
      </c>
      <c r="Q608" t="s">
        <v>2033</v>
      </c>
      <c r="R608" t="s">
        <v>2034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36"/>
        <v>1.3129869186046512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37"/>
        <v>81.016591928251117</v>
      </c>
      <c r="Q609" t="s">
        <v>2031</v>
      </c>
      <c r="R609" t="s">
        <v>2032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36"/>
        <v>2.8397435897435899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37"/>
        <v>35.047468354430379</v>
      </c>
      <c r="Q610" t="s">
        <v>2033</v>
      </c>
      <c r="R610" t="s">
        <v>2056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36"/>
        <v>1.2041999999999999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37"/>
        <v>102.92307692307692</v>
      </c>
      <c r="Q611" t="s">
        <v>2039</v>
      </c>
      <c r="R611" t="s">
        <v>2061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36"/>
        <v>4.1905607476635511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37"/>
        <v>27.998126756166094</v>
      </c>
      <c r="Q612" t="s">
        <v>2037</v>
      </c>
      <c r="R612" t="s">
        <v>2038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36"/>
        <v>0.13853658536585367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37"/>
        <v>75.733333333333334</v>
      </c>
      <c r="Q613" t="s">
        <v>2037</v>
      </c>
      <c r="R613" t="s">
        <v>2038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36"/>
        <v>1.3943548387096774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37"/>
        <v>45.026041666666664</v>
      </c>
      <c r="Q614" t="s">
        <v>2033</v>
      </c>
      <c r="R614" t="s">
        <v>2041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36"/>
        <v>1.74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37"/>
        <v>73.615384615384613</v>
      </c>
      <c r="Q615" t="s">
        <v>2037</v>
      </c>
      <c r="R615" t="s">
        <v>2038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36"/>
        <v>1.5549056603773586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37"/>
        <v>56.991701244813278</v>
      </c>
      <c r="Q616" t="s">
        <v>2037</v>
      </c>
      <c r="R616" t="s">
        <v>2038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36"/>
        <v>1.7044705882352942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37"/>
        <v>85.223529411764702</v>
      </c>
      <c r="Q617" t="s">
        <v>2037</v>
      </c>
      <c r="R617" t="s">
        <v>2038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36"/>
        <v>1.8951562500000001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37"/>
        <v>50.962184873949582</v>
      </c>
      <c r="Q618" t="s">
        <v>2033</v>
      </c>
      <c r="R618" t="s">
        <v>2043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36"/>
        <v>2.4971428571428573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37"/>
        <v>63.563636363636363</v>
      </c>
      <c r="Q619" t="s">
        <v>2037</v>
      </c>
      <c r="R619" t="s">
        <v>2038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36"/>
        <v>0.48860523665659616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37"/>
        <v>80.999165275459092</v>
      </c>
      <c r="Q620" t="s">
        <v>2045</v>
      </c>
      <c r="R620" t="s">
        <v>2046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36"/>
        <v>0.28461970393057684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37"/>
        <v>86.044753086419746</v>
      </c>
      <c r="Q621" t="s">
        <v>2037</v>
      </c>
      <c r="R621" t="s">
        <v>2038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36"/>
        <v>2.6802325581395348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37"/>
        <v>90.0390625</v>
      </c>
      <c r="Q622" t="s">
        <v>2052</v>
      </c>
      <c r="R622" t="s">
        <v>2053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36"/>
        <v>6.1980078125000002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37"/>
        <v>74.006063432835816</v>
      </c>
      <c r="Q623" t="s">
        <v>2037</v>
      </c>
      <c r="R623" t="s">
        <v>2038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36"/>
        <v>3.1301587301587303E-2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37"/>
        <v>92.4375</v>
      </c>
      <c r="Q624" t="s">
        <v>2033</v>
      </c>
      <c r="R624" t="s">
        <v>2043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36"/>
        <v>1.5992152704135738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37"/>
        <v>55.999257333828446</v>
      </c>
      <c r="Q625" t="s">
        <v>2037</v>
      </c>
      <c r="R625" t="s">
        <v>2038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36"/>
        <v>2.793921568627451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37"/>
        <v>32.983796296296298</v>
      </c>
      <c r="Q626" t="s">
        <v>2052</v>
      </c>
      <c r="R626" t="s">
        <v>2053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36"/>
        <v>0.77373333333333338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37"/>
        <v>93.596774193548384</v>
      </c>
      <c r="Q627" t="s">
        <v>2037</v>
      </c>
      <c r="R627" t="s">
        <v>2038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36"/>
        <v>2.0632812500000002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37"/>
        <v>69.867724867724874</v>
      </c>
      <c r="Q628" t="s">
        <v>2037</v>
      </c>
      <c r="R628" t="s">
        <v>2038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36"/>
        <v>6.9424999999999999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37"/>
        <v>72.129870129870127</v>
      </c>
      <c r="Q629" t="s">
        <v>2031</v>
      </c>
      <c r="R629" t="s">
        <v>2032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36"/>
        <v>1.5178947368421052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37"/>
        <v>30.041666666666668</v>
      </c>
      <c r="Q630" t="s">
        <v>2033</v>
      </c>
      <c r="R630" t="s">
        <v>2043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36"/>
        <v>0.64582072176949945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37"/>
        <v>73.968000000000004</v>
      </c>
      <c r="Q631" t="s">
        <v>2037</v>
      </c>
      <c r="R631" t="s">
        <v>2038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36"/>
        <v>0.62873684210526315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37"/>
        <v>68.65517241379311</v>
      </c>
      <c r="Q632" t="s">
        <v>2037</v>
      </c>
      <c r="R632" t="s">
        <v>2038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36"/>
        <v>3.1039864864864866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37"/>
        <v>59.992164544564154</v>
      </c>
      <c r="Q633" t="s">
        <v>2037</v>
      </c>
      <c r="R633" t="s">
        <v>2038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36"/>
        <v>0.42859916782246882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37"/>
        <v>111.15827338129496</v>
      </c>
      <c r="Q634" t="s">
        <v>2037</v>
      </c>
      <c r="R634" t="s">
        <v>2038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36"/>
        <v>0.83119402985074631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37"/>
        <v>53.038095238095238</v>
      </c>
      <c r="Q635" t="s">
        <v>2039</v>
      </c>
      <c r="R635" t="s">
        <v>2047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36"/>
        <v>0.78531302876480547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37"/>
        <v>55.985524728588658</v>
      </c>
      <c r="Q636" t="s">
        <v>2039</v>
      </c>
      <c r="R636" t="s">
        <v>2058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36"/>
        <v>1.1409352517985611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37"/>
        <v>69.986760812003524</v>
      </c>
      <c r="Q637" t="s">
        <v>2039</v>
      </c>
      <c r="R637" t="s">
        <v>2058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36"/>
        <v>0.64537683358624176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37"/>
        <v>48.998079877112133</v>
      </c>
      <c r="Q638" t="s">
        <v>2039</v>
      </c>
      <c r="R638" t="s">
        <v>2047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36"/>
        <v>0.79411764705882348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37"/>
        <v>103.84615384615384</v>
      </c>
      <c r="Q639" t="s">
        <v>2037</v>
      </c>
      <c r="R639" t="s">
        <v>2038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36"/>
        <v>0.11419117647058824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37"/>
        <v>99.127659574468083</v>
      </c>
      <c r="Q640" t="s">
        <v>2037</v>
      </c>
      <c r="R640" t="s">
        <v>2038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36"/>
        <v>0.56186046511627907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37"/>
        <v>107.37777777777778</v>
      </c>
      <c r="Q641" t="s">
        <v>2039</v>
      </c>
      <c r="R641" t="s">
        <v>2042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ref="G642:G705" si="40">(E642/D642)</f>
        <v>0.16501669449081802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ref="P642:P705" si="41">IFERROR(E642/H642, 0 )</f>
        <v>76.922178988326849</v>
      </c>
      <c r="Q642" t="s">
        <v>2037</v>
      </c>
      <c r="R642" t="s">
        <v>2038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si="40"/>
        <v>1.1996808510638297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si="41"/>
        <v>58.128865979381445</v>
      </c>
      <c r="Q643" t="s">
        <v>2037</v>
      </c>
      <c r="R643" t="s">
        <v>2038</v>
      </c>
      <c r="S643" s="9">
        <f t="shared" ref="S643:S706" si="42">(((K643/60)/60)/24)+DATE(1970,1,1)</f>
        <v>42786.25</v>
      </c>
      <c r="T643" s="9">
        <f t="shared" ref="T643:T706" si="43">(((L643/60)/60)/24)+DATE(1970,1,1)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40"/>
        <v>1.4545652173913044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si="41"/>
        <v>103.73643410852713</v>
      </c>
      <c r="Q644" t="s">
        <v>2035</v>
      </c>
      <c r="R644" t="s">
        <v>2044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40"/>
        <v>2.2138255033557046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41"/>
        <v>87.962666666666664</v>
      </c>
      <c r="Q645" t="s">
        <v>2037</v>
      </c>
      <c r="R645" t="s">
        <v>2038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40"/>
        <v>0.48396694214876035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41"/>
        <v>28</v>
      </c>
      <c r="Q646" t="s">
        <v>2037</v>
      </c>
      <c r="R646" t="s">
        <v>2038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40"/>
        <v>0.92911504424778757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41"/>
        <v>37.999361294443261</v>
      </c>
      <c r="Q647" t="s">
        <v>2033</v>
      </c>
      <c r="R647" t="s">
        <v>2034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40"/>
        <v>0.88599797365754818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41"/>
        <v>29.999313893653515</v>
      </c>
      <c r="Q648" t="s">
        <v>2048</v>
      </c>
      <c r="R648" t="s">
        <v>2049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40"/>
        <v>0.41399999999999998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41"/>
        <v>103.5</v>
      </c>
      <c r="Q649" t="s">
        <v>2045</v>
      </c>
      <c r="R649" t="s">
        <v>2057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40"/>
        <v>0.63056795131845844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41"/>
        <v>85.994467496542185</v>
      </c>
      <c r="Q650" t="s">
        <v>2031</v>
      </c>
      <c r="R650" t="s">
        <v>2032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40"/>
        <v>0.48482333607230893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41"/>
        <v>98.011627906976742</v>
      </c>
      <c r="Q651" t="s">
        <v>2037</v>
      </c>
      <c r="R651" t="s">
        <v>2038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40"/>
        <v>0.02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41"/>
        <v>2</v>
      </c>
      <c r="Q652" t="s">
        <v>2033</v>
      </c>
      <c r="R652" t="s">
        <v>2056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40"/>
        <v>0.88479410269445857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41"/>
        <v>44.994570837642193</v>
      </c>
      <c r="Q653" t="s">
        <v>2039</v>
      </c>
      <c r="R653" t="s">
        <v>2050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40"/>
        <v>1.2684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41"/>
        <v>31.012224938875306</v>
      </c>
      <c r="Q654" t="s">
        <v>2035</v>
      </c>
      <c r="R654" t="s">
        <v>2036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40"/>
        <v>23.388333333333332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41"/>
        <v>59.970085470085472</v>
      </c>
      <c r="Q655" t="s">
        <v>2035</v>
      </c>
      <c r="R655" t="s">
        <v>2036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40"/>
        <v>5.0838857142857146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41"/>
        <v>58.9973474801061</v>
      </c>
      <c r="Q656" t="s">
        <v>2033</v>
      </c>
      <c r="R656" t="s">
        <v>2055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40"/>
        <v>1.9147826086956521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41"/>
        <v>50.045454545454547</v>
      </c>
      <c r="Q657" t="s">
        <v>2052</v>
      </c>
      <c r="R657" t="s">
        <v>2053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40"/>
        <v>0.42127533783783783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41"/>
        <v>98.966269841269835</v>
      </c>
      <c r="Q658" t="s">
        <v>2031</v>
      </c>
      <c r="R658" t="s">
        <v>2032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40"/>
        <v>8.2400000000000001E-2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41"/>
        <v>58.857142857142854</v>
      </c>
      <c r="Q659" t="s">
        <v>2039</v>
      </c>
      <c r="R659" t="s">
        <v>2061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40"/>
        <v>0.60064638783269964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41"/>
        <v>81.010256410256417</v>
      </c>
      <c r="Q660" t="s">
        <v>2033</v>
      </c>
      <c r="R660" t="s">
        <v>2034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40"/>
        <v>0.47232808616404309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41"/>
        <v>76.013333333333335</v>
      </c>
      <c r="Q661" t="s">
        <v>2039</v>
      </c>
      <c r="R661" t="s">
        <v>2040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40"/>
        <v>0.81736263736263737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41"/>
        <v>96.597402597402592</v>
      </c>
      <c r="Q662" t="s">
        <v>2037</v>
      </c>
      <c r="R662" t="s">
        <v>2038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40"/>
        <v>0.54187265917603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41"/>
        <v>76.957446808510639</v>
      </c>
      <c r="Q663" t="s">
        <v>2033</v>
      </c>
      <c r="R663" t="s">
        <v>2056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40"/>
        <v>0.97868131868131869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41"/>
        <v>67.984732824427482</v>
      </c>
      <c r="Q664" t="s">
        <v>2037</v>
      </c>
      <c r="R664" t="s">
        <v>2038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40"/>
        <v>0.77239999999999998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41"/>
        <v>88.781609195402297</v>
      </c>
      <c r="Q665" t="s">
        <v>2037</v>
      </c>
      <c r="R665" t="s">
        <v>2038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40"/>
        <v>0.33464735516372796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41"/>
        <v>24.99623706491063</v>
      </c>
      <c r="Q666" t="s">
        <v>2033</v>
      </c>
      <c r="R666" t="s">
        <v>2056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40"/>
        <v>2.3958823529411766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41"/>
        <v>44.922794117647058</v>
      </c>
      <c r="Q667" t="s">
        <v>2039</v>
      </c>
      <c r="R667" t="s">
        <v>2040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40"/>
        <v>0.64032258064516134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41"/>
        <v>79.400000000000006</v>
      </c>
      <c r="Q668" t="s">
        <v>2037</v>
      </c>
      <c r="R668" t="s">
        <v>2038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40"/>
        <v>1.7615942028985507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41"/>
        <v>29.009546539379475</v>
      </c>
      <c r="Q669" t="s">
        <v>2062</v>
      </c>
      <c r="R669" t="s">
        <v>2063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40"/>
        <v>0.20338181818181819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41"/>
        <v>73.59210526315789</v>
      </c>
      <c r="Q670" t="s">
        <v>2037</v>
      </c>
      <c r="R670" t="s">
        <v>2038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40"/>
        <v>3.5864754098360656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41"/>
        <v>107.97038864898211</v>
      </c>
      <c r="Q671" t="s">
        <v>2037</v>
      </c>
      <c r="R671" t="s">
        <v>2038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40"/>
        <v>4.6885802469135802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41"/>
        <v>68.987284287011803</v>
      </c>
      <c r="Q672" t="s">
        <v>2033</v>
      </c>
      <c r="R672" t="s">
        <v>2043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40"/>
        <v>1.220563524590164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41"/>
        <v>111.02236719478098</v>
      </c>
      <c r="Q673" t="s">
        <v>2037</v>
      </c>
      <c r="R673" t="s">
        <v>2038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40"/>
        <v>0.55931783729156137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41"/>
        <v>24.997515808491418</v>
      </c>
      <c r="Q674" t="s">
        <v>2037</v>
      </c>
      <c r="R674" t="s">
        <v>2038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40"/>
        <v>0.43660714285714286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41"/>
        <v>42.155172413793103</v>
      </c>
      <c r="Q675" t="s">
        <v>2033</v>
      </c>
      <c r="R675" t="s">
        <v>2043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40"/>
        <v>0.33538371411833628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41"/>
        <v>47.003284072249592</v>
      </c>
      <c r="Q676" t="s">
        <v>2052</v>
      </c>
      <c r="R676" t="s">
        <v>2053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40"/>
        <v>1.2297938144329896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41"/>
        <v>36.0392749244713</v>
      </c>
      <c r="Q677" t="s">
        <v>2062</v>
      </c>
      <c r="R677" t="s">
        <v>2063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40"/>
        <v>1.8974959871589085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41"/>
        <v>101.03760683760684</v>
      </c>
      <c r="Q678" t="s">
        <v>2052</v>
      </c>
      <c r="R678" t="s">
        <v>2053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40"/>
        <v>0.83622641509433959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41"/>
        <v>39.927927927927925</v>
      </c>
      <c r="Q679" t="s">
        <v>2045</v>
      </c>
      <c r="R679" t="s">
        <v>2051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40"/>
        <v>0.17968844221105529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41"/>
        <v>83.158139534883716</v>
      </c>
      <c r="Q680" t="s">
        <v>2039</v>
      </c>
      <c r="R680" t="s">
        <v>2042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40"/>
        <v>10.365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41"/>
        <v>39.97520661157025</v>
      </c>
      <c r="Q681" t="s">
        <v>2031</v>
      </c>
      <c r="R681" t="s">
        <v>2032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40"/>
        <v>0.97405219780219776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41"/>
        <v>47.993908629441627</v>
      </c>
      <c r="Q682" t="s">
        <v>2048</v>
      </c>
      <c r="R682" t="s">
        <v>2059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40"/>
        <v>0.86386203150461705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41"/>
        <v>95.978877489438744</v>
      </c>
      <c r="Q683" t="s">
        <v>2037</v>
      </c>
      <c r="R683" t="s">
        <v>2038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40"/>
        <v>1.5016666666666667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41"/>
        <v>78.728155339805824</v>
      </c>
      <c r="Q684" t="s">
        <v>2037</v>
      </c>
      <c r="R684" t="s">
        <v>2038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40"/>
        <v>3.5843478260869563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41"/>
        <v>56.081632653061227</v>
      </c>
      <c r="Q685" t="s">
        <v>2037</v>
      </c>
      <c r="R685" t="s">
        <v>2038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40"/>
        <v>5.4285714285714288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41"/>
        <v>69.090909090909093</v>
      </c>
      <c r="Q686" t="s">
        <v>2045</v>
      </c>
      <c r="R686" t="s">
        <v>2046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40"/>
        <v>0.67500714285714281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41"/>
        <v>102.05291576673866</v>
      </c>
      <c r="Q687" t="s">
        <v>2037</v>
      </c>
      <c r="R687" t="s">
        <v>2038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40"/>
        <v>1.9174666666666667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41"/>
        <v>107.32089552238806</v>
      </c>
      <c r="Q688" t="s">
        <v>2035</v>
      </c>
      <c r="R688" t="s">
        <v>2044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40"/>
        <v>9.32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41"/>
        <v>51.970260223048328</v>
      </c>
      <c r="Q689" t="s">
        <v>2037</v>
      </c>
      <c r="R689" t="s">
        <v>2038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40"/>
        <v>4.2927586206896553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41"/>
        <v>71.137142857142862</v>
      </c>
      <c r="Q690" t="s">
        <v>2039</v>
      </c>
      <c r="R690" t="s">
        <v>2058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40"/>
        <v>1.0065753424657535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41"/>
        <v>106.49275362318841</v>
      </c>
      <c r="Q691" t="s">
        <v>2035</v>
      </c>
      <c r="R691" t="s">
        <v>2036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40"/>
        <v>2.266111111111111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41"/>
        <v>42.93684210526316</v>
      </c>
      <c r="Q692" t="s">
        <v>2039</v>
      </c>
      <c r="R692" t="s">
        <v>2040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40"/>
        <v>1.4238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41"/>
        <v>30.037974683544302</v>
      </c>
      <c r="Q693" t="s">
        <v>2039</v>
      </c>
      <c r="R693" t="s">
        <v>2040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40"/>
        <v>0.90633333333333332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41"/>
        <v>70.623376623376629</v>
      </c>
      <c r="Q694" t="s">
        <v>2033</v>
      </c>
      <c r="R694" t="s">
        <v>2034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40"/>
        <v>0.63966740576496672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41"/>
        <v>66.016018306636155</v>
      </c>
      <c r="Q695" t="s">
        <v>2037</v>
      </c>
      <c r="R695" t="s">
        <v>2038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40"/>
        <v>0.84131868131868137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41"/>
        <v>96.911392405063296</v>
      </c>
      <c r="Q696" t="s">
        <v>2037</v>
      </c>
      <c r="R696" t="s">
        <v>2038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40"/>
        <v>1.3393478260869565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41"/>
        <v>62.867346938775512</v>
      </c>
      <c r="Q697" t="s">
        <v>2033</v>
      </c>
      <c r="R697" t="s">
        <v>2034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40"/>
        <v>0.59042047531992692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41"/>
        <v>108.98537682789652</v>
      </c>
      <c r="Q698" t="s">
        <v>2037</v>
      </c>
      <c r="R698" t="s">
        <v>2038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40"/>
        <v>1.5280062063615205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41"/>
        <v>26.999314599040439</v>
      </c>
      <c r="Q699" t="s">
        <v>2033</v>
      </c>
      <c r="R699" t="s">
        <v>2041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40"/>
        <v>4.466912114014252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41"/>
        <v>65.004147943311438</v>
      </c>
      <c r="Q700" t="s">
        <v>2035</v>
      </c>
      <c r="R700" t="s">
        <v>2044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40"/>
        <v>0.8439189189189189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41"/>
        <v>111.51785714285714</v>
      </c>
      <c r="Q701" t="s">
        <v>2039</v>
      </c>
      <c r="R701" t="s">
        <v>2042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40"/>
        <v>0.03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41"/>
        <v>3</v>
      </c>
      <c r="Q702" t="s">
        <v>2035</v>
      </c>
      <c r="R702" t="s">
        <v>2044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40"/>
        <v>1.7502692307692307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41"/>
        <v>110.99268292682927</v>
      </c>
      <c r="Q703" t="s">
        <v>2037</v>
      </c>
      <c r="R703" t="s">
        <v>2038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40"/>
        <v>0.54137931034482756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41"/>
        <v>56.746987951807228</v>
      </c>
      <c r="Q704" t="s">
        <v>2035</v>
      </c>
      <c r="R704" t="s">
        <v>2044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40"/>
        <v>3.1187381703470032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41"/>
        <v>97.020608439646708</v>
      </c>
      <c r="Q705" t="s">
        <v>2045</v>
      </c>
      <c r="R705" t="s">
        <v>2057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ref="G706:G769" si="44">(E706/D706)</f>
        <v>1.2278160919540231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ref="P706:P769" si="45">IFERROR(E706/H706, 0 )</f>
        <v>92.08620689655173</v>
      </c>
      <c r="Q706" t="s">
        <v>2039</v>
      </c>
      <c r="R706" t="s">
        <v>2047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si="44"/>
        <v>0.99026517383618151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si="45"/>
        <v>82.986666666666665</v>
      </c>
      <c r="Q707" t="s">
        <v>2045</v>
      </c>
      <c r="R707" t="s">
        <v>2046</v>
      </c>
      <c r="S707" s="9">
        <f t="shared" ref="S707:S770" si="46">(((K707/60)/60)/24)+DATE(1970,1,1)</f>
        <v>41619.25</v>
      </c>
      <c r="T707" s="9">
        <f t="shared" ref="T707:T770" si="47">(((L707/60)/60)/24)+DATE(1970,1,1)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44"/>
        <v>1.278468634686347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si="45"/>
        <v>103.03791821561339</v>
      </c>
      <c r="Q708" t="s">
        <v>2035</v>
      </c>
      <c r="R708" t="s">
        <v>2036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44"/>
        <v>1.5861643835616439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45"/>
        <v>68.922619047619051</v>
      </c>
      <c r="Q709" t="s">
        <v>2039</v>
      </c>
      <c r="R709" t="s">
        <v>2042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44"/>
        <v>7.0705882352941174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45"/>
        <v>87.737226277372258</v>
      </c>
      <c r="Q710" t="s">
        <v>2037</v>
      </c>
      <c r="R710" t="s">
        <v>2038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44"/>
        <v>1.4238775510204082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45"/>
        <v>75.021505376344081</v>
      </c>
      <c r="Q711" t="s">
        <v>2037</v>
      </c>
      <c r="R711" t="s">
        <v>2038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44"/>
        <v>1.4786046511627906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45"/>
        <v>50.863999999999997</v>
      </c>
      <c r="Q712" t="s">
        <v>2037</v>
      </c>
      <c r="R712" t="s">
        <v>2038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44"/>
        <v>0.20322580645161289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45"/>
        <v>90</v>
      </c>
      <c r="Q713" t="s">
        <v>2037</v>
      </c>
      <c r="R713" t="s">
        <v>2038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44"/>
        <v>18.40625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45"/>
        <v>72.896039603960389</v>
      </c>
      <c r="Q714" t="s">
        <v>2037</v>
      </c>
      <c r="R714" t="s">
        <v>2038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44"/>
        <v>1.6194202898550725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45"/>
        <v>108.48543689320388</v>
      </c>
      <c r="Q715" t="s">
        <v>2045</v>
      </c>
      <c r="R715" t="s">
        <v>2054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44"/>
        <v>4.7282077922077921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45"/>
        <v>101.98095238095237</v>
      </c>
      <c r="Q716" t="s">
        <v>2033</v>
      </c>
      <c r="R716" t="s">
        <v>2034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44"/>
        <v>0.24466101694915254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45"/>
        <v>44.009146341463413</v>
      </c>
      <c r="Q717" t="s">
        <v>2048</v>
      </c>
      <c r="R717" t="s">
        <v>2059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44"/>
        <v>5.1764999999999999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45"/>
        <v>65.942675159235662</v>
      </c>
      <c r="Q718" t="s">
        <v>2037</v>
      </c>
      <c r="R718" t="s">
        <v>2038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44"/>
        <v>2.4764285714285714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45"/>
        <v>24.987387387387386</v>
      </c>
      <c r="Q719" t="s">
        <v>2039</v>
      </c>
      <c r="R719" t="s">
        <v>2040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44"/>
        <v>1.0020481927710843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45"/>
        <v>28.003367003367003</v>
      </c>
      <c r="Q720" t="s">
        <v>2035</v>
      </c>
      <c r="R720" t="s">
        <v>2044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44"/>
        <v>1.53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45"/>
        <v>85.829268292682926</v>
      </c>
      <c r="Q721" t="s">
        <v>2045</v>
      </c>
      <c r="R721" t="s">
        <v>2051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44"/>
        <v>0.37091954022988505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45"/>
        <v>84.921052631578945</v>
      </c>
      <c r="Q722" t="s">
        <v>2037</v>
      </c>
      <c r="R722" t="s">
        <v>2038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44"/>
        <v>4.3923948220064728E-2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45"/>
        <v>90.483333333333334</v>
      </c>
      <c r="Q723" t="s">
        <v>2033</v>
      </c>
      <c r="R723" t="s">
        <v>2034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44"/>
        <v>1.5650721649484536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45"/>
        <v>25.00197628458498</v>
      </c>
      <c r="Q724" t="s">
        <v>2039</v>
      </c>
      <c r="R724" t="s">
        <v>2040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44"/>
        <v>2.704081632653061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45"/>
        <v>92.013888888888886</v>
      </c>
      <c r="Q725" t="s">
        <v>2037</v>
      </c>
      <c r="R725" t="s">
        <v>2038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44"/>
        <v>1.3405952380952382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45"/>
        <v>93.066115702479337</v>
      </c>
      <c r="Q726" t="s">
        <v>2037</v>
      </c>
      <c r="R726" t="s">
        <v>2038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44"/>
        <v>0.50398033126293995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45"/>
        <v>61.008145363408524</v>
      </c>
      <c r="Q727" t="s">
        <v>2048</v>
      </c>
      <c r="R727" t="s">
        <v>2059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44"/>
        <v>0.88815837937384901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45"/>
        <v>92.036259541984734</v>
      </c>
      <c r="Q728" t="s">
        <v>2037</v>
      </c>
      <c r="R728" t="s">
        <v>2038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44"/>
        <v>1.65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45"/>
        <v>81.132596685082873</v>
      </c>
      <c r="Q729" t="s">
        <v>2035</v>
      </c>
      <c r="R729" t="s">
        <v>2036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44"/>
        <v>0.17499999999999999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45"/>
        <v>73.5</v>
      </c>
      <c r="Q730" t="s">
        <v>2037</v>
      </c>
      <c r="R730" t="s">
        <v>2038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44"/>
        <v>1.8566071428571429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45"/>
        <v>85.221311475409834</v>
      </c>
      <c r="Q731" t="s">
        <v>2039</v>
      </c>
      <c r="R731" t="s">
        <v>2042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44"/>
        <v>4.1266319444444441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45"/>
        <v>110.96825396825396</v>
      </c>
      <c r="Q732" t="s">
        <v>2035</v>
      </c>
      <c r="R732" t="s">
        <v>2044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44"/>
        <v>0.90249999999999997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45"/>
        <v>32.968036529680369</v>
      </c>
      <c r="Q733" t="s">
        <v>2035</v>
      </c>
      <c r="R733" t="s">
        <v>2036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44"/>
        <v>0.91984615384615387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45"/>
        <v>96.005352363960753</v>
      </c>
      <c r="Q734" t="s">
        <v>2033</v>
      </c>
      <c r="R734" t="s">
        <v>2034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44"/>
        <v>5.2700632911392402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45"/>
        <v>84.96632653061225</v>
      </c>
      <c r="Q735" t="s">
        <v>2033</v>
      </c>
      <c r="R735" t="s">
        <v>2055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44"/>
        <v>3.1914285714285713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45"/>
        <v>25.007462686567163</v>
      </c>
      <c r="Q736" t="s">
        <v>2037</v>
      </c>
      <c r="R736" t="s">
        <v>2038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44"/>
        <v>3.5418867924528303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45"/>
        <v>65.998995479658461</v>
      </c>
      <c r="Q737" t="s">
        <v>2052</v>
      </c>
      <c r="R737" t="s">
        <v>2053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44"/>
        <v>0.32896103896103895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45"/>
        <v>87.34482758620689</v>
      </c>
      <c r="Q738" t="s">
        <v>2045</v>
      </c>
      <c r="R738" t="s">
        <v>2046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44"/>
        <v>1.358918918918919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45"/>
        <v>27.933333333333334</v>
      </c>
      <c r="Q739" t="s">
        <v>2033</v>
      </c>
      <c r="R739" t="s">
        <v>2043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44"/>
        <v>2.0843373493975904E-2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45"/>
        <v>103.8</v>
      </c>
      <c r="Q740" t="s">
        <v>2037</v>
      </c>
      <c r="R740" t="s">
        <v>2038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44"/>
        <v>0.61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45"/>
        <v>31.937172774869111</v>
      </c>
      <c r="Q741" t="s">
        <v>2033</v>
      </c>
      <c r="R741" t="s">
        <v>2043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44"/>
        <v>0.30037735849056602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45"/>
        <v>99.5</v>
      </c>
      <c r="Q742" t="s">
        <v>2037</v>
      </c>
      <c r="R742" t="s">
        <v>2038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44"/>
        <v>11.791666666666666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45"/>
        <v>108.84615384615384</v>
      </c>
      <c r="Q743" t="s">
        <v>2037</v>
      </c>
      <c r="R743" t="s">
        <v>2038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44"/>
        <v>11.260833333333334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45"/>
        <v>110.76229508196721</v>
      </c>
      <c r="Q744" t="s">
        <v>2033</v>
      </c>
      <c r="R744" t="s">
        <v>2041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44"/>
        <v>0.12923076923076923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45"/>
        <v>29.647058823529413</v>
      </c>
      <c r="Q745" t="s">
        <v>2037</v>
      </c>
      <c r="R745" t="s">
        <v>2038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44"/>
        <v>7.12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45"/>
        <v>101.71428571428571</v>
      </c>
      <c r="Q746" t="s">
        <v>2037</v>
      </c>
      <c r="R746" t="s">
        <v>2038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44"/>
        <v>0.30304347826086958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45"/>
        <v>61.5</v>
      </c>
      <c r="Q747" t="s">
        <v>2035</v>
      </c>
      <c r="R747" t="s">
        <v>2044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44"/>
        <v>2.1250896057347672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45"/>
        <v>35</v>
      </c>
      <c r="Q748" t="s">
        <v>2035</v>
      </c>
      <c r="R748" t="s">
        <v>2036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44"/>
        <v>2.2885714285714287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45"/>
        <v>40.049999999999997</v>
      </c>
      <c r="Q749" t="s">
        <v>2037</v>
      </c>
      <c r="R749" t="s">
        <v>2038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44"/>
        <v>0.34959979476654696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45"/>
        <v>110.97231270358306</v>
      </c>
      <c r="Q750" t="s">
        <v>2039</v>
      </c>
      <c r="R750" t="s">
        <v>2047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44"/>
        <v>1.5729069767441861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45"/>
        <v>36.959016393442624</v>
      </c>
      <c r="Q751" t="s">
        <v>2035</v>
      </c>
      <c r="R751" t="s">
        <v>2044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44"/>
        <v>0.01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45"/>
        <v>1</v>
      </c>
      <c r="Q752" t="s">
        <v>2033</v>
      </c>
      <c r="R752" t="s">
        <v>2041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44"/>
        <v>2.3230555555555554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45"/>
        <v>30.974074074074075</v>
      </c>
      <c r="Q753" t="s">
        <v>2045</v>
      </c>
      <c r="R753" t="s">
        <v>2046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44"/>
        <v>0.92448275862068963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45"/>
        <v>47.035087719298247</v>
      </c>
      <c r="Q754" t="s">
        <v>2037</v>
      </c>
      <c r="R754" t="s">
        <v>2038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44"/>
        <v>2.5670212765957445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45"/>
        <v>88.065693430656935</v>
      </c>
      <c r="Q755" t="s">
        <v>2052</v>
      </c>
      <c r="R755" t="s">
        <v>2053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44"/>
        <v>1.6847017045454546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45"/>
        <v>37.005616224648989</v>
      </c>
      <c r="Q756" t="s">
        <v>2037</v>
      </c>
      <c r="R756" t="s">
        <v>2038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44"/>
        <v>1.6657777777777778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45"/>
        <v>26.027777777777779</v>
      </c>
      <c r="Q757" t="s">
        <v>2037</v>
      </c>
      <c r="R757" t="s">
        <v>2038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44"/>
        <v>7.7207692307692311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45"/>
        <v>67.817567567567565</v>
      </c>
      <c r="Q758" t="s">
        <v>2037</v>
      </c>
      <c r="R758" t="s">
        <v>2038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44"/>
        <v>4.0685714285714285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45"/>
        <v>49.964912280701753</v>
      </c>
      <c r="Q759" t="s">
        <v>2039</v>
      </c>
      <c r="R759" t="s">
        <v>2042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44"/>
        <v>5.6420608108108112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45"/>
        <v>110.01646903820817</v>
      </c>
      <c r="Q760" t="s">
        <v>2033</v>
      </c>
      <c r="R760" t="s">
        <v>2034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44"/>
        <v>0.6842686567164179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45"/>
        <v>89.964678178963894</v>
      </c>
      <c r="Q761" t="s">
        <v>2033</v>
      </c>
      <c r="R761" t="s">
        <v>2041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44"/>
        <v>0.34351966873706002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45"/>
        <v>79.009523809523813</v>
      </c>
      <c r="Q762" t="s">
        <v>2048</v>
      </c>
      <c r="R762" t="s">
        <v>2049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44"/>
        <v>6.5545454545454547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45"/>
        <v>86.867469879518069</v>
      </c>
      <c r="Q763" t="s">
        <v>2033</v>
      </c>
      <c r="R763" t="s">
        <v>2034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44"/>
        <v>1.7725714285714285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45"/>
        <v>62.04</v>
      </c>
      <c r="Q764" t="s">
        <v>2033</v>
      </c>
      <c r="R764" t="s">
        <v>2056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44"/>
        <v>1.1317857142857144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45"/>
        <v>26.970212765957445</v>
      </c>
      <c r="Q765" t="s">
        <v>2037</v>
      </c>
      <c r="R765" t="s">
        <v>2038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44"/>
        <v>7.2818181818181822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45"/>
        <v>54.121621621621621</v>
      </c>
      <c r="Q766" t="s">
        <v>2033</v>
      </c>
      <c r="R766" t="s">
        <v>2034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44"/>
        <v>2.0833333333333335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45"/>
        <v>41.035353535353536</v>
      </c>
      <c r="Q767" t="s">
        <v>2033</v>
      </c>
      <c r="R767" t="s">
        <v>2043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44"/>
        <v>0.31171232876712329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45"/>
        <v>55.052419354838712</v>
      </c>
      <c r="Q768" t="s">
        <v>2039</v>
      </c>
      <c r="R768" t="s">
        <v>2061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44"/>
        <v>0.56967078189300413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45"/>
        <v>107.93762183235867</v>
      </c>
      <c r="Q769" t="s">
        <v>2045</v>
      </c>
      <c r="R769" t="s">
        <v>2057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ref="G770:G833" si="48">(E770/D770)</f>
        <v>2.31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ref="P770:P833" si="49">IFERROR(E770/H770, 0 )</f>
        <v>73.92</v>
      </c>
      <c r="Q770" t="s">
        <v>2037</v>
      </c>
      <c r="R770" t="s">
        <v>2038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si="48"/>
        <v>0.86867834394904464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si="49"/>
        <v>31.995894428152493</v>
      </c>
      <c r="Q771" t="s">
        <v>2048</v>
      </c>
      <c r="R771" t="s">
        <v>2049</v>
      </c>
      <c r="S771" s="9">
        <f t="shared" ref="S771:S834" si="50">(((K771/60)/60)/24)+DATE(1970,1,1)</f>
        <v>41501.208333333336</v>
      </c>
      <c r="T771" s="9">
        <f t="shared" ref="T771:T834" si="51">(((L771/60)/60)/24)+DATE(1970,1,1)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48"/>
        <v>2.7074418604651163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si="49"/>
        <v>53.898148148148145</v>
      </c>
      <c r="Q772" t="s">
        <v>2037</v>
      </c>
      <c r="R772" t="s">
        <v>2038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48"/>
        <v>0.49446428571428569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49"/>
        <v>106.5</v>
      </c>
      <c r="Q773" t="s">
        <v>2037</v>
      </c>
      <c r="R773" t="s">
        <v>2038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48"/>
        <v>1.1335962566844919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49"/>
        <v>32.999805409612762</v>
      </c>
      <c r="Q774" t="s">
        <v>2033</v>
      </c>
      <c r="R774" t="s">
        <v>2043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48"/>
        <v>1.9055555555555554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49"/>
        <v>43.00254993625159</v>
      </c>
      <c r="Q775" t="s">
        <v>2037</v>
      </c>
      <c r="R775" t="s">
        <v>2038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48"/>
        <v>1.355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49"/>
        <v>86.858974358974365</v>
      </c>
      <c r="Q776" t="s">
        <v>2035</v>
      </c>
      <c r="R776" t="s">
        <v>2036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48"/>
        <v>0.10297872340425532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49"/>
        <v>96.8</v>
      </c>
      <c r="Q777" t="s">
        <v>2033</v>
      </c>
      <c r="R777" t="s">
        <v>2034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48"/>
        <v>0.65544223826714798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49"/>
        <v>32.995456610631528</v>
      </c>
      <c r="Q778" t="s">
        <v>2037</v>
      </c>
      <c r="R778" t="s">
        <v>2038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48"/>
        <v>0.49026652452025588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49"/>
        <v>68.028106508875737</v>
      </c>
      <c r="Q779" t="s">
        <v>2037</v>
      </c>
      <c r="R779" t="s">
        <v>2038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48"/>
        <v>7.8792307692307695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49"/>
        <v>58.867816091954026</v>
      </c>
      <c r="Q780" t="s">
        <v>2039</v>
      </c>
      <c r="R780" t="s">
        <v>2047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48"/>
        <v>0.80306347746090156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49"/>
        <v>105.04572803850782</v>
      </c>
      <c r="Q781" t="s">
        <v>2037</v>
      </c>
      <c r="R781" t="s">
        <v>2038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48"/>
        <v>1.0629411764705883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49"/>
        <v>33.054878048780488</v>
      </c>
      <c r="Q782" t="s">
        <v>2039</v>
      </c>
      <c r="R782" t="s">
        <v>2042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48"/>
        <v>0.50735632183908042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49"/>
        <v>78.821428571428569</v>
      </c>
      <c r="Q783" t="s">
        <v>2037</v>
      </c>
      <c r="R783" t="s">
        <v>2038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48"/>
        <v>2.153137254901961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49"/>
        <v>68.204968944099377</v>
      </c>
      <c r="Q784" t="s">
        <v>2039</v>
      </c>
      <c r="R784" t="s">
        <v>2047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48"/>
        <v>1.4122972972972974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49"/>
        <v>75.731884057971016</v>
      </c>
      <c r="Q785" t="s">
        <v>2033</v>
      </c>
      <c r="R785" t="s">
        <v>2034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48"/>
        <v>1.1533745781777278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49"/>
        <v>30.996070133010882</v>
      </c>
      <c r="Q786" t="s">
        <v>2035</v>
      </c>
      <c r="R786" t="s">
        <v>2036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48"/>
        <v>1.9311940298507462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49"/>
        <v>101.88188976377953</v>
      </c>
      <c r="Q787" t="s">
        <v>2039</v>
      </c>
      <c r="R787" t="s">
        <v>2047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48"/>
        <v>7.2973333333333334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49"/>
        <v>52.879227053140099</v>
      </c>
      <c r="Q788" t="s">
        <v>2033</v>
      </c>
      <c r="R788" t="s">
        <v>2056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48"/>
        <v>0.99663398692810456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49"/>
        <v>71.005820721769496</v>
      </c>
      <c r="Q789" t="s">
        <v>2033</v>
      </c>
      <c r="R789" t="s">
        <v>2034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48"/>
        <v>0.88166666666666671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49"/>
        <v>102.38709677419355</v>
      </c>
      <c r="Q790" t="s">
        <v>2039</v>
      </c>
      <c r="R790" t="s">
        <v>2047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48"/>
        <v>0.37233333333333335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49"/>
        <v>74.466666666666669</v>
      </c>
      <c r="Q791" t="s">
        <v>2037</v>
      </c>
      <c r="R791" t="s">
        <v>2038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48"/>
        <v>0.30540075309306081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49"/>
        <v>51.009883198562441</v>
      </c>
      <c r="Q792" t="s">
        <v>2037</v>
      </c>
      <c r="R792" t="s">
        <v>2038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48"/>
        <v>0.25714285714285712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49"/>
        <v>90</v>
      </c>
      <c r="Q793" t="s">
        <v>2031</v>
      </c>
      <c r="R793" t="s">
        <v>2032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48"/>
        <v>0.34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49"/>
        <v>97.142857142857139</v>
      </c>
      <c r="Q794" t="s">
        <v>2037</v>
      </c>
      <c r="R794" t="s">
        <v>2038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48"/>
        <v>11.859090909090909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49"/>
        <v>72.071823204419886</v>
      </c>
      <c r="Q795" t="s">
        <v>2045</v>
      </c>
      <c r="R795" t="s">
        <v>2046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48"/>
        <v>1.2539393939393939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49"/>
        <v>75.236363636363635</v>
      </c>
      <c r="Q796" t="s">
        <v>2033</v>
      </c>
      <c r="R796" t="s">
        <v>2034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48"/>
        <v>0.14394366197183098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49"/>
        <v>32.967741935483872</v>
      </c>
      <c r="Q797" t="s">
        <v>2039</v>
      </c>
      <c r="R797" t="s">
        <v>2042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48"/>
        <v>0.54807692307692313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49"/>
        <v>54.807692307692307</v>
      </c>
      <c r="Q798" t="s">
        <v>2048</v>
      </c>
      <c r="R798" t="s">
        <v>2059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48"/>
        <v>1.0963157894736841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49"/>
        <v>45.037837837837834</v>
      </c>
      <c r="Q799" t="s">
        <v>2035</v>
      </c>
      <c r="R799" t="s">
        <v>2036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48"/>
        <v>1.8847058823529412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49"/>
        <v>52.958677685950413</v>
      </c>
      <c r="Q800" t="s">
        <v>2037</v>
      </c>
      <c r="R800" t="s">
        <v>2038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48"/>
        <v>0.87008284023668636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49"/>
        <v>60.017959183673469</v>
      </c>
      <c r="Q801" t="s">
        <v>2037</v>
      </c>
      <c r="R801" t="s">
        <v>2038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48"/>
        <v>0.01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49"/>
        <v>1</v>
      </c>
      <c r="Q802" t="s">
        <v>2033</v>
      </c>
      <c r="R802" t="s">
        <v>2034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48"/>
        <v>2.0291304347826089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49"/>
        <v>44.028301886792455</v>
      </c>
      <c r="Q803" t="s">
        <v>2052</v>
      </c>
      <c r="R803" t="s">
        <v>2053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48"/>
        <v>1.9703225806451612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49"/>
        <v>86.028169014084511</v>
      </c>
      <c r="Q804" t="s">
        <v>2052</v>
      </c>
      <c r="R804" t="s">
        <v>2053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48"/>
        <v>1.07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49"/>
        <v>28.012875536480685</v>
      </c>
      <c r="Q805" t="s">
        <v>2037</v>
      </c>
      <c r="R805" t="s">
        <v>2038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48"/>
        <v>2.6873076923076922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49"/>
        <v>32.050458715596328</v>
      </c>
      <c r="Q806" t="s">
        <v>2033</v>
      </c>
      <c r="R806" t="s">
        <v>2034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48"/>
        <v>0.50845360824742269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49"/>
        <v>73.611940298507463</v>
      </c>
      <c r="Q807" t="s">
        <v>2039</v>
      </c>
      <c r="R807" t="s">
        <v>2040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48"/>
        <v>11.802857142857142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49"/>
        <v>108.71052631578948</v>
      </c>
      <c r="Q808" t="s">
        <v>2039</v>
      </c>
      <c r="R808" t="s">
        <v>2042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48"/>
        <v>2.64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49"/>
        <v>42.97674418604651</v>
      </c>
      <c r="Q809" t="s">
        <v>2037</v>
      </c>
      <c r="R809" t="s">
        <v>2038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48"/>
        <v>0.30442307692307691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49"/>
        <v>83.315789473684205</v>
      </c>
      <c r="Q810" t="s">
        <v>2031</v>
      </c>
      <c r="R810" t="s">
        <v>2032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48"/>
        <v>0.62880681818181816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49"/>
        <v>42</v>
      </c>
      <c r="Q811" t="s">
        <v>2039</v>
      </c>
      <c r="R811" t="s">
        <v>2040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48"/>
        <v>1.9312499999999999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49"/>
        <v>55.927601809954751</v>
      </c>
      <c r="Q812" t="s">
        <v>2037</v>
      </c>
      <c r="R812" t="s">
        <v>2038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48"/>
        <v>0.77102702702702708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49"/>
        <v>105.03681885125184</v>
      </c>
      <c r="Q813" t="s">
        <v>2048</v>
      </c>
      <c r="R813" t="s">
        <v>2049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48"/>
        <v>2.2552763819095478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49"/>
        <v>48</v>
      </c>
      <c r="Q814" t="s">
        <v>2045</v>
      </c>
      <c r="R814" t="s">
        <v>2046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48"/>
        <v>2.3940625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49"/>
        <v>112.66176470588235</v>
      </c>
      <c r="Q815" t="s">
        <v>2048</v>
      </c>
      <c r="R815" t="s">
        <v>2049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48"/>
        <v>0.921875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49"/>
        <v>81.944444444444443</v>
      </c>
      <c r="Q816" t="s">
        <v>2033</v>
      </c>
      <c r="R816" t="s">
        <v>2034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48"/>
        <v>1.3023333333333333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49"/>
        <v>64.049180327868854</v>
      </c>
      <c r="Q817" t="s">
        <v>2033</v>
      </c>
      <c r="R817" t="s">
        <v>2034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48"/>
        <v>6.1521739130434785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49"/>
        <v>106.39097744360902</v>
      </c>
      <c r="Q818" t="s">
        <v>2037</v>
      </c>
      <c r="R818" t="s">
        <v>2038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48"/>
        <v>3.687953216374269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49"/>
        <v>76.011249497790274</v>
      </c>
      <c r="Q819" t="s">
        <v>2045</v>
      </c>
      <c r="R819" t="s">
        <v>2046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48"/>
        <v>10.948571428571428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49"/>
        <v>111.07246376811594</v>
      </c>
      <c r="Q820" t="s">
        <v>2037</v>
      </c>
      <c r="R820" t="s">
        <v>2038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48"/>
        <v>0.50662921348314605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49"/>
        <v>95.936170212765958</v>
      </c>
      <c r="Q821" t="s">
        <v>2048</v>
      </c>
      <c r="R821" t="s">
        <v>2049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48"/>
        <v>8.0060000000000002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49"/>
        <v>43.043010752688176</v>
      </c>
      <c r="Q822" t="s">
        <v>2033</v>
      </c>
      <c r="R822" t="s">
        <v>2034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48"/>
        <v>2.9128571428571428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49"/>
        <v>67.966666666666669</v>
      </c>
      <c r="Q823" t="s">
        <v>2039</v>
      </c>
      <c r="R823" t="s">
        <v>2040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48"/>
        <v>3.4996666666666667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49"/>
        <v>89.991428571428571</v>
      </c>
      <c r="Q824" t="s">
        <v>2033</v>
      </c>
      <c r="R824" t="s">
        <v>2034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48"/>
        <v>3.5707317073170732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49"/>
        <v>58.095238095238095</v>
      </c>
      <c r="Q825" t="s">
        <v>2033</v>
      </c>
      <c r="R825" t="s">
        <v>2034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48"/>
        <v>1.2648941176470587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49"/>
        <v>83.996875000000003</v>
      </c>
      <c r="Q826" t="s">
        <v>2045</v>
      </c>
      <c r="R826" t="s">
        <v>2046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48"/>
        <v>3.875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49"/>
        <v>88.853503184713375</v>
      </c>
      <c r="Q827" t="s">
        <v>2039</v>
      </c>
      <c r="R827" t="s">
        <v>2050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48"/>
        <v>4.5703571428571426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49"/>
        <v>65.963917525773198</v>
      </c>
      <c r="Q828" t="s">
        <v>2037</v>
      </c>
      <c r="R828" t="s">
        <v>2038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48"/>
        <v>2.6669565217391304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49"/>
        <v>74.804878048780495</v>
      </c>
      <c r="Q829" t="s">
        <v>2039</v>
      </c>
      <c r="R829" t="s">
        <v>2042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48"/>
        <v>0.69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49"/>
        <v>69.98571428571428</v>
      </c>
      <c r="Q830" t="s">
        <v>2037</v>
      </c>
      <c r="R830" t="s">
        <v>2038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48"/>
        <v>0.51343749999999999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49"/>
        <v>32.006493506493506</v>
      </c>
      <c r="Q831" t="s">
        <v>2037</v>
      </c>
      <c r="R831" t="s">
        <v>2038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48"/>
        <v>1.1710526315789473E-2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49"/>
        <v>64.727272727272734</v>
      </c>
      <c r="Q832" t="s">
        <v>2037</v>
      </c>
      <c r="R832" t="s">
        <v>2038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48"/>
        <v>1.089773429454171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49"/>
        <v>24.998110087408456</v>
      </c>
      <c r="Q833" t="s">
        <v>2052</v>
      </c>
      <c r="R833" t="s">
        <v>2053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ref="G834:G897" si="52">(E834/D834)</f>
        <v>3.1517592592592591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ref="P834:P897" si="53">IFERROR(E834/H834, 0 )</f>
        <v>104.97764070932922</v>
      </c>
      <c r="Q834" t="s">
        <v>2045</v>
      </c>
      <c r="R834" t="s">
        <v>2057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si="52"/>
        <v>1.5769117647058823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si="53"/>
        <v>64.987878787878785</v>
      </c>
      <c r="Q835" t="s">
        <v>2045</v>
      </c>
      <c r="R835" t="s">
        <v>2057</v>
      </c>
      <c r="S835" s="9">
        <f t="shared" ref="S835:S898" si="54">(((K835/60)/60)/24)+DATE(1970,1,1)</f>
        <v>40588.25</v>
      </c>
      <c r="T835" s="9">
        <f t="shared" ref="T835:T898" si="55">(((L835/60)/60)/24)+DATE(1970,1,1)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52"/>
        <v>1.5380821917808218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si="53"/>
        <v>94.352941176470594</v>
      </c>
      <c r="Q836" t="s">
        <v>2037</v>
      </c>
      <c r="R836" t="s">
        <v>2038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52"/>
        <v>0.89738979118329465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53"/>
        <v>44.001706484641637</v>
      </c>
      <c r="Q837" t="s">
        <v>2035</v>
      </c>
      <c r="R837" t="s">
        <v>2036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52"/>
        <v>0.75135802469135804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53"/>
        <v>64.744680851063833</v>
      </c>
      <c r="Q838" t="s">
        <v>2033</v>
      </c>
      <c r="R838" t="s">
        <v>2043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52"/>
        <v>8.5288135593220336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53"/>
        <v>84.00667779632721</v>
      </c>
      <c r="Q839" t="s">
        <v>2033</v>
      </c>
      <c r="R839" t="s">
        <v>2056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52"/>
        <v>1.3890625000000001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53"/>
        <v>34.061302681992338</v>
      </c>
      <c r="Q840" t="s">
        <v>2037</v>
      </c>
      <c r="R840" t="s">
        <v>2038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52"/>
        <v>1.9018181818181819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53"/>
        <v>93.273885350318466</v>
      </c>
      <c r="Q841" t="s">
        <v>2039</v>
      </c>
      <c r="R841" t="s">
        <v>2040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52"/>
        <v>1.0024333619948409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53"/>
        <v>32.998301726577978</v>
      </c>
      <c r="Q842" t="s">
        <v>2037</v>
      </c>
      <c r="R842" t="s">
        <v>2038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52"/>
        <v>1.4275824175824177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53"/>
        <v>83.812903225806451</v>
      </c>
      <c r="Q843" t="s">
        <v>2035</v>
      </c>
      <c r="R843" t="s">
        <v>2036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52"/>
        <v>5.6313333333333331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53"/>
        <v>63.992424242424242</v>
      </c>
      <c r="Q844" t="s">
        <v>2035</v>
      </c>
      <c r="R844" t="s">
        <v>2044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52"/>
        <v>0.30715909090909088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53"/>
        <v>81.909090909090907</v>
      </c>
      <c r="Q845" t="s">
        <v>2052</v>
      </c>
      <c r="R845" t="s">
        <v>2053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52"/>
        <v>0.99397727272727276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53"/>
        <v>93.053191489361708</v>
      </c>
      <c r="Q846" t="s">
        <v>2039</v>
      </c>
      <c r="R846" t="s">
        <v>2040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52"/>
        <v>1.9754935622317598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53"/>
        <v>101.98449039881831</v>
      </c>
      <c r="Q847" t="s">
        <v>2035</v>
      </c>
      <c r="R847" t="s">
        <v>2036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52"/>
        <v>5.085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53"/>
        <v>105.9375</v>
      </c>
      <c r="Q848" t="s">
        <v>2035</v>
      </c>
      <c r="R848" t="s">
        <v>2036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52"/>
        <v>2.3774468085106384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53"/>
        <v>101.58181818181818</v>
      </c>
      <c r="Q849" t="s">
        <v>2031</v>
      </c>
      <c r="R849" t="s">
        <v>2032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52"/>
        <v>3.3846875000000001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53"/>
        <v>62.970930232558139</v>
      </c>
      <c r="Q850" t="s">
        <v>2039</v>
      </c>
      <c r="R850" t="s">
        <v>2042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52"/>
        <v>1.3308955223880596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53"/>
        <v>29.045602605863191</v>
      </c>
      <c r="Q851" t="s">
        <v>2033</v>
      </c>
      <c r="R851" t="s">
        <v>2043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52"/>
        <v>0.01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53"/>
        <v>1</v>
      </c>
      <c r="Q852" t="s">
        <v>2033</v>
      </c>
      <c r="R852" t="s">
        <v>2034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52"/>
        <v>2.0779999999999998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53"/>
        <v>77.924999999999997</v>
      </c>
      <c r="Q853" t="s">
        <v>2033</v>
      </c>
      <c r="R853" t="s">
        <v>2041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52"/>
        <v>0.51122448979591839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53"/>
        <v>80.806451612903231</v>
      </c>
      <c r="Q854" t="s">
        <v>2048</v>
      </c>
      <c r="R854" t="s">
        <v>2049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52"/>
        <v>6.5205847953216374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53"/>
        <v>76.006816632583508</v>
      </c>
      <c r="Q855" t="s">
        <v>2033</v>
      </c>
      <c r="R855" t="s">
        <v>2043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52"/>
        <v>1.1363099415204678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53"/>
        <v>72.993613824192337</v>
      </c>
      <c r="Q856" t="s">
        <v>2045</v>
      </c>
      <c r="R856" t="s">
        <v>2051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52"/>
        <v>1.0237606837606839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53"/>
        <v>53</v>
      </c>
      <c r="Q857" t="s">
        <v>2037</v>
      </c>
      <c r="R857" t="s">
        <v>2038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52"/>
        <v>3.5658333333333334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53"/>
        <v>54.164556962025316</v>
      </c>
      <c r="Q858" t="s">
        <v>2031</v>
      </c>
      <c r="R858" t="s">
        <v>2032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52"/>
        <v>1.3986792452830188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53"/>
        <v>32.946666666666665</v>
      </c>
      <c r="Q859" t="s">
        <v>2039</v>
      </c>
      <c r="R859" t="s">
        <v>2050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52"/>
        <v>0.69450000000000001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53"/>
        <v>79.371428571428567</v>
      </c>
      <c r="Q860" t="s">
        <v>2031</v>
      </c>
      <c r="R860" t="s">
        <v>2032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52"/>
        <v>0.35534246575342465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53"/>
        <v>41.174603174603178</v>
      </c>
      <c r="Q861" t="s">
        <v>2037</v>
      </c>
      <c r="R861" t="s">
        <v>2038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52"/>
        <v>2.5165000000000002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53"/>
        <v>77.430769230769229</v>
      </c>
      <c r="Q862" t="s">
        <v>2035</v>
      </c>
      <c r="R862" t="s">
        <v>2044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52"/>
        <v>1.0587500000000001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53"/>
        <v>57.159509202453989</v>
      </c>
      <c r="Q863" t="s">
        <v>2037</v>
      </c>
      <c r="R863" t="s">
        <v>2038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52"/>
        <v>1.8742857142857143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53"/>
        <v>77.17647058823529</v>
      </c>
      <c r="Q864" t="s">
        <v>2037</v>
      </c>
      <c r="R864" t="s">
        <v>2038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52"/>
        <v>3.8678571428571429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53"/>
        <v>24.953917050691246</v>
      </c>
      <c r="Q865" t="s">
        <v>2039</v>
      </c>
      <c r="R865" t="s">
        <v>2058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52"/>
        <v>3.4707142857142856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53"/>
        <v>97.18</v>
      </c>
      <c r="Q866" t="s">
        <v>2039</v>
      </c>
      <c r="R866" t="s">
        <v>2050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52"/>
        <v>1.8582098765432098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53"/>
        <v>46.000916870415651</v>
      </c>
      <c r="Q867" t="s">
        <v>2037</v>
      </c>
      <c r="R867" t="s">
        <v>2038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52"/>
        <v>0.43241247264770238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53"/>
        <v>88.023385300668153</v>
      </c>
      <c r="Q868" t="s">
        <v>2052</v>
      </c>
      <c r="R868" t="s">
        <v>2053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52"/>
        <v>1.6243749999999999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53"/>
        <v>25.99</v>
      </c>
      <c r="Q869" t="s">
        <v>2031</v>
      </c>
      <c r="R869" t="s">
        <v>2032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52"/>
        <v>1.8484285714285715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53"/>
        <v>102.69047619047619</v>
      </c>
      <c r="Q870" t="s">
        <v>2037</v>
      </c>
      <c r="R870" t="s">
        <v>2038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52"/>
        <v>0.23703520691785052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53"/>
        <v>72.958174904942965</v>
      </c>
      <c r="Q871" t="s">
        <v>2039</v>
      </c>
      <c r="R871" t="s">
        <v>2042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52"/>
        <v>0.89870129870129867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53"/>
        <v>57.190082644628099</v>
      </c>
      <c r="Q872" t="s">
        <v>2037</v>
      </c>
      <c r="R872" t="s">
        <v>2038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52"/>
        <v>2.7260419580419581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53"/>
        <v>84.013793103448279</v>
      </c>
      <c r="Q873" t="s">
        <v>2037</v>
      </c>
      <c r="R873" t="s">
        <v>2038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52"/>
        <v>1.7004255319148935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53"/>
        <v>98.666666666666671</v>
      </c>
      <c r="Q874" t="s">
        <v>2039</v>
      </c>
      <c r="R874" t="s">
        <v>2061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52"/>
        <v>1.8828503562945369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53"/>
        <v>42.007419183889773</v>
      </c>
      <c r="Q875" t="s">
        <v>2052</v>
      </c>
      <c r="R875" t="s">
        <v>2053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52"/>
        <v>3.4693532338308457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53"/>
        <v>32.002753556677376</v>
      </c>
      <c r="Q876" t="s">
        <v>2052</v>
      </c>
      <c r="R876" t="s">
        <v>2053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52"/>
        <v>0.6917721518987342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53"/>
        <v>81.567164179104481</v>
      </c>
      <c r="Q877" t="s">
        <v>2033</v>
      </c>
      <c r="R877" t="s">
        <v>2034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52"/>
        <v>0.25433734939759034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53"/>
        <v>37.035087719298247</v>
      </c>
      <c r="Q878" t="s">
        <v>2052</v>
      </c>
      <c r="R878" t="s">
        <v>2053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52"/>
        <v>0.77400977995110021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53"/>
        <v>103.033360455655</v>
      </c>
      <c r="Q879" t="s">
        <v>2031</v>
      </c>
      <c r="R879" t="s">
        <v>2032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52"/>
        <v>0.37481481481481482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53"/>
        <v>84.333333333333329</v>
      </c>
      <c r="Q880" t="s">
        <v>2033</v>
      </c>
      <c r="R880" t="s">
        <v>2055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52"/>
        <v>5.4379999999999997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53"/>
        <v>102.60377358490567</v>
      </c>
      <c r="Q881" t="s">
        <v>2045</v>
      </c>
      <c r="R881" t="s">
        <v>2046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52"/>
        <v>2.2852189349112426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53"/>
        <v>79.992129246064621</v>
      </c>
      <c r="Q882" t="s">
        <v>2033</v>
      </c>
      <c r="R882" t="s">
        <v>2041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52"/>
        <v>0.38948339483394834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53"/>
        <v>70.055309734513273</v>
      </c>
      <c r="Q883" t="s">
        <v>2037</v>
      </c>
      <c r="R883" t="s">
        <v>2038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52"/>
        <v>3.7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53"/>
        <v>37</v>
      </c>
      <c r="Q884" t="s">
        <v>2037</v>
      </c>
      <c r="R884" t="s">
        <v>2038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52"/>
        <v>2.3791176470588233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53"/>
        <v>41.911917098445599</v>
      </c>
      <c r="Q885" t="s">
        <v>2039</v>
      </c>
      <c r="R885" t="s">
        <v>2050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52"/>
        <v>0.64036299765807958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53"/>
        <v>57.992576882290564</v>
      </c>
      <c r="Q886" t="s">
        <v>2037</v>
      </c>
      <c r="R886" t="s">
        <v>2038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52"/>
        <v>1.1827777777777777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53"/>
        <v>40.942307692307693</v>
      </c>
      <c r="Q887" t="s">
        <v>2037</v>
      </c>
      <c r="R887" t="s">
        <v>2038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52"/>
        <v>0.84824037184594958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53"/>
        <v>69.9972602739726</v>
      </c>
      <c r="Q888" t="s">
        <v>2033</v>
      </c>
      <c r="R888" t="s">
        <v>2043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52"/>
        <v>0.29346153846153844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53"/>
        <v>73.838709677419359</v>
      </c>
      <c r="Q889" t="s">
        <v>2037</v>
      </c>
      <c r="R889" t="s">
        <v>2038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52"/>
        <v>2.0989655172413793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53"/>
        <v>41.979310344827589</v>
      </c>
      <c r="Q890" t="s">
        <v>2037</v>
      </c>
      <c r="R890" t="s">
        <v>2038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52"/>
        <v>1.697857142857143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53"/>
        <v>77.93442622950819</v>
      </c>
      <c r="Q891" t="s">
        <v>2033</v>
      </c>
      <c r="R891" t="s">
        <v>2041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52"/>
        <v>1.1595907738095239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53"/>
        <v>106.01972789115646</v>
      </c>
      <c r="Q892" t="s">
        <v>2033</v>
      </c>
      <c r="R892" t="s">
        <v>2043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52"/>
        <v>2.5859999999999999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53"/>
        <v>47.018181818181816</v>
      </c>
      <c r="Q893" t="s">
        <v>2039</v>
      </c>
      <c r="R893" t="s">
        <v>2040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52"/>
        <v>2.3058333333333332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53"/>
        <v>76.016483516483518</v>
      </c>
      <c r="Q894" t="s">
        <v>2045</v>
      </c>
      <c r="R894" t="s">
        <v>2057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52"/>
        <v>1.2821428571428573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53"/>
        <v>54.120603015075375</v>
      </c>
      <c r="Q895" t="s">
        <v>2039</v>
      </c>
      <c r="R895" t="s">
        <v>2040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52"/>
        <v>1.8870588235294117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53"/>
        <v>57.285714285714285</v>
      </c>
      <c r="Q896" t="s">
        <v>2039</v>
      </c>
      <c r="R896" t="s">
        <v>2058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52"/>
        <v>6.9511889862327911E-2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53"/>
        <v>103.81308411214954</v>
      </c>
      <c r="Q897" t="s">
        <v>2037</v>
      </c>
      <c r="R897" t="s">
        <v>2038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ref="G898:G961" si="56">(E898/D898)</f>
        <v>7.7443434343434348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ref="P898:P961" si="57">IFERROR(E898/H898, 0 )</f>
        <v>105.02602739726028</v>
      </c>
      <c r="Q898" t="s">
        <v>2031</v>
      </c>
      <c r="R898" t="s">
        <v>2032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si="56"/>
        <v>0.27693181818181817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si="57"/>
        <v>90.259259259259252</v>
      </c>
      <c r="Q899" t="s">
        <v>2037</v>
      </c>
      <c r="R899" t="s">
        <v>2038</v>
      </c>
      <c r="S899" s="9">
        <f t="shared" ref="S899:S962" si="58">(((K899/60)/60)/24)+DATE(1970,1,1)</f>
        <v>43583.208333333328</v>
      </c>
      <c r="T899" s="9">
        <f t="shared" ref="T899:T962" si="59">(((L899/60)/60)/24)+DATE(1970,1,1)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56"/>
        <v>0.52479620323841425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si="57"/>
        <v>76.978705978705975</v>
      </c>
      <c r="Q900" t="s">
        <v>2039</v>
      </c>
      <c r="R900" t="s">
        <v>2040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56"/>
        <v>4.0709677419354842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57"/>
        <v>102.60162601626017</v>
      </c>
      <c r="Q901" t="s">
        <v>2033</v>
      </c>
      <c r="R901" t="s">
        <v>2056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56"/>
        <v>0.02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57"/>
        <v>2</v>
      </c>
      <c r="Q902" t="s">
        <v>2035</v>
      </c>
      <c r="R902" t="s">
        <v>2036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56"/>
        <v>1.5617857142857143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57"/>
        <v>55.0062893081761</v>
      </c>
      <c r="Q903" t="s">
        <v>2033</v>
      </c>
      <c r="R903" t="s">
        <v>2034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56"/>
        <v>2.5242857142857145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57"/>
        <v>32.127272727272725</v>
      </c>
      <c r="Q904" t="s">
        <v>2035</v>
      </c>
      <c r="R904" t="s">
        <v>2036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56"/>
        <v>1.729268292682927E-2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57"/>
        <v>50.642857142857146</v>
      </c>
      <c r="Q905" t="s">
        <v>2045</v>
      </c>
      <c r="R905" t="s">
        <v>2046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56"/>
        <v>0.12230769230769231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57"/>
        <v>49.6875</v>
      </c>
      <c r="Q906" t="s">
        <v>2045</v>
      </c>
      <c r="R906" t="s">
        <v>2054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56"/>
        <v>1.6398734177215191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57"/>
        <v>54.894067796610166</v>
      </c>
      <c r="Q907" t="s">
        <v>2037</v>
      </c>
      <c r="R907" t="s">
        <v>2038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56"/>
        <v>1.6298181818181818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57"/>
        <v>46.931937172774866</v>
      </c>
      <c r="Q908" t="s">
        <v>2039</v>
      </c>
      <c r="R908" t="s">
        <v>2040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56"/>
        <v>0.20252747252747252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57"/>
        <v>44.951219512195124</v>
      </c>
      <c r="Q909" t="s">
        <v>2037</v>
      </c>
      <c r="R909" t="s">
        <v>2038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56"/>
        <v>3.1924083769633507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57"/>
        <v>30.99898322318251</v>
      </c>
      <c r="Q910" t="s">
        <v>2048</v>
      </c>
      <c r="R910" t="s">
        <v>2049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56"/>
        <v>4.7894444444444444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57"/>
        <v>107.7625</v>
      </c>
      <c r="Q911" t="s">
        <v>2037</v>
      </c>
      <c r="R911" t="s">
        <v>2038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56"/>
        <v>0.19556634304207121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57"/>
        <v>102.07770270270271</v>
      </c>
      <c r="Q912" t="s">
        <v>2037</v>
      </c>
      <c r="R912" t="s">
        <v>2038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56"/>
        <v>1.9894827586206896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57"/>
        <v>24.976190476190474</v>
      </c>
      <c r="Q913" t="s">
        <v>2035</v>
      </c>
      <c r="R913" t="s">
        <v>2036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56"/>
        <v>7.95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57"/>
        <v>79.944134078212286</v>
      </c>
      <c r="Q914" t="s">
        <v>2039</v>
      </c>
      <c r="R914" t="s">
        <v>2042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56"/>
        <v>0.50621082621082625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57"/>
        <v>67.946462715105156</v>
      </c>
      <c r="Q915" t="s">
        <v>2039</v>
      </c>
      <c r="R915" t="s">
        <v>2042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56"/>
        <v>0.57437499999999997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57"/>
        <v>26.070921985815602</v>
      </c>
      <c r="Q916" t="s">
        <v>2037</v>
      </c>
      <c r="R916" t="s">
        <v>2038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56"/>
        <v>1.5562827640984909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57"/>
        <v>105.0032154340836</v>
      </c>
      <c r="Q917" t="s">
        <v>2039</v>
      </c>
      <c r="R917" t="s">
        <v>2058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56"/>
        <v>0.36297297297297298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57"/>
        <v>25.826923076923077</v>
      </c>
      <c r="Q918" t="s">
        <v>2052</v>
      </c>
      <c r="R918" t="s">
        <v>2053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56"/>
        <v>0.58250000000000002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57"/>
        <v>77.666666666666671</v>
      </c>
      <c r="Q919" t="s">
        <v>2039</v>
      </c>
      <c r="R919" t="s">
        <v>2050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56"/>
        <v>2.3739473684210526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57"/>
        <v>57.82692307692308</v>
      </c>
      <c r="Q920" t="s">
        <v>2045</v>
      </c>
      <c r="R920" t="s">
        <v>2054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56"/>
        <v>0.58750000000000002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57"/>
        <v>92.955555555555549</v>
      </c>
      <c r="Q921" t="s">
        <v>2037</v>
      </c>
      <c r="R921" t="s">
        <v>2038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56"/>
        <v>1.8256603773584905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57"/>
        <v>37.945098039215686</v>
      </c>
      <c r="Q922" t="s">
        <v>2039</v>
      </c>
      <c r="R922" t="s">
        <v>2047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56"/>
        <v>7.5436408977556111E-3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57"/>
        <v>31.842105263157894</v>
      </c>
      <c r="Q923" t="s">
        <v>2035</v>
      </c>
      <c r="R923" t="s">
        <v>2036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56"/>
        <v>1.7595330739299611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57"/>
        <v>40</v>
      </c>
      <c r="Q924" t="s">
        <v>2033</v>
      </c>
      <c r="R924" t="s">
        <v>2060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56"/>
        <v>2.3788235294117648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57"/>
        <v>101.1</v>
      </c>
      <c r="Q925" t="s">
        <v>2037</v>
      </c>
      <c r="R925" t="s">
        <v>2038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56"/>
        <v>4.8805076142131982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57"/>
        <v>84.006989951944078</v>
      </c>
      <c r="Q926" t="s">
        <v>2037</v>
      </c>
      <c r="R926" t="s">
        <v>2038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56"/>
        <v>2.2406666666666668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57"/>
        <v>103.41538461538461</v>
      </c>
      <c r="Q927" t="s">
        <v>2037</v>
      </c>
      <c r="R927" t="s">
        <v>2038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56"/>
        <v>0.18126436781609195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57"/>
        <v>105.13333333333334</v>
      </c>
      <c r="Q928" t="s">
        <v>2031</v>
      </c>
      <c r="R928" t="s">
        <v>2032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56"/>
        <v>0.45847222222222223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57"/>
        <v>89.21621621621621</v>
      </c>
      <c r="Q929" t="s">
        <v>2037</v>
      </c>
      <c r="R929" t="s">
        <v>2038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56"/>
        <v>1.1731541218637993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57"/>
        <v>51.995234312946785</v>
      </c>
      <c r="Q930" t="s">
        <v>2035</v>
      </c>
      <c r="R930" t="s">
        <v>2036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56"/>
        <v>2.173090909090909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57"/>
        <v>64.956521739130437</v>
      </c>
      <c r="Q931" t="s">
        <v>2037</v>
      </c>
      <c r="R931" t="s">
        <v>2038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56"/>
        <v>1.1228571428571428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57"/>
        <v>46.235294117647058</v>
      </c>
      <c r="Q932" t="s">
        <v>2037</v>
      </c>
      <c r="R932" t="s">
        <v>2038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56"/>
        <v>0.72518987341772156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57"/>
        <v>51.151785714285715</v>
      </c>
      <c r="Q933" t="s">
        <v>2037</v>
      </c>
      <c r="R933" t="s">
        <v>2038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56"/>
        <v>2.1230434782608696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57"/>
        <v>33.909722222222221</v>
      </c>
      <c r="Q934" t="s">
        <v>2033</v>
      </c>
      <c r="R934" t="s">
        <v>2034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56"/>
        <v>2.3974657534246577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57"/>
        <v>92.016298633017882</v>
      </c>
      <c r="Q935" t="s">
        <v>2037</v>
      </c>
      <c r="R935" t="s">
        <v>2038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56"/>
        <v>1.8193548387096774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57"/>
        <v>107.42857142857143</v>
      </c>
      <c r="Q936" t="s">
        <v>2037</v>
      </c>
      <c r="R936" t="s">
        <v>2038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56"/>
        <v>1.6413114754098361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57"/>
        <v>75.848484848484844</v>
      </c>
      <c r="Q937" t="s">
        <v>2037</v>
      </c>
      <c r="R937" t="s">
        <v>2038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56"/>
        <v>1.6375968992248063E-2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57"/>
        <v>80.476190476190482</v>
      </c>
      <c r="Q938" t="s">
        <v>2037</v>
      </c>
      <c r="R938" t="s">
        <v>2038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56"/>
        <v>0.49643859649122807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57"/>
        <v>86.978483606557376</v>
      </c>
      <c r="Q939" t="s">
        <v>2039</v>
      </c>
      <c r="R939" t="s">
        <v>2040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56"/>
        <v>1.0970652173913042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57"/>
        <v>105.13541666666667</v>
      </c>
      <c r="Q940" t="s">
        <v>2045</v>
      </c>
      <c r="R940" t="s">
        <v>2051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56"/>
        <v>0.49217948717948717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57"/>
        <v>57.298507462686565</v>
      </c>
      <c r="Q941" t="s">
        <v>2048</v>
      </c>
      <c r="R941" t="s">
        <v>2049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56"/>
        <v>0.62232323232323228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57"/>
        <v>93.348484848484844</v>
      </c>
      <c r="Q942" t="s">
        <v>2035</v>
      </c>
      <c r="R942" t="s">
        <v>2036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56"/>
        <v>0.1305813953488372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57"/>
        <v>71.987179487179489</v>
      </c>
      <c r="Q943" t="s">
        <v>2037</v>
      </c>
      <c r="R943" t="s">
        <v>2038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56"/>
        <v>0.64635416666666667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57"/>
        <v>92.611940298507463</v>
      </c>
      <c r="Q944" t="s">
        <v>2037</v>
      </c>
      <c r="R944" t="s">
        <v>2038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56"/>
        <v>1.5958666666666668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57"/>
        <v>104.99122807017544</v>
      </c>
      <c r="Q945" t="s">
        <v>2031</v>
      </c>
      <c r="R945" t="s">
        <v>2032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56"/>
        <v>0.81420000000000003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57"/>
        <v>30.958174904942965</v>
      </c>
      <c r="Q946" t="s">
        <v>2052</v>
      </c>
      <c r="R946" t="s">
        <v>2053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56"/>
        <v>0.32444767441860467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57"/>
        <v>33.001182732111175</v>
      </c>
      <c r="Q947" t="s">
        <v>2052</v>
      </c>
      <c r="R947" t="s">
        <v>2053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56"/>
        <v>9.9141184124918666E-2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57"/>
        <v>84.187845303867405</v>
      </c>
      <c r="Q948" t="s">
        <v>2037</v>
      </c>
      <c r="R948" t="s">
        <v>2038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56"/>
        <v>0.26694444444444443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57"/>
        <v>73.92307692307692</v>
      </c>
      <c r="Q949" t="s">
        <v>2037</v>
      </c>
      <c r="R949" t="s">
        <v>2038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56"/>
        <v>0.62957446808510642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57"/>
        <v>36.987499999999997</v>
      </c>
      <c r="Q950" t="s">
        <v>2039</v>
      </c>
      <c r="R950" t="s">
        <v>2040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56"/>
        <v>1.6135593220338984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57"/>
        <v>46.896551724137929</v>
      </c>
      <c r="Q951" t="s">
        <v>2035</v>
      </c>
      <c r="R951" t="s">
        <v>2036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56"/>
        <v>0.05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57"/>
        <v>5</v>
      </c>
      <c r="Q952" t="s">
        <v>2037</v>
      </c>
      <c r="R952" t="s">
        <v>2038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56"/>
        <v>10.969379310344827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57"/>
        <v>102.02437459910199</v>
      </c>
      <c r="Q953" t="s">
        <v>2033</v>
      </c>
      <c r="R953" t="s">
        <v>2034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56"/>
        <v>0.70094158075601376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57"/>
        <v>45.007502206531335</v>
      </c>
      <c r="Q954" t="s">
        <v>2039</v>
      </c>
      <c r="R954" t="s">
        <v>2040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56"/>
        <v>0.6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57"/>
        <v>94.285714285714292</v>
      </c>
      <c r="Q955" t="s">
        <v>2039</v>
      </c>
      <c r="R955" t="s">
        <v>2061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56"/>
        <v>3.6709859154929578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57"/>
        <v>101.02325581395348</v>
      </c>
      <c r="Q956" t="s">
        <v>2035</v>
      </c>
      <c r="R956" t="s">
        <v>2036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56"/>
        <v>11.09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57"/>
        <v>97.037499999999994</v>
      </c>
      <c r="Q957" t="s">
        <v>2037</v>
      </c>
      <c r="R957" t="s">
        <v>2038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56"/>
        <v>0.19028784648187633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57"/>
        <v>43.00963855421687</v>
      </c>
      <c r="Q958" t="s">
        <v>2039</v>
      </c>
      <c r="R958" t="s">
        <v>2061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56"/>
        <v>1.2687755102040816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57"/>
        <v>94.916030534351151</v>
      </c>
      <c r="Q959" t="s">
        <v>2037</v>
      </c>
      <c r="R959" t="s">
        <v>2038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56"/>
        <v>7.3463636363636367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57"/>
        <v>72.151785714285708</v>
      </c>
      <c r="Q960" t="s">
        <v>2039</v>
      </c>
      <c r="R960" t="s">
        <v>2047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56"/>
        <v>4.5731034482758622E-2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57"/>
        <v>51.007692307692309</v>
      </c>
      <c r="Q961" t="s">
        <v>2045</v>
      </c>
      <c r="R961" t="s">
        <v>2057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ref="G962:G1001" si="60">(E962/D962)</f>
        <v>0.85054545454545449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ref="P962:P1001" si="61">IFERROR(E962/H962, 0 )</f>
        <v>85.054545454545448</v>
      </c>
      <c r="Q962" t="s">
        <v>2035</v>
      </c>
      <c r="R962" t="s">
        <v>2036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si="60"/>
        <v>1.1929824561403508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si="61"/>
        <v>43.87096774193548</v>
      </c>
      <c r="Q963" t="s">
        <v>2045</v>
      </c>
      <c r="R963" t="s">
        <v>2057</v>
      </c>
      <c r="S963" s="9">
        <f t="shared" ref="S963:S1001" si="62">(((K963/60)/60)/24)+DATE(1970,1,1)</f>
        <v>40591.25</v>
      </c>
      <c r="T963" s="9">
        <f t="shared" ref="T963:T1001" si="63">(((L963/60)/60)/24)+DATE(1970,1,1)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60"/>
        <v>2.9602777777777778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si="61"/>
        <v>40.063909774436091</v>
      </c>
      <c r="Q964" t="s">
        <v>2031</v>
      </c>
      <c r="R964" t="s">
        <v>2032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60"/>
        <v>0.84694915254237291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61"/>
        <v>43.833333333333336</v>
      </c>
      <c r="Q965" t="s">
        <v>2052</v>
      </c>
      <c r="R965" t="s">
        <v>2053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60"/>
        <v>3.5578378378378379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61"/>
        <v>84.92903225806451</v>
      </c>
      <c r="Q966" t="s">
        <v>2037</v>
      </c>
      <c r="R966" t="s">
        <v>2038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60"/>
        <v>3.8640909090909092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61"/>
        <v>41.067632850241544</v>
      </c>
      <c r="Q967" t="s">
        <v>2033</v>
      </c>
      <c r="R967" t="s">
        <v>2034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60"/>
        <v>7.9223529411764702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61"/>
        <v>54.971428571428568</v>
      </c>
      <c r="Q968" t="s">
        <v>2037</v>
      </c>
      <c r="R968" t="s">
        <v>2038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60"/>
        <v>1.3703393665158372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61"/>
        <v>77.010807374443743</v>
      </c>
      <c r="Q969" t="s">
        <v>2033</v>
      </c>
      <c r="R969" t="s">
        <v>2060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60"/>
        <v>3.3820833333333336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61"/>
        <v>71.201754385964918</v>
      </c>
      <c r="Q970" t="s">
        <v>2031</v>
      </c>
      <c r="R970" t="s">
        <v>2032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60"/>
        <v>1.0822784810126582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61"/>
        <v>91.935483870967744</v>
      </c>
      <c r="Q971" t="s">
        <v>2037</v>
      </c>
      <c r="R971" t="s">
        <v>2038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60"/>
        <v>0.60757639620653314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61"/>
        <v>97.069023569023571</v>
      </c>
      <c r="Q972" t="s">
        <v>2037</v>
      </c>
      <c r="R972" t="s">
        <v>2038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60"/>
        <v>0.27725490196078434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61"/>
        <v>58.916666666666664</v>
      </c>
      <c r="Q973" t="s">
        <v>2039</v>
      </c>
      <c r="R973" t="s">
        <v>2058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60"/>
        <v>2.283934426229508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61"/>
        <v>58.015466983938133</v>
      </c>
      <c r="Q974" t="s">
        <v>2035</v>
      </c>
      <c r="R974" t="s">
        <v>2036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60"/>
        <v>0.21615194054500414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61"/>
        <v>103.87301587301587</v>
      </c>
      <c r="Q975" t="s">
        <v>2037</v>
      </c>
      <c r="R975" t="s">
        <v>2038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60"/>
        <v>3.73875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61"/>
        <v>93.46875</v>
      </c>
      <c r="Q976" t="s">
        <v>2033</v>
      </c>
      <c r="R976" t="s">
        <v>2043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60"/>
        <v>1.5492592592592593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61"/>
        <v>61.970370370370368</v>
      </c>
      <c r="Q977" t="s">
        <v>2037</v>
      </c>
      <c r="R977" t="s">
        <v>2038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60"/>
        <v>3.2214999999999998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61"/>
        <v>92.042857142857144</v>
      </c>
      <c r="Q978" t="s">
        <v>2037</v>
      </c>
      <c r="R978" t="s">
        <v>2038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60"/>
        <v>0.73957142857142855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61"/>
        <v>77.268656716417908</v>
      </c>
      <c r="Q979" t="s">
        <v>2031</v>
      </c>
      <c r="R979" t="s">
        <v>2032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60"/>
        <v>8.641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61"/>
        <v>93.923913043478265</v>
      </c>
      <c r="Q980" t="s">
        <v>2048</v>
      </c>
      <c r="R980" t="s">
        <v>2049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60"/>
        <v>1.432624584717608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61"/>
        <v>84.969458128078813</v>
      </c>
      <c r="Q981" t="s">
        <v>2037</v>
      </c>
      <c r="R981" t="s">
        <v>2038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60"/>
        <v>0.40281762295081969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61"/>
        <v>105.97035040431267</v>
      </c>
      <c r="Q982" t="s">
        <v>2045</v>
      </c>
      <c r="R982" t="s">
        <v>2046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60"/>
        <v>1.7822388059701493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61"/>
        <v>36.969040247678016</v>
      </c>
      <c r="Q983" t="s">
        <v>2035</v>
      </c>
      <c r="R983" t="s">
        <v>2036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60"/>
        <v>0.84930555555555554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61"/>
        <v>81.533333333333331</v>
      </c>
      <c r="Q984" t="s">
        <v>2039</v>
      </c>
      <c r="R984" t="s">
        <v>2040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60"/>
        <v>1.4593648334624323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61"/>
        <v>80.999140154772135</v>
      </c>
      <c r="Q985" t="s">
        <v>2039</v>
      </c>
      <c r="R985" t="s">
        <v>2040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60"/>
        <v>1.5246153846153847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61"/>
        <v>26.010498687664043</v>
      </c>
      <c r="Q986" t="s">
        <v>2037</v>
      </c>
      <c r="R986" t="s">
        <v>2038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60"/>
        <v>0.67129542790152408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61"/>
        <v>25.998410896708286</v>
      </c>
      <c r="Q987" t="s">
        <v>2033</v>
      </c>
      <c r="R987" t="s">
        <v>2034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60"/>
        <v>0.40307692307692305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61"/>
        <v>34.173913043478258</v>
      </c>
      <c r="Q988" t="s">
        <v>2033</v>
      </c>
      <c r="R988" t="s">
        <v>2034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60"/>
        <v>2.1679032258064517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61"/>
        <v>28.002083333333335</v>
      </c>
      <c r="Q989" t="s">
        <v>2039</v>
      </c>
      <c r="R989" t="s">
        <v>2040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60"/>
        <v>0.52117021276595743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61"/>
        <v>76.546875</v>
      </c>
      <c r="Q990" t="s">
        <v>2045</v>
      </c>
      <c r="R990" t="s">
        <v>2054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60"/>
        <v>4.9958333333333336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61"/>
        <v>53.053097345132741</v>
      </c>
      <c r="Q991" t="s">
        <v>2045</v>
      </c>
      <c r="R991" t="s">
        <v>2057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60"/>
        <v>0.87679487179487181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61"/>
        <v>106.859375</v>
      </c>
      <c r="Q992" t="s">
        <v>2039</v>
      </c>
      <c r="R992" t="s">
        <v>2042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60"/>
        <v>1.131734693877551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61"/>
        <v>46.020746887966808</v>
      </c>
      <c r="Q993" t="s">
        <v>2033</v>
      </c>
      <c r="R993" t="s">
        <v>2034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60"/>
        <v>4.2654838709677421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61"/>
        <v>100.17424242424242</v>
      </c>
      <c r="Q994" t="s">
        <v>2039</v>
      </c>
      <c r="R994" t="s">
        <v>2042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60"/>
        <v>0.77632653061224488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61"/>
        <v>101.44</v>
      </c>
      <c r="Q995" t="s">
        <v>2052</v>
      </c>
      <c r="R995" t="s">
        <v>2053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60"/>
        <v>0.52496810772501767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61"/>
        <v>87.972684085510693</v>
      </c>
      <c r="Q996" t="s">
        <v>2045</v>
      </c>
      <c r="R996" t="s">
        <v>2057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60"/>
        <v>1.5746762589928058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61"/>
        <v>74.995594713656388</v>
      </c>
      <c r="Q997" t="s">
        <v>2031</v>
      </c>
      <c r="R997" t="s">
        <v>2032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60"/>
        <v>0.72939393939393937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61"/>
        <v>42.982142857142854</v>
      </c>
      <c r="Q998" t="s">
        <v>2037</v>
      </c>
      <c r="R998" t="s">
        <v>2038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60"/>
        <v>0.60565789473684206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61"/>
        <v>33.115107913669064</v>
      </c>
      <c r="Q999" t="s">
        <v>2037</v>
      </c>
      <c r="R999" t="s">
        <v>2038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60"/>
        <v>0.5679129129129129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61"/>
        <v>101.13101604278074</v>
      </c>
      <c r="Q1000" t="s">
        <v>2033</v>
      </c>
      <c r="R1000" t="s">
        <v>2043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60"/>
        <v>0.56542754275427543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61"/>
        <v>55.98841354723708</v>
      </c>
      <c r="Q1001" t="s">
        <v>2031</v>
      </c>
      <c r="R1001" t="s">
        <v>2032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F1:G1048576">
    <cfRule type="containsText" dxfId="5" priority="2" operator="containsText" text="canceled">
      <formula>NOT(ISERROR(SEARCH("canceled",F1)))</formula>
    </cfRule>
    <cfRule type="containsText" dxfId="4" priority="3" operator="containsText" text="failed">
      <formula>NOT(ISERROR(SEARCH("failed",F1)))</formula>
    </cfRule>
    <cfRule type="containsText" dxfId="3" priority="4" operator="containsText" text="live">
      <formula>NOT(ISERROR(SEARCH("live",F1)))</formula>
    </cfRule>
    <cfRule type="containsText" dxfId="2" priority="5" operator="containsText" text="successful">
      <formula>NOT(ISERROR(SEARCH("successful",F1)))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AA4040"/>
        <color theme="9" tint="0.39997558519241921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CE5-715E-47FD-B4A6-328C2C9C5B55}">
  <dimension ref="A1:E18"/>
  <sheetViews>
    <sheetView workbookViewId="0">
      <selection activeCell="B30" sqref="B30"/>
    </sheetView>
  </sheetViews>
  <sheetFormatPr defaultRowHeight="15.75" x14ac:dyDescent="0.25"/>
  <cols>
    <col min="1" max="1" width="28.875" bestFit="1" customWidth="1"/>
    <col min="2" max="2" width="16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2064</v>
      </c>
      <c r="B1" t="s">
        <v>2066</v>
      </c>
    </row>
    <row r="2" spans="1:5" x14ac:dyDescent="0.25">
      <c r="A2" s="7" t="s">
        <v>2087</v>
      </c>
      <c r="B2" t="s">
        <v>2072</v>
      </c>
    </row>
    <row r="4" spans="1:5" x14ac:dyDescent="0.25">
      <c r="A4" s="7" t="s">
        <v>2071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8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77A3-BCE2-4DF5-B4B7-8DDEA7AD0581}">
  <dimension ref="A1:K566"/>
  <sheetViews>
    <sheetView topLeftCell="A113" workbookViewId="0">
      <selection activeCell="I23" sqref="I23"/>
    </sheetView>
  </sheetViews>
  <sheetFormatPr defaultRowHeight="15.75" x14ac:dyDescent="0.25"/>
  <sheetData>
    <row r="1" spans="1:11" x14ac:dyDescent="0.25">
      <c r="A1" s="4" t="s">
        <v>4</v>
      </c>
      <c r="B1" s="4" t="s">
        <v>5</v>
      </c>
      <c r="E1" s="4" t="s">
        <v>4</v>
      </c>
      <c r="F1" s="4" t="s">
        <v>5</v>
      </c>
      <c r="J1" s="4" t="s">
        <v>2107</v>
      </c>
      <c r="K1" s="4" t="s">
        <v>2108</v>
      </c>
    </row>
    <row r="2" spans="1:11" x14ac:dyDescent="0.25">
      <c r="A2" t="s">
        <v>20</v>
      </c>
      <c r="B2">
        <v>158</v>
      </c>
      <c r="E2" t="s">
        <v>14</v>
      </c>
      <c r="F2">
        <v>0</v>
      </c>
      <c r="I2" t="s">
        <v>2109</v>
      </c>
      <c r="J2">
        <f>AVERAGE(successful_backers)</f>
        <v>851.14690265486729</v>
      </c>
      <c r="K2">
        <f>AVERAGE(failed_backers)</f>
        <v>585.61538461538464</v>
      </c>
    </row>
    <row r="3" spans="1:11" x14ac:dyDescent="0.25">
      <c r="A3" t="s">
        <v>20</v>
      </c>
      <c r="B3">
        <v>1425</v>
      </c>
      <c r="E3" t="s">
        <v>14</v>
      </c>
      <c r="F3">
        <v>24</v>
      </c>
      <c r="I3" t="s">
        <v>2110</v>
      </c>
      <c r="J3">
        <f>MEDIAN(successful_backers)</f>
        <v>201</v>
      </c>
      <c r="K3">
        <f>MEDIAN(failed_backers)</f>
        <v>114.5</v>
      </c>
    </row>
    <row r="4" spans="1:11" x14ac:dyDescent="0.25">
      <c r="A4" t="s">
        <v>20</v>
      </c>
      <c r="B4">
        <v>174</v>
      </c>
      <c r="E4" t="s">
        <v>14</v>
      </c>
      <c r="F4">
        <v>53</v>
      </c>
      <c r="I4" t="s">
        <v>2111</v>
      </c>
      <c r="J4">
        <f>MIN(successful_backers)</f>
        <v>16</v>
      </c>
      <c r="K4">
        <f>MIN(failed_backers)</f>
        <v>0</v>
      </c>
    </row>
    <row r="5" spans="1:11" x14ac:dyDescent="0.25">
      <c r="A5" t="s">
        <v>20</v>
      </c>
      <c r="B5">
        <v>227</v>
      </c>
      <c r="E5" t="s">
        <v>14</v>
      </c>
      <c r="F5">
        <v>18</v>
      </c>
      <c r="I5" t="s">
        <v>2112</v>
      </c>
      <c r="J5">
        <f>MAX(successful_backers)</f>
        <v>7295</v>
      </c>
      <c r="K5">
        <f>MAX(failed_backers)</f>
        <v>6080</v>
      </c>
    </row>
    <row r="6" spans="1:11" x14ac:dyDescent="0.25">
      <c r="A6" t="s">
        <v>20</v>
      </c>
      <c r="B6">
        <v>220</v>
      </c>
      <c r="E6" t="s">
        <v>14</v>
      </c>
      <c r="F6">
        <v>44</v>
      </c>
      <c r="I6" t="s">
        <v>2113</v>
      </c>
      <c r="J6">
        <f>_xlfn.VAR.P(successful_backers)</f>
        <v>1603373.7324019109</v>
      </c>
      <c r="K6">
        <f>_xlfn.VAR.P(failed_backers)</f>
        <v>921574.68174133555</v>
      </c>
    </row>
    <row r="7" spans="1:11" x14ac:dyDescent="0.25">
      <c r="A7" t="s">
        <v>20</v>
      </c>
      <c r="B7">
        <v>98</v>
      </c>
      <c r="E7" t="s">
        <v>14</v>
      </c>
      <c r="F7">
        <v>27</v>
      </c>
      <c r="I7" t="s">
        <v>2114</v>
      </c>
      <c r="J7">
        <f>_xlfn.STDEV.P(successful_backers)</f>
        <v>1266.2439466397898</v>
      </c>
      <c r="K7">
        <f>_xlfn.STDEV.P(failed_backers)</f>
        <v>959.98681331637863</v>
      </c>
    </row>
    <row r="8" spans="1:11" x14ac:dyDescent="0.25">
      <c r="A8" t="s">
        <v>20</v>
      </c>
      <c r="B8">
        <v>100</v>
      </c>
      <c r="E8" t="s">
        <v>14</v>
      </c>
      <c r="F8">
        <v>55</v>
      </c>
    </row>
    <row r="9" spans="1:11" x14ac:dyDescent="0.25">
      <c r="A9" t="s">
        <v>20</v>
      </c>
      <c r="B9">
        <v>1249</v>
      </c>
      <c r="E9" t="s">
        <v>14</v>
      </c>
      <c r="F9">
        <v>200</v>
      </c>
    </row>
    <row r="10" spans="1:11" x14ac:dyDescent="0.25">
      <c r="A10" t="s">
        <v>20</v>
      </c>
      <c r="B10">
        <v>1396</v>
      </c>
      <c r="E10" t="s">
        <v>14</v>
      </c>
      <c r="F10">
        <v>452</v>
      </c>
    </row>
    <row r="11" spans="1:11" x14ac:dyDescent="0.25">
      <c r="A11" t="s">
        <v>20</v>
      </c>
      <c r="B11">
        <v>890</v>
      </c>
      <c r="E11" t="s">
        <v>14</v>
      </c>
      <c r="F11">
        <v>674</v>
      </c>
    </row>
    <row r="12" spans="1:11" x14ac:dyDescent="0.25">
      <c r="A12" t="s">
        <v>20</v>
      </c>
      <c r="B12">
        <v>142</v>
      </c>
      <c r="E12" t="s">
        <v>14</v>
      </c>
      <c r="F12">
        <v>558</v>
      </c>
    </row>
    <row r="13" spans="1:11" x14ac:dyDescent="0.25">
      <c r="A13" t="s">
        <v>20</v>
      </c>
      <c r="B13">
        <v>2673</v>
      </c>
      <c r="E13" t="s">
        <v>14</v>
      </c>
      <c r="F13">
        <v>15</v>
      </c>
    </row>
    <row r="14" spans="1:11" x14ac:dyDescent="0.25">
      <c r="A14" t="s">
        <v>20</v>
      </c>
      <c r="B14">
        <v>163</v>
      </c>
      <c r="E14" t="s">
        <v>14</v>
      </c>
      <c r="F14">
        <v>2307</v>
      </c>
    </row>
    <row r="15" spans="1:11" x14ac:dyDescent="0.25">
      <c r="A15" t="s">
        <v>20</v>
      </c>
      <c r="B15">
        <v>2220</v>
      </c>
      <c r="E15" t="s">
        <v>14</v>
      </c>
      <c r="F15">
        <v>88</v>
      </c>
    </row>
    <row r="16" spans="1:11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576">
    <cfRule type="containsText" dxfId="1" priority="2" operator="containsText" text="successful">
      <formula>NOT(ISERROR(SEARCH("successful",A1)))</formula>
    </cfRule>
  </conditionalFormatting>
  <conditionalFormatting sqref="E1:E1048576">
    <cfRule type="containsText" dxfId="0" priority="1" operator="containsText" text="failed">
      <formula>NOT(ISERROR(SEARCH("failed",E1)))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B2B5-3344-4BE2-AE24-2873974E67C4}">
  <dimension ref="A1:H14"/>
  <sheetViews>
    <sheetView zoomScaleNormal="100" workbookViewId="0">
      <selection activeCell="E12" sqref="E12"/>
    </sheetView>
  </sheetViews>
  <sheetFormatPr defaultRowHeight="15.75" x14ac:dyDescent="0.25"/>
  <cols>
    <col min="1" max="1" width="23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9.375" customWidth="1"/>
  </cols>
  <sheetData>
    <row r="1" spans="1:8" x14ac:dyDescent="0.25">
      <c r="A1" s="7" t="s">
        <v>6</v>
      </c>
      <c r="B1" t="s">
        <v>2066</v>
      </c>
    </row>
    <row r="3" spans="1:8" x14ac:dyDescent="0.25">
      <c r="A3" s="7" t="s">
        <v>2070</v>
      </c>
      <c r="B3" s="7" t="s">
        <v>2069</v>
      </c>
    </row>
    <row r="4" spans="1:8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2117</v>
      </c>
      <c r="H4" t="s">
        <v>2116</v>
      </c>
    </row>
    <row r="5" spans="1:8" x14ac:dyDescent="0.25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  <c r="G5" s="5">
        <f>E5/F5</f>
        <v>0.5730337078651685</v>
      </c>
      <c r="H5" s="5">
        <f>C5/F5</f>
        <v>0.33707865168539325</v>
      </c>
    </row>
    <row r="6" spans="1:8" x14ac:dyDescent="0.25">
      <c r="A6" s="8" t="s">
        <v>2031</v>
      </c>
      <c r="B6">
        <v>4</v>
      </c>
      <c r="C6">
        <v>20</v>
      </c>
      <c r="E6">
        <v>22</v>
      </c>
      <c r="F6">
        <v>46</v>
      </c>
      <c r="G6" s="5">
        <f t="shared" ref="G6:G13" si="0">E6/F6</f>
        <v>0.47826086956521741</v>
      </c>
      <c r="H6" s="5">
        <f t="shared" ref="H6:H13" si="1">C6/F6</f>
        <v>0.43478260869565216</v>
      </c>
    </row>
    <row r="7" spans="1:8" x14ac:dyDescent="0.25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  <c r="G7" s="5">
        <f t="shared" si="0"/>
        <v>0.4375</v>
      </c>
      <c r="H7" s="5">
        <f t="shared" si="1"/>
        <v>0.47916666666666669</v>
      </c>
    </row>
    <row r="8" spans="1:8" x14ac:dyDescent="0.25">
      <c r="A8" s="8" t="s">
        <v>2062</v>
      </c>
      <c r="E8">
        <v>4</v>
      </c>
      <c r="F8">
        <v>4</v>
      </c>
      <c r="G8" s="5">
        <f t="shared" si="0"/>
        <v>1</v>
      </c>
      <c r="H8" s="5">
        <f t="shared" si="1"/>
        <v>0</v>
      </c>
    </row>
    <row r="9" spans="1:8" x14ac:dyDescent="0.25">
      <c r="A9" s="8" t="s">
        <v>2033</v>
      </c>
      <c r="B9">
        <v>10</v>
      </c>
      <c r="C9">
        <v>66</v>
      </c>
      <c r="E9">
        <v>99</v>
      </c>
      <c r="F9">
        <v>175</v>
      </c>
      <c r="G9" s="5">
        <f t="shared" si="0"/>
        <v>0.56571428571428573</v>
      </c>
      <c r="H9" s="5">
        <f t="shared" si="1"/>
        <v>0.37714285714285717</v>
      </c>
    </row>
    <row r="10" spans="1:8" x14ac:dyDescent="0.25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  <c r="G10" s="5">
        <f t="shared" si="0"/>
        <v>0.61904761904761907</v>
      </c>
      <c r="H10" s="5">
        <f t="shared" si="1"/>
        <v>0.26190476190476192</v>
      </c>
    </row>
    <row r="11" spans="1:8" x14ac:dyDescent="0.25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  <c r="G11" s="5">
        <f t="shared" si="0"/>
        <v>0.59701492537313428</v>
      </c>
      <c r="H11" s="5">
        <f t="shared" si="1"/>
        <v>0.35820895522388058</v>
      </c>
    </row>
    <row r="12" spans="1:8" x14ac:dyDescent="0.25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  <c r="G12" s="5">
        <f t="shared" si="0"/>
        <v>0.66666666666666663</v>
      </c>
      <c r="H12" s="5">
        <f t="shared" si="1"/>
        <v>0.29166666666666669</v>
      </c>
    </row>
    <row r="13" spans="1:8" x14ac:dyDescent="0.25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  <c r="G13" s="5">
        <f t="shared" si="0"/>
        <v>0.54360465116279066</v>
      </c>
      <c r="H13" s="5">
        <f t="shared" si="1"/>
        <v>0.38372093023255816</v>
      </c>
    </row>
    <row r="14" spans="1:8" x14ac:dyDescent="0.25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F300-1661-4D98-8B0B-D5F58C2F9147}">
  <dimension ref="A1:H30"/>
  <sheetViews>
    <sheetView zoomScale="85" zoomScaleNormal="85" workbookViewId="0">
      <selection activeCell="C4" sqref="C4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" customWidth="1"/>
    <col min="8" max="8" width="18.875" customWidth="1"/>
  </cols>
  <sheetData>
    <row r="1" spans="1:8" x14ac:dyDescent="0.25">
      <c r="A1" s="7" t="s">
        <v>6</v>
      </c>
      <c r="B1" t="s">
        <v>2066</v>
      </c>
    </row>
    <row r="2" spans="1:8" x14ac:dyDescent="0.25">
      <c r="A2" s="7" t="s">
        <v>2064</v>
      </c>
      <c r="B2" t="s">
        <v>2072</v>
      </c>
    </row>
    <row r="4" spans="1:8" x14ac:dyDescent="0.25">
      <c r="A4" s="7" t="s">
        <v>2071</v>
      </c>
      <c r="B4" s="7" t="s">
        <v>2069</v>
      </c>
    </row>
    <row r="5" spans="1:8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s="4" t="s">
        <v>2115</v>
      </c>
      <c r="H5" t="s">
        <v>2116</v>
      </c>
    </row>
    <row r="6" spans="1:8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  <c r="G6" s="5">
        <f>(E6/F6)</f>
        <v>0.61764705882352944</v>
      </c>
      <c r="H6" s="5">
        <f>C6/F6</f>
        <v>0.29411764705882354</v>
      </c>
    </row>
    <row r="7" spans="1:8" x14ac:dyDescent="0.25">
      <c r="A7" s="8" t="s">
        <v>2063</v>
      </c>
      <c r="E7">
        <v>4</v>
      </c>
      <c r="F7">
        <v>4</v>
      </c>
      <c r="G7" s="5">
        <f t="shared" ref="G7:G29" si="0">(E7/F7)</f>
        <v>1</v>
      </c>
      <c r="H7" s="5">
        <f t="shared" ref="H7:H29" si="1">C7/F7</f>
        <v>0</v>
      </c>
    </row>
    <row r="8" spans="1:8" x14ac:dyDescent="0.25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  <c r="G8" s="5">
        <f t="shared" si="0"/>
        <v>0.56666666666666665</v>
      </c>
      <c r="H8" s="5">
        <f t="shared" si="1"/>
        <v>0.35</v>
      </c>
    </row>
    <row r="9" spans="1:8" x14ac:dyDescent="0.25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  <c r="G9" s="5">
        <f t="shared" si="0"/>
        <v>0.59459459459459463</v>
      </c>
      <c r="H9" s="5">
        <f t="shared" si="1"/>
        <v>0.32432432432432434</v>
      </c>
    </row>
    <row r="10" spans="1:8" x14ac:dyDescent="0.25">
      <c r="A10" s="8" t="s">
        <v>2041</v>
      </c>
      <c r="C10">
        <v>8</v>
      </c>
      <c r="E10">
        <v>10</v>
      </c>
      <c r="F10">
        <v>18</v>
      </c>
      <c r="G10" s="5">
        <f t="shared" si="0"/>
        <v>0.55555555555555558</v>
      </c>
      <c r="H10" s="5">
        <f t="shared" si="1"/>
        <v>0.44444444444444442</v>
      </c>
    </row>
    <row r="11" spans="1:8" x14ac:dyDescent="0.25">
      <c r="A11" s="8" t="s">
        <v>2051</v>
      </c>
      <c r="B11">
        <v>1</v>
      </c>
      <c r="C11">
        <v>7</v>
      </c>
      <c r="E11">
        <v>9</v>
      </c>
      <c r="F11">
        <v>17</v>
      </c>
      <c r="G11" s="5">
        <f t="shared" si="0"/>
        <v>0.52941176470588236</v>
      </c>
      <c r="H11" s="5">
        <f t="shared" si="1"/>
        <v>0.41176470588235292</v>
      </c>
    </row>
    <row r="12" spans="1:8" x14ac:dyDescent="0.25">
      <c r="A12" s="8" t="s">
        <v>2032</v>
      </c>
      <c r="B12">
        <v>4</v>
      </c>
      <c r="C12">
        <v>20</v>
      </c>
      <c r="E12">
        <v>22</v>
      </c>
      <c r="F12">
        <v>46</v>
      </c>
      <c r="G12" s="5">
        <f t="shared" si="0"/>
        <v>0.47826086956521741</v>
      </c>
      <c r="H12" s="5">
        <f t="shared" si="1"/>
        <v>0.43478260869565216</v>
      </c>
    </row>
    <row r="13" spans="1:8" x14ac:dyDescent="0.25">
      <c r="A13" s="8" t="s">
        <v>2043</v>
      </c>
      <c r="B13">
        <v>3</v>
      </c>
      <c r="C13">
        <v>19</v>
      </c>
      <c r="E13">
        <v>23</v>
      </c>
      <c r="F13">
        <v>45</v>
      </c>
      <c r="G13" s="5">
        <f t="shared" si="0"/>
        <v>0.51111111111111107</v>
      </c>
      <c r="H13" s="5">
        <f t="shared" si="1"/>
        <v>0.42222222222222222</v>
      </c>
    </row>
    <row r="14" spans="1:8" x14ac:dyDescent="0.25">
      <c r="A14" s="8" t="s">
        <v>2056</v>
      </c>
      <c r="B14">
        <v>1</v>
      </c>
      <c r="C14">
        <v>6</v>
      </c>
      <c r="E14">
        <v>10</v>
      </c>
      <c r="F14">
        <v>17</v>
      </c>
      <c r="G14" s="5">
        <f t="shared" si="0"/>
        <v>0.58823529411764708</v>
      </c>
      <c r="H14" s="5">
        <f t="shared" si="1"/>
        <v>0.35294117647058826</v>
      </c>
    </row>
    <row r="15" spans="1:8" x14ac:dyDescent="0.25">
      <c r="A15" s="8" t="s">
        <v>2055</v>
      </c>
      <c r="C15">
        <v>3</v>
      </c>
      <c r="E15">
        <v>4</v>
      </c>
      <c r="F15">
        <v>7</v>
      </c>
      <c r="G15" s="5">
        <f t="shared" si="0"/>
        <v>0.5714285714285714</v>
      </c>
      <c r="H15" s="5">
        <f t="shared" si="1"/>
        <v>0.42857142857142855</v>
      </c>
    </row>
    <row r="16" spans="1:8" x14ac:dyDescent="0.25">
      <c r="A16" s="8" t="s">
        <v>2059</v>
      </c>
      <c r="C16">
        <v>8</v>
      </c>
      <c r="D16">
        <v>1</v>
      </c>
      <c r="E16">
        <v>4</v>
      </c>
      <c r="F16">
        <v>13</v>
      </c>
      <c r="G16" s="5">
        <f t="shared" si="0"/>
        <v>0.30769230769230771</v>
      </c>
      <c r="H16" s="5">
        <f t="shared" si="1"/>
        <v>0.61538461538461542</v>
      </c>
    </row>
    <row r="17" spans="1:8" x14ac:dyDescent="0.25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  <c r="G17" s="5">
        <f t="shared" si="0"/>
        <v>0.61904761904761907</v>
      </c>
      <c r="H17" s="5">
        <f t="shared" si="1"/>
        <v>0.2857142857142857</v>
      </c>
    </row>
    <row r="18" spans="1:8" x14ac:dyDescent="0.25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  <c r="G18" s="5">
        <f t="shared" si="0"/>
        <v>0.61904761904761907</v>
      </c>
      <c r="H18" s="5">
        <f t="shared" si="1"/>
        <v>0.26190476190476192</v>
      </c>
    </row>
    <row r="19" spans="1:8" x14ac:dyDescent="0.25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  <c r="G19" s="5">
        <f t="shared" si="0"/>
        <v>0.54360465116279066</v>
      </c>
      <c r="H19" s="5">
        <f t="shared" si="1"/>
        <v>0.38372093023255816</v>
      </c>
    </row>
    <row r="20" spans="1:8" x14ac:dyDescent="0.25">
      <c r="A20" s="8" t="s">
        <v>2054</v>
      </c>
      <c r="C20">
        <v>4</v>
      </c>
      <c r="E20">
        <v>4</v>
      </c>
      <c r="F20">
        <v>8</v>
      </c>
      <c r="G20" s="5">
        <f t="shared" si="0"/>
        <v>0.5</v>
      </c>
      <c r="H20" s="5">
        <f t="shared" si="1"/>
        <v>0.5</v>
      </c>
    </row>
    <row r="21" spans="1:8" x14ac:dyDescent="0.25">
      <c r="A21" s="8" t="s">
        <v>2034</v>
      </c>
      <c r="B21">
        <v>6</v>
      </c>
      <c r="C21">
        <v>30</v>
      </c>
      <c r="E21">
        <v>49</v>
      </c>
      <c r="F21">
        <v>85</v>
      </c>
      <c r="G21" s="5">
        <f t="shared" si="0"/>
        <v>0.57647058823529407</v>
      </c>
      <c r="H21" s="5">
        <f t="shared" si="1"/>
        <v>0.35294117647058826</v>
      </c>
    </row>
    <row r="22" spans="1:8" x14ac:dyDescent="0.25">
      <c r="A22" s="8" t="s">
        <v>2061</v>
      </c>
      <c r="C22">
        <v>9</v>
      </c>
      <c r="E22">
        <v>5</v>
      </c>
      <c r="F22">
        <v>14</v>
      </c>
      <c r="G22" s="5">
        <f t="shared" si="0"/>
        <v>0.35714285714285715</v>
      </c>
      <c r="H22" s="5">
        <f t="shared" si="1"/>
        <v>0.6428571428571429</v>
      </c>
    </row>
    <row r="23" spans="1:8" x14ac:dyDescent="0.25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  <c r="G23" s="5">
        <f t="shared" si="0"/>
        <v>0.5625</v>
      </c>
      <c r="H23" s="5">
        <f t="shared" si="1"/>
        <v>0.3125</v>
      </c>
    </row>
    <row r="24" spans="1:8" x14ac:dyDescent="0.25">
      <c r="A24" s="8" t="s">
        <v>2058</v>
      </c>
      <c r="B24">
        <v>3</v>
      </c>
      <c r="C24">
        <v>3</v>
      </c>
      <c r="E24">
        <v>11</v>
      </c>
      <c r="F24">
        <v>17</v>
      </c>
      <c r="G24" s="5">
        <f t="shared" si="0"/>
        <v>0.6470588235294118</v>
      </c>
      <c r="H24" s="5">
        <f t="shared" si="1"/>
        <v>0.17647058823529413</v>
      </c>
    </row>
    <row r="25" spans="1:8" x14ac:dyDescent="0.25">
      <c r="A25" s="8" t="s">
        <v>2057</v>
      </c>
      <c r="C25">
        <v>7</v>
      </c>
      <c r="E25">
        <v>14</v>
      </c>
      <c r="F25">
        <v>21</v>
      </c>
      <c r="G25" s="5">
        <f t="shared" si="0"/>
        <v>0.66666666666666663</v>
      </c>
      <c r="H25" s="5">
        <f t="shared" si="1"/>
        <v>0.33333333333333331</v>
      </c>
    </row>
    <row r="26" spans="1:8" x14ac:dyDescent="0.25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  <c r="G26" s="5">
        <f t="shared" si="0"/>
        <v>0.48571428571428571</v>
      </c>
      <c r="H26" s="5">
        <f t="shared" si="1"/>
        <v>0.42857142857142855</v>
      </c>
    </row>
    <row r="27" spans="1:8" x14ac:dyDescent="0.25">
      <c r="A27" s="8" t="s">
        <v>2044</v>
      </c>
      <c r="C27">
        <v>16</v>
      </c>
      <c r="D27">
        <v>1</v>
      </c>
      <c r="E27">
        <v>28</v>
      </c>
      <c r="F27">
        <v>45</v>
      </c>
      <c r="G27" s="5">
        <f t="shared" si="0"/>
        <v>0.62222222222222223</v>
      </c>
      <c r="H27" s="5">
        <f t="shared" si="1"/>
        <v>0.35555555555555557</v>
      </c>
    </row>
    <row r="28" spans="1:8" x14ac:dyDescent="0.25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  <c r="G28" s="5">
        <f t="shared" si="0"/>
        <v>0.70588235294117652</v>
      </c>
      <c r="H28" s="5">
        <f t="shared" si="1"/>
        <v>0.23529411764705882</v>
      </c>
    </row>
    <row r="29" spans="1:8" x14ac:dyDescent="0.25">
      <c r="A29" s="8" t="s">
        <v>2060</v>
      </c>
      <c r="E29">
        <v>3</v>
      </c>
      <c r="F29">
        <v>3</v>
      </c>
      <c r="G29" s="5">
        <f t="shared" si="0"/>
        <v>1</v>
      </c>
      <c r="H29" s="5">
        <f t="shared" si="1"/>
        <v>0</v>
      </c>
    </row>
    <row r="30" spans="1:8" x14ac:dyDescent="0.2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conditionalFormatting sqref="G6:G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3512-30AF-4CA4-BD2E-DC66D5E27C36}">
  <dimension ref="A1:I13"/>
  <sheetViews>
    <sheetView workbookViewId="0">
      <selection activeCell="J27" sqref="J27"/>
    </sheetView>
  </sheetViews>
  <sheetFormatPr defaultRowHeight="15.75" x14ac:dyDescent="0.25"/>
  <cols>
    <col min="1" max="1" width="27" customWidth="1"/>
    <col min="2" max="2" width="17.625" customWidth="1"/>
    <col min="3" max="3" width="14.75" customWidth="1"/>
    <col min="4" max="4" width="16.125" customWidth="1"/>
    <col min="5" max="5" width="15.125" customWidth="1"/>
    <col min="6" max="6" width="21.75" customWidth="1"/>
    <col min="7" max="7" width="17.125" customWidth="1"/>
    <col min="8" max="8" width="18.5" customWidth="1"/>
  </cols>
  <sheetData>
    <row r="1" spans="1:9" x14ac:dyDescent="0.25">
      <c r="A1" s="1" t="s">
        <v>2</v>
      </c>
      <c r="B1" s="1" t="s">
        <v>2088</v>
      </c>
      <c r="C1" s="4" t="s">
        <v>2089</v>
      </c>
      <c r="D1" s="4" t="s">
        <v>2090</v>
      </c>
      <c r="E1" s="4" t="s">
        <v>2091</v>
      </c>
      <c r="F1" s="4" t="s">
        <v>2092</v>
      </c>
      <c r="G1" s="4" t="s">
        <v>2093</v>
      </c>
      <c r="H1" s="4" t="s">
        <v>2094</v>
      </c>
      <c r="I1" s="4"/>
    </row>
    <row r="2" spans="1:9" x14ac:dyDescent="0.25">
      <c r="A2" t="s">
        <v>2095</v>
      </c>
      <c r="B2">
        <f>COUNTIFS(Outcome,"=successful",Goal,"&lt;1000")</f>
        <v>30</v>
      </c>
      <c r="C2">
        <f>COUNTIFS(Outcome,"=failed",Goal,"&lt;1000")</f>
        <v>20</v>
      </c>
      <c r="D2">
        <f>COUNTIFS(Outcome,"=canceled",Goal,"&lt;1000")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  <c r="I2" s="4"/>
    </row>
    <row r="3" spans="1:9" x14ac:dyDescent="0.25">
      <c r="A3" t="s">
        <v>2096</v>
      </c>
      <c r="B3">
        <f>COUNTIFS(Outcome,"=successful",Goal,"&lt;5000",Goal,"&gt;=1000")</f>
        <v>191</v>
      </c>
      <c r="C3">
        <f>COUNTIFS(Outcome,"=failed",Goal,"&lt;5000",Goal,"&gt;=1000")</f>
        <v>38</v>
      </c>
      <c r="D3">
        <f>COUNTIFS(Outcome,"=canceled",Goal,"&lt;5000",Goal,"&gt;=1000")</f>
        <v>2</v>
      </c>
      <c r="E3">
        <f>SUM(B3:D3)</f>
        <v>231</v>
      </c>
      <c r="F3" s="5">
        <f t="shared" ref="F3:F13" si="0">B3/E3</f>
        <v>0.82683982683982682</v>
      </c>
      <c r="G3" s="5">
        <f t="shared" ref="G3:G13" si="1">C3/E3</f>
        <v>0.16450216450216451</v>
      </c>
      <c r="H3" s="5">
        <f t="shared" ref="H3:H13" si="2">D3/E3</f>
        <v>8.658008658008658E-3</v>
      </c>
    </row>
    <row r="4" spans="1:9" x14ac:dyDescent="0.25">
      <c r="A4" t="s">
        <v>2097</v>
      </c>
      <c r="B4">
        <f>COUNTIFS(Outcome,"=successful",Goal,"&lt;10000",Goal,"&gt;=5000")</f>
        <v>164</v>
      </c>
      <c r="C4">
        <f>COUNTIFS(Outcome,"=failed",Goal,"&lt;10000",Goal,"&gt;=5000")</f>
        <v>126</v>
      </c>
      <c r="D4">
        <f>COUNTIFS(Outcome,"=canceled",Goal,"&lt;10000",Goal,"&gt;=5000")</f>
        <v>25</v>
      </c>
      <c r="E4">
        <f>SUM(B4:D4)</f>
        <v>315</v>
      </c>
      <c r="F4" s="5">
        <f t="shared" si="0"/>
        <v>0.52063492063492067</v>
      </c>
      <c r="G4" s="5">
        <f t="shared" si="1"/>
        <v>0.4</v>
      </c>
      <c r="H4" s="5">
        <f t="shared" si="2"/>
        <v>7.9365079365079361E-2</v>
      </c>
    </row>
    <row r="5" spans="1:9" x14ac:dyDescent="0.25">
      <c r="A5" t="s">
        <v>2098</v>
      </c>
      <c r="B5">
        <f>COUNTIFS(Outcome,"=successful",Goal,"&lt;15000",Goal,"&gt;=10000")</f>
        <v>4</v>
      </c>
      <c r="C5">
        <f>COUNTIFS(Outcome,"=failed",Goal,"&lt;15000",Goal,"&gt;=10000")</f>
        <v>5</v>
      </c>
      <c r="D5">
        <f>COUNTIFS(Outcome,"=canceled",Goal,"&lt;15000",Goal,"&gt;=10000")</f>
        <v>0</v>
      </c>
      <c r="E5">
        <f t="shared" ref="E5:E12" si="3">SUM(B5:D5)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9" x14ac:dyDescent="0.25">
      <c r="A6" t="s">
        <v>2099</v>
      </c>
      <c r="B6">
        <f>COUNTIFS(Outcome,"=successful",Goal,"&lt;20000",Goal,"&gt;=15000")</f>
        <v>10</v>
      </c>
      <c r="C6">
        <f>COUNTIFS(Outcome,"=failed",Goal,"&lt;20000",Goal,"&gt;=15000")</f>
        <v>0</v>
      </c>
      <c r="D6">
        <f>COUNTIFS(Outcome,"=canceled",Goal,"&lt;20000",Goal,"&gt;=15000")</f>
        <v>0</v>
      </c>
      <c r="E6">
        <f t="shared" si="3"/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9" x14ac:dyDescent="0.25">
      <c r="A7" t="s">
        <v>2100</v>
      </c>
      <c r="B7">
        <f>COUNTIFS(Outcome,"=successful",Goal,"&lt;25000",Goal,"&gt;=20000")</f>
        <v>7</v>
      </c>
      <c r="C7">
        <f>COUNTIFS(Outcome,"=failed",Goal,"&lt;25000",Goal,"&gt;=20000")</f>
        <v>0</v>
      </c>
      <c r="D7">
        <f>COUNTIFS(Outcome,"=canceled",Goal,"&lt;25000",Goal,"&gt;=20000")</f>
        <v>0</v>
      </c>
      <c r="E7">
        <f t="shared" si="3"/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9" x14ac:dyDescent="0.25">
      <c r="A8" t="s">
        <v>2101</v>
      </c>
      <c r="B8">
        <f>COUNTIFS(Outcome,"=successful",Goal,"&lt;30000",Goal,"&gt;=25000")</f>
        <v>11</v>
      </c>
      <c r="C8">
        <f>COUNTIFS(Outcome,"=failed",Goal,"&lt;30000",Goal,"&gt;=25000")</f>
        <v>3</v>
      </c>
      <c r="D8">
        <f>COUNTIFS(Outcome,"=canceled",Goal,"&lt;30000",Goal,"&gt;=25000")</f>
        <v>0</v>
      </c>
      <c r="E8">
        <f t="shared" si="3"/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9" x14ac:dyDescent="0.25">
      <c r="A9" t="s">
        <v>2102</v>
      </c>
      <c r="B9">
        <f>COUNTIFS(Outcome,"=successful",Goal,"&lt;35000",Goal,"&gt;=30000")</f>
        <v>7</v>
      </c>
      <c r="C9">
        <f>COUNTIFS(Outcome,"=failed",Goal,"&lt;35000",Goal,"&gt;=30000")</f>
        <v>0</v>
      </c>
      <c r="D9">
        <f>COUNTIFS(Outcome,"=canceled",Goal,"&lt;35000",Goal,"&gt;=30000")</f>
        <v>0</v>
      </c>
      <c r="E9">
        <f t="shared" si="3"/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9" x14ac:dyDescent="0.25">
      <c r="A10" t="s">
        <v>2103</v>
      </c>
      <c r="B10">
        <f>COUNTIFS(Outcome,"=successful",Goal,"&lt;40000",Goal,"&gt;=35000")</f>
        <v>8</v>
      </c>
      <c r="C10">
        <f>COUNTIFS(Outcome,"=failed",Goal,"&lt;40000",Goal,"&gt;=35000")</f>
        <v>3</v>
      </c>
      <c r="D10">
        <f>COUNTIFS(Outcome,"=canceled",Goal,"&lt;40000",Goal,"&gt;=35000")</f>
        <v>1</v>
      </c>
      <c r="E10">
        <f t="shared" si="3"/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9" x14ac:dyDescent="0.25">
      <c r="A11" t="s">
        <v>2104</v>
      </c>
      <c r="B11">
        <f>COUNTIFS(Outcome,"=successful",Goal,"&lt;45000",Goal,"&gt;=40000")</f>
        <v>11</v>
      </c>
      <c r="C11">
        <f>COUNTIFS(Outcome,"=failed",Goal,"&lt;45000",Goal,"&gt;=40000")</f>
        <v>3</v>
      </c>
      <c r="D11">
        <f>COUNTIFS(Outcome,"=canceled",Goal,"&lt;45000",Goal,"&gt;=40000")</f>
        <v>0</v>
      </c>
      <c r="E11">
        <f t="shared" si="3"/>
        <v>14</v>
      </c>
      <c r="F11" s="5">
        <f t="shared" si="0"/>
        <v>0.7857142857142857</v>
      </c>
      <c r="G11" s="5">
        <f t="shared" si="1"/>
        <v>0.21428571428571427</v>
      </c>
      <c r="H11" s="5">
        <f t="shared" si="2"/>
        <v>0</v>
      </c>
    </row>
    <row r="12" spans="1:9" x14ac:dyDescent="0.25">
      <c r="A12" t="s">
        <v>2105</v>
      </c>
      <c r="B12">
        <f>COUNTIFS(Outcome,"=successful",Goal,"&lt;50000",Goal,"&gt;=45000")</f>
        <v>8</v>
      </c>
      <c r="C12">
        <f>COUNTIFS(Outcome,"=failed",Goal,"&lt;50000",Goal,"&gt;=45000")</f>
        <v>3</v>
      </c>
      <c r="D12">
        <f>COUNTIFS(Outcome,"=canceled",Goal,"&lt;50000",Goal,"&gt;=45000")</f>
        <v>0</v>
      </c>
      <c r="E12">
        <f t="shared" si="3"/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9" x14ac:dyDescent="0.25">
      <c r="A13" t="s">
        <v>2106</v>
      </c>
      <c r="B13">
        <f>COUNTIFS(Outcome,"=successful",Goal,"&gt;=50000")</f>
        <v>114</v>
      </c>
      <c r="C13">
        <f>COUNTIFS(Outcome,"=failed",Goal,"&gt;=50000")</f>
        <v>163</v>
      </c>
      <c r="D13">
        <f>COUNTIFS(Outcome,"=canceled",Goal,"&gt;=50000")</f>
        <v>28</v>
      </c>
      <c r="E13">
        <f>SUM(B13:D13)</f>
        <v>305</v>
      </c>
      <c r="F13" s="5">
        <f t="shared" si="0"/>
        <v>0.3737704918032787</v>
      </c>
      <c r="G13" s="5">
        <f t="shared" si="1"/>
        <v>0.53442622950819674</v>
      </c>
      <c r="H13" s="5">
        <f t="shared" si="2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Outcome Year</vt:lpstr>
      <vt:lpstr>Backers Statistics</vt:lpstr>
      <vt:lpstr>Pivot Table 1</vt:lpstr>
      <vt:lpstr>Pivot Table 2</vt:lpstr>
      <vt:lpstr>Goal Outcome</vt:lpstr>
      <vt:lpstr>failed_backers</vt:lpstr>
      <vt:lpstr>Goal</vt:lpstr>
      <vt:lpstr>Outcome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Alvaro Corona</cp:lastModifiedBy>
  <dcterms:created xsi:type="dcterms:W3CDTF">2021-09-29T18:52:28Z</dcterms:created>
  <dcterms:modified xsi:type="dcterms:W3CDTF">2023-06-15T23:14:51Z</dcterms:modified>
</cp:coreProperties>
</file>