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4"/>
  </bookViews>
  <sheets>
    <sheet name="Aerodynamics" sheetId="5" r:id="rId1"/>
    <sheet name="Brakes" sheetId="6" r:id="rId2"/>
    <sheet name="Engine" sheetId="7" r:id="rId3"/>
    <sheet name="Steering" sheetId="12" r:id="rId4"/>
    <sheet name="Transmission" sheetId="15" r:id="rId5"/>
    <sheet name="Tyres" sheetId="16" r:id="rId6"/>
  </sheets>
  <definedNames>
    <definedName name="Aero_AirDensity">Aerodynamics!$B$10</definedName>
    <definedName name="Aero_CD">Aerodynamics!$B$15</definedName>
    <definedName name="Aero_ClFront">Aerodynamics!$B$16</definedName>
    <definedName name="Aero_ClRear">Aerodynamics!$B$17</definedName>
    <definedName name="Aero_DragForce">Aerodynamics!$B$20</definedName>
    <definedName name="Aero_FrontalArea">Aerodynamics!$B$14</definedName>
    <definedName name="Aero_Velocity">Aerodynamics!$B$13</definedName>
    <definedName name="Brakes_FrontBias">Brakes!$B$15</definedName>
    <definedName name="Brakes_Gravity">Brakes!$B$11</definedName>
    <definedName name="Brakes_Mass">Brakes!$B$18</definedName>
    <definedName name="Brakes_MaxBrakeForceFront">Brakes!$B$22</definedName>
    <definedName name="Brakes_MaxBrakeForceRear">Brakes!$B$23</definedName>
    <definedName name="Brakes_MaxBrakeForceTotal">Brakes!$B$21</definedName>
    <definedName name="Brakes_MaxDecel">Brakes!$B$14</definedName>
    <definedName name="Brakes_RollingRadFront">Brakes!$B$16</definedName>
    <definedName name="Brakes_RollingRadRear">Brakes!$B$17</definedName>
    <definedName name="DragCoeff">#REF!</definedName>
    <definedName name="Engine_PowerIdle">Engine!$B$15</definedName>
    <definedName name="Engine_PowerLowPowerBand">Engine!$B$17</definedName>
    <definedName name="Engine_PowerMaxPower">Engine!$B$19</definedName>
    <definedName name="Engine_PowerMaxRPM">Engine!$B$21</definedName>
    <definedName name="Engine_RPMIdle">Engine!$B$14</definedName>
    <definedName name="Engine_RPMLowPowerBand">Engine!$B$16</definedName>
    <definedName name="Engine_RPMMax">Engine!$B$20</definedName>
    <definedName name="Engine_RPMMaxPower">Engine!$B$18</definedName>
    <definedName name="FinalDrive">#REF!</definedName>
    <definedName name="FirstGear">#REF!</definedName>
    <definedName name="FrontalArea">#REF!</definedName>
    <definedName name="GeoFD">#REF!</definedName>
    <definedName name="GeoScalar">#REF!</definedName>
    <definedName name="HorsePower">#REF!</definedName>
    <definedName name="NumberOfGears">#REF!</definedName>
    <definedName name="ProgFactor">#REF!</definedName>
    <definedName name="RollingRad">#REF!</definedName>
    <definedName name="RPM">#REF!</definedName>
    <definedName name="SpeedUnits">#REF!</definedName>
    <definedName name="Steering_ControllerInputX">Steering!$B$22</definedName>
    <definedName name="Steering_FVel">Steering!$B$21</definedName>
    <definedName name="Steering_Left">Steering!$B$33</definedName>
    <definedName name="Steering_LimitScalar">Steering!$B$18</definedName>
    <definedName name="Steering_LimitVel">Steering!$B$17</definedName>
    <definedName name="Steering_SteerAdjust">Steering!$B$15</definedName>
    <definedName name="Steering_SteerAngle">Steering!$B$23</definedName>
    <definedName name="Steering_SteerAngleAk">Steering!$B$30</definedName>
    <definedName name="Steering_SteerLock">Steering!$B$13</definedName>
    <definedName name="Steering_SteerReturn">Steering!$B$14</definedName>
    <definedName name="Steering_SteerVelocityScalar">Steering!$B$24</definedName>
    <definedName name="Steering_TrackFront">Steering!$B$32</definedName>
    <definedName name="Steering_TransitionVel">Steering!$B$16</definedName>
    <definedName name="Steering_TurnRad">Steering!$B$34</definedName>
    <definedName name="Steering_WheelBase">Steering!$B$31</definedName>
    <definedName name="Trans_FinalDriveRatio">Transmission!$J$17</definedName>
    <definedName name="Trans_GearRatio1">Transmission!$J$7</definedName>
    <definedName name="Trans_GearRatio10">Transmission!$J$16</definedName>
    <definedName name="Trans_GearRatio2">Transmission!$J$8</definedName>
    <definedName name="Trans_GearRatio3">Transmission!$J$9</definedName>
    <definedName name="Trans_GearRatio4">Transmission!$J$10</definedName>
    <definedName name="Trans_GearRatio5">Transmission!$J$11</definedName>
    <definedName name="Trans_GearRatio6">Transmission!$J$12</definedName>
    <definedName name="Trans_GearRatio7">Transmission!$J$13</definedName>
    <definedName name="Trans_GearRatio8">Transmission!$J$14</definedName>
    <definedName name="Trans_GearRatio9">Transmission!$J$15</definedName>
    <definedName name="Trans_GeometricFactor">Transmission!$B$24</definedName>
    <definedName name="Trans_NumberOfGears">Transmission!$J$6</definedName>
    <definedName name="Trans_ProgressionFactor">Transmission!$B$25</definedName>
    <definedName name="Trans_RollingRad">Transmission!$B$26</definedName>
    <definedName name="Trans_RPM">Transmission!$B$27</definedName>
    <definedName name="Trans_Speed">Transmission!$B$55</definedName>
  </definedNames>
  <calcPr calcId="125725"/>
</workbook>
</file>

<file path=xl/calcChain.xml><?xml version="1.0" encoding="utf-8"?>
<calcChain xmlns="http://schemas.openxmlformats.org/spreadsheetml/2006/main">
  <c r="F73" i="15"/>
  <c r="F72"/>
  <c r="F71"/>
  <c r="F70"/>
  <c r="F69"/>
  <c r="F68"/>
  <c r="F67"/>
  <c r="F66"/>
  <c r="F64"/>
  <c r="F63"/>
  <c r="C21" i="16"/>
  <c r="C19"/>
  <c r="C28"/>
  <c r="C27"/>
  <c r="B28"/>
  <c r="B27"/>
  <c r="B29"/>
  <c r="C29"/>
  <c r="C16"/>
  <c r="C15"/>
  <c r="C14"/>
  <c r="B15"/>
  <c r="B14"/>
  <c r="B53" i="15"/>
  <c r="C53" s="1"/>
  <c r="D53" s="1"/>
  <c r="B52"/>
  <c r="C52" s="1"/>
  <c r="D52" s="1"/>
  <c r="B51"/>
  <c r="E52" s="1"/>
  <c r="B50"/>
  <c r="C50" s="1"/>
  <c r="D50" s="1"/>
  <c r="B49"/>
  <c r="E50" s="1"/>
  <c r="B48"/>
  <c r="B47"/>
  <c r="B46"/>
  <c r="C46" s="1"/>
  <c r="D46" s="1"/>
  <c r="B45"/>
  <c r="B44"/>
  <c r="C44" s="1"/>
  <c r="D44" s="1"/>
  <c r="D63"/>
  <c r="E63" s="1"/>
  <c r="D64"/>
  <c r="E64" s="1"/>
  <c r="E44"/>
  <c r="E31"/>
  <c r="B24"/>
  <c r="B33" s="1"/>
  <c r="C33" s="1"/>
  <c r="D33" s="1"/>
  <c r="B34" i="12"/>
  <c r="B35" s="1"/>
  <c r="B24"/>
  <c r="B25" s="1"/>
  <c r="D27" i="7"/>
  <c r="B30"/>
  <c r="B29"/>
  <c r="D29" s="1"/>
  <c r="B28"/>
  <c r="D28" s="1"/>
  <c r="B27"/>
  <c r="C30"/>
  <c r="C29"/>
  <c r="C28"/>
  <c r="A30"/>
  <c r="A29"/>
  <c r="A28"/>
  <c r="C27"/>
  <c r="A27"/>
  <c r="B21" i="6"/>
  <c r="B22" s="1"/>
  <c r="B22" i="5"/>
  <c r="B21"/>
  <c r="B20"/>
  <c r="B25" s="1"/>
  <c r="D25" s="1"/>
  <c r="F13"/>
  <c r="D13"/>
  <c r="E49" i="15" l="1"/>
  <c r="E46"/>
  <c r="E48"/>
  <c r="E47"/>
  <c r="G64"/>
  <c r="H64"/>
  <c r="G63"/>
  <c r="H63"/>
  <c r="D30" i="7"/>
  <c r="C48" i="15"/>
  <c r="D48" s="1"/>
  <c r="E53"/>
  <c r="E51"/>
  <c r="E45"/>
  <c r="C45"/>
  <c r="D45" s="1"/>
  <c r="C47"/>
  <c r="D47" s="1"/>
  <c r="B55" s="1"/>
  <c r="B56" s="1"/>
  <c r="D56" s="1"/>
  <c r="C49"/>
  <c r="D49" s="1"/>
  <c r="C51"/>
  <c r="D51" s="1"/>
  <c r="B40"/>
  <c r="C40" s="1"/>
  <c r="D40" s="1"/>
  <c r="B39"/>
  <c r="E40" s="1"/>
  <c r="B38"/>
  <c r="E39" s="1"/>
  <c r="B36"/>
  <c r="E37" s="1"/>
  <c r="B37"/>
  <c r="B32"/>
  <c r="E33" s="1"/>
  <c r="B31"/>
  <c r="B35"/>
  <c r="B34"/>
  <c r="E34" s="1"/>
  <c r="B26" i="12"/>
  <c r="B23" i="6"/>
  <c r="B25" s="1"/>
  <c r="B24"/>
  <c r="D65" i="15" l="1"/>
  <c r="E65" s="1"/>
  <c r="F65" s="1"/>
  <c r="D69"/>
  <c r="E69" s="1"/>
  <c r="D70"/>
  <c r="E70" s="1"/>
  <c r="D68"/>
  <c r="E68" s="1"/>
  <c r="D67"/>
  <c r="E67" s="1"/>
  <c r="D66"/>
  <c r="E66" s="1"/>
  <c r="E38"/>
  <c r="C31"/>
  <c r="D31" s="1"/>
  <c r="E32"/>
  <c r="E36"/>
  <c r="E35"/>
  <c r="C39"/>
  <c r="D39" s="1"/>
  <c r="C38"/>
  <c r="D38" s="1"/>
  <c r="C37"/>
  <c r="D37" s="1"/>
  <c r="C36"/>
  <c r="D36" s="1"/>
  <c r="C32"/>
  <c r="D32" s="1"/>
  <c r="C34"/>
  <c r="D34" s="1"/>
  <c r="C35"/>
  <c r="D35" s="1"/>
  <c r="H69" l="1"/>
  <c r="G69"/>
  <c r="G70"/>
  <c r="H70"/>
  <c r="G65"/>
  <c r="H65"/>
  <c r="G67"/>
  <c r="H67"/>
  <c r="G68"/>
  <c r="H68"/>
  <c r="G66"/>
  <c r="H66"/>
  <c r="D71"/>
  <c r="E71" s="1"/>
  <c r="G71" l="1"/>
  <c r="H71"/>
  <c r="D72"/>
  <c r="E72" s="1"/>
  <c r="D73"/>
  <c r="E73" s="1"/>
  <c r="G72" l="1"/>
  <c r="H72"/>
  <c r="G73"/>
  <c r="H73"/>
</calcChain>
</file>

<file path=xl/sharedStrings.xml><?xml version="1.0" encoding="utf-8"?>
<sst xmlns="http://schemas.openxmlformats.org/spreadsheetml/2006/main" count="351" uniqueCount="159">
  <si>
    <t>Ratio</t>
  </si>
  <si>
    <t>Total Ratio</t>
  </si>
  <si>
    <t>m</t>
  </si>
  <si>
    <t>Mph</t>
  </si>
  <si>
    <t>m/s</t>
  </si>
  <si>
    <t>Power (HP)</t>
  </si>
  <si>
    <t>Torque (Nm)</t>
  </si>
  <si>
    <t>Power (kW)</t>
  </si>
  <si>
    <t>rpm</t>
  </si>
  <si>
    <t>Inputs</t>
  </si>
  <si>
    <t>Type</t>
  </si>
  <si>
    <t>float</t>
  </si>
  <si>
    <t>Units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</si>
  <si>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</si>
  <si>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none</t>
  </si>
  <si>
    <t>Typical</t>
  </si>
  <si>
    <t>Sample Data</t>
  </si>
  <si>
    <t>mph</t>
  </si>
  <si>
    <t>kph</t>
  </si>
  <si>
    <t>Vehicle velocity</t>
  </si>
  <si>
    <t>Sample Output</t>
  </si>
  <si>
    <t>Drag Force</t>
  </si>
  <si>
    <t>Lift, Front</t>
  </si>
  <si>
    <t>Lift, Rear</t>
  </si>
  <si>
    <t>N</t>
  </si>
  <si>
    <t>Constants</t>
  </si>
  <si>
    <t>Air Density</t>
  </si>
  <si>
    <r>
      <t>kg/m</t>
    </r>
    <r>
      <rPr>
        <vertAlign val="superscript"/>
        <sz val="10"/>
        <color theme="1"/>
        <rFont val="Calibri"/>
        <family val="2"/>
        <scheme val="minor"/>
      </rPr>
      <t>3</t>
    </r>
  </si>
  <si>
    <t>F Brake Max Deceleration</t>
  </si>
  <si>
    <t>g</t>
  </si>
  <si>
    <t>F Brake Front Bias</t>
  </si>
  <si>
    <r>
      <t>m/s</t>
    </r>
    <r>
      <rPr>
        <vertAlign val="superscript"/>
        <sz val="10"/>
        <color theme="1"/>
        <rFont val="Calibri"/>
        <family val="2"/>
        <scheme val="minor"/>
      </rPr>
      <t>2</t>
    </r>
  </si>
  <si>
    <t>(accessed as Physics.gravity.y)</t>
  </si>
  <si>
    <t>kg</t>
  </si>
  <si>
    <t>Maximum brake force total</t>
  </si>
  <si>
    <t>Maximum brake force front</t>
  </si>
  <si>
    <t>Maximum brake force rear</t>
  </si>
  <si>
    <t>Max. Brake torque per front WC</t>
  </si>
  <si>
    <t>Max. Brake torque per rear WC</t>
  </si>
  <si>
    <t>Nm</t>
  </si>
  <si>
    <t>hp</t>
  </si>
  <si>
    <t>RPM</t>
  </si>
  <si>
    <t>Additional Information</t>
  </si>
  <si>
    <t>Required Power</t>
  </si>
  <si>
    <t>kW</t>
  </si>
  <si>
    <t>Note: negaitve numbers for downforce</t>
  </si>
  <si>
    <t>positive numbers for lift</t>
  </si>
  <si>
    <t>degrees</t>
  </si>
  <si>
    <t>degrees/s</t>
  </si>
  <si>
    <t>Public Function SteerAngle</t>
  </si>
  <si>
    <t>Returns New Steer Angle</t>
  </si>
  <si>
    <t>Public Function AckerAdjusted</t>
  </si>
  <si>
    <t>bool</t>
  </si>
  <si>
    <t>Not calculated here, due to external dependencies</t>
  </si>
  <si>
    <t>int</t>
  </si>
  <si>
    <t>:1</t>
  </si>
  <si>
    <t>Driven Wheels</t>
  </si>
  <si>
    <t>enum</t>
  </si>
  <si>
    <t>Progressive Gearbox</t>
  </si>
  <si>
    <t>Output</t>
  </si>
  <si>
    <t>Additional Information for Reference</t>
  </si>
  <si>
    <t>*note this is added for the chart build only (not in Transmission code)</t>
  </si>
  <si>
    <t>Sample RollingRad</t>
  </si>
  <si>
    <t>Shift rpm</t>
  </si>
  <si>
    <t>Manual Ratio Comparison</t>
  </si>
  <si>
    <t>Sample Shift RPM</t>
  </si>
  <si>
    <t>Calculated Progressive Ratios</t>
  </si>
  <si>
    <t>Differential</t>
  </si>
  <si>
    <t>LH Slip</t>
  </si>
  <si>
    <t>RH Slip</t>
  </si>
  <si>
    <t>Slip</t>
  </si>
  <si>
    <t>Differential Output</t>
  </si>
  <si>
    <t>RH Torque</t>
  </si>
  <si>
    <t>LH Torque</t>
  </si>
  <si>
    <t>Torq.Trans.</t>
  </si>
  <si>
    <t>Capped</t>
  </si>
  <si>
    <t>Note: Negative = LSD, positive = free</t>
  </si>
  <si>
    <t>Note: RH Slip is used for chart scale, so make this dominant</t>
  </si>
  <si>
    <t>Wheel Friction Curves</t>
  </si>
  <si>
    <t>Longitudinal</t>
  </si>
  <si>
    <t>extremumSlip</t>
  </si>
  <si>
    <t>extremumValue</t>
  </si>
  <si>
    <t>asymptoteSlip</t>
  </si>
  <si>
    <t>asymptoteValue</t>
  </si>
  <si>
    <t>stiffness</t>
  </si>
  <si>
    <t>Norm Force</t>
  </si>
  <si>
    <t>Lateral</t>
  </si>
  <si>
    <t>Top Speed (from manual ratios)</t>
  </si>
  <si>
    <t>Power Required (Aerodynamics)</t>
  </si>
  <si>
    <t>HP</t>
  </si>
  <si>
    <t>Shift is the starting RPM</t>
  </si>
  <si>
    <t>following a red line shift</t>
  </si>
  <si>
    <t>Notes:</t>
  </si>
  <si>
    <t>from the previous gear</t>
  </si>
  <si>
    <t>Mph is the maximum mph</t>
  </si>
  <si>
    <t>in that gear</t>
  </si>
  <si>
    <t>Adequate power is assumed.</t>
  </si>
  <si>
    <t>Frontal Area</t>
  </si>
  <si>
    <t>Cd</t>
  </si>
  <si>
    <t>Cl Front</t>
  </si>
  <si>
    <t>Cl Rear</t>
  </si>
  <si>
    <t>suspension.RollingRadiusFront</t>
  </si>
  <si>
    <t>suspension.RollingRadiusRear</t>
  </si>
  <si>
    <t>carcontroller.Mass</t>
  </si>
  <si>
    <t>Brake Max Deceleration</t>
  </si>
  <si>
    <t>Brake Front Bias</t>
  </si>
  <si>
    <t>Engine RPM Idle</t>
  </si>
  <si>
    <t>Engine Power Idle</t>
  </si>
  <si>
    <t>Engine RPM Low Power Band</t>
  </si>
  <si>
    <t>Engine Power Low Power Band</t>
  </si>
  <si>
    <t>Engine RPM Max Power Band</t>
  </si>
  <si>
    <t>Engine Power Max Power Band</t>
  </si>
  <si>
    <t>Engine RPM Max</t>
  </si>
  <si>
    <t>Engine Power Max RPM</t>
  </si>
  <si>
    <t>Engine RPM Max Power</t>
  </si>
  <si>
    <t>Engine Power Max Power</t>
  </si>
  <si>
    <t>Engine</t>
  </si>
  <si>
    <t>Aerodynamics</t>
  </si>
  <si>
    <t>Brakes</t>
  </si>
  <si>
    <t>Steer Lock</t>
  </si>
  <si>
    <t>Steer Return</t>
  </si>
  <si>
    <t>Steer Adjust</t>
  </si>
  <si>
    <t>Transition Vel</t>
  </si>
  <si>
    <t>Limit Vel</t>
  </si>
  <si>
    <t>Limit Scalar</t>
  </si>
  <si>
    <t>Vel</t>
  </si>
  <si>
    <t>ControllerInputX</t>
  </si>
  <si>
    <t>SteerAngle</t>
  </si>
  <si>
    <t>SteerVelocityScalar</t>
  </si>
  <si>
    <t>SteerReturnTotal</t>
  </si>
  <si>
    <t>SteerAdjustTotal</t>
  </si>
  <si>
    <t>WheelBase</t>
  </si>
  <si>
    <t>TrackFront</t>
  </si>
  <si>
    <t>Left</t>
  </si>
  <si>
    <t>TurnRad</t>
  </si>
  <si>
    <t>Steering</t>
  </si>
  <si>
    <t>Transmission</t>
  </si>
  <si>
    <t>Engine Clutch Lock RPM</t>
  </si>
  <si>
    <t>Automatic</t>
  </si>
  <si>
    <t>Number Of Gears</t>
  </si>
  <si>
    <t>Gear Ratio 1</t>
  </si>
  <si>
    <t>Gear Ratio 2</t>
  </si>
  <si>
    <t>Gear Ratio 3</t>
  </si>
  <si>
    <t>Gear Ratio 4</t>
  </si>
  <si>
    <t>Gear Ratio 5</t>
  </si>
  <si>
    <t>Gear Ratio 6</t>
  </si>
  <si>
    <t>Gear Ratio 7</t>
  </si>
  <si>
    <t>Gear Ratio 8</t>
  </si>
  <si>
    <t>Gear Ratio 9</t>
  </si>
  <si>
    <t>Gear Ratio 10</t>
  </si>
  <si>
    <t>Final Drive Ratio</t>
  </si>
  <si>
    <t>Diff Slip Limit Front</t>
  </si>
  <si>
    <t>Diff Slip Limit Rear</t>
  </si>
  <si>
    <t>4wd Frt Torque</t>
  </si>
  <si>
    <t>GeometricFactor</t>
  </si>
  <si>
    <t>ProgressionFactor</t>
  </si>
  <si>
    <t>MaxSlip</t>
  </si>
  <si>
    <t>MaxTrans</t>
  </si>
  <si>
    <t>Tyres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</si>
</sst>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/>
    <xf numFmtId="2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Engine Power and Torque</a:t>
            </a:r>
          </a:p>
        </c:rich>
      </c:tx>
      <c:layout>
        <c:manualLayout>
          <c:xMode val="edge"/>
          <c:yMode val="edge"/>
          <c:x val="0.29245579552177781"/>
          <c:y val="5.7094878253568432E-2"/>
        </c:manualLayout>
      </c:layout>
    </c:title>
    <c:plotArea>
      <c:layout>
        <c:manualLayout>
          <c:layoutTarget val="inner"/>
          <c:xMode val="edge"/>
          <c:yMode val="edge"/>
          <c:x val="0.10716885389326336"/>
          <c:y val="6.7179700774178966E-2"/>
          <c:w val="0.79354179819806969"/>
          <c:h val="0.81684047680438221"/>
        </c:manualLayout>
      </c:layout>
      <c:scatterChart>
        <c:scatterStyle val="lineMarker"/>
        <c:ser>
          <c:idx val="0"/>
          <c:order val="0"/>
          <c:tx>
            <c:v>Power</c:v>
          </c:tx>
          <c:xVal>
            <c:numRef>
              <c:f>Engine!$A$27:$A$30</c:f>
              <c:numCache>
                <c:formatCode>General</c:formatCode>
                <c:ptCount val="4"/>
                <c:pt idx="0">
                  <c:v>800</c:v>
                </c:pt>
                <c:pt idx="1">
                  <c:v>3300</c:v>
                </c:pt>
                <c:pt idx="2">
                  <c:v>6500</c:v>
                </c:pt>
                <c:pt idx="3">
                  <c:v>6700</c:v>
                </c:pt>
              </c:numCache>
            </c:numRef>
          </c:xVal>
          <c:yVal>
            <c:numRef>
              <c:f>Engine!$C$27:$C$30</c:f>
              <c:numCache>
                <c:formatCode>0.0</c:formatCode>
                <c:ptCount val="4"/>
                <c:pt idx="0">
                  <c:v>16.4054</c:v>
                </c:pt>
                <c:pt idx="1">
                  <c:v>74.570000000000007</c:v>
                </c:pt>
                <c:pt idx="2">
                  <c:v>130.4975</c:v>
                </c:pt>
                <c:pt idx="3">
                  <c:v>123.04050000000001</c:v>
                </c:pt>
              </c:numCache>
            </c:numRef>
          </c:yVal>
        </c:ser>
        <c:axId val="169429248"/>
        <c:axId val="169452288"/>
      </c:scatterChart>
      <c:scatterChart>
        <c:scatterStyle val="lineMarker"/>
        <c:ser>
          <c:idx val="1"/>
          <c:order val="1"/>
          <c:tx>
            <c:v>Torque</c:v>
          </c:tx>
          <c:xVal>
            <c:numRef>
              <c:f>Engine!$A$27:$A$30</c:f>
              <c:numCache>
                <c:formatCode>General</c:formatCode>
                <c:ptCount val="4"/>
                <c:pt idx="0">
                  <c:v>800</c:v>
                </c:pt>
                <c:pt idx="1">
                  <c:v>3300</c:v>
                </c:pt>
                <c:pt idx="2">
                  <c:v>6500</c:v>
                </c:pt>
                <c:pt idx="3">
                  <c:v>6700</c:v>
                </c:pt>
              </c:numCache>
            </c:numRef>
          </c:xVal>
          <c:yVal>
            <c:numRef>
              <c:f>Engine!$D$27:$D$30</c:f>
              <c:numCache>
                <c:formatCode>0.0</c:formatCode>
                <c:ptCount val="4"/>
                <c:pt idx="0">
                  <c:v>195.81485000000001</c:v>
                </c:pt>
                <c:pt idx="1">
                  <c:v>215.7739393939394</c:v>
                </c:pt>
                <c:pt idx="2">
                  <c:v>191.70684615384616</c:v>
                </c:pt>
                <c:pt idx="3">
                  <c:v>175.35658208955226</c:v>
                </c:pt>
              </c:numCache>
            </c:numRef>
          </c:yVal>
        </c:ser>
        <c:axId val="169472768"/>
        <c:axId val="169454208"/>
      </c:scatterChart>
      <c:valAx>
        <c:axId val="1694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169452288"/>
        <c:crosses val="autoZero"/>
        <c:crossBetween val="midCat"/>
      </c:valAx>
      <c:valAx>
        <c:axId val="169452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</c:title>
        <c:numFmt formatCode="0.0" sourceLinked="1"/>
        <c:tickLblPos val="nextTo"/>
        <c:crossAx val="169429248"/>
        <c:crosses val="autoZero"/>
        <c:crossBetween val="midCat"/>
      </c:valAx>
      <c:valAx>
        <c:axId val="16945420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(Nm)</a:t>
                </a:r>
              </a:p>
            </c:rich>
          </c:tx>
        </c:title>
        <c:numFmt formatCode="0.0" sourceLinked="1"/>
        <c:tickLblPos val="nextTo"/>
        <c:crossAx val="169472768"/>
        <c:crosses val="max"/>
        <c:crossBetween val="midCat"/>
      </c:valAx>
      <c:valAx>
        <c:axId val="169472768"/>
        <c:scaling>
          <c:orientation val="minMax"/>
        </c:scaling>
        <c:delete val="1"/>
        <c:axPos val="b"/>
        <c:numFmt formatCode="General" sourceLinked="1"/>
        <c:tickLblPos val="none"/>
        <c:crossAx val="16945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991256387959106"/>
          <c:y val="0.2981748943850549"/>
          <c:w val="0.11925365607665192"/>
          <c:h val="0.12146373390983572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Speed</a:t>
            </a:r>
            <a:r>
              <a:rPr lang="en-GB" baseline="0"/>
              <a:t> By Gear With Shift Points</a:t>
            </a:r>
            <a:endParaRPr lang="en-GB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716885389326336"/>
          <c:y val="0.13564967840558387"/>
          <c:w val="0.7759889487498276"/>
          <c:h val="0.74837039600819377"/>
        </c:manualLayout>
      </c:layout>
      <c:scatterChart>
        <c:scatterStyle val="lineMarker"/>
        <c:ser>
          <c:idx val="0"/>
          <c:order val="0"/>
          <c:tx>
            <c:v>Mph (Progressive)</c:v>
          </c:tx>
          <c:xVal>
            <c:numRef>
              <c:f>Transmission!$A$31:$A$40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Transmission!$D$31:$D$40</c:f>
              <c:numCache>
                <c:formatCode>0.0</c:formatCode>
                <c:ptCount val="10"/>
                <c:pt idx="0">
                  <c:v>34.747923038225466</c:v>
                </c:pt>
                <c:pt idx="1">
                  <c:v>57.30754223406332</c:v>
                </c:pt>
                <c:pt idx="2">
                  <c:v>82.185816658830191</c:v>
                </c:pt>
                <c:pt idx="3">
                  <c:v>117.86421466639</c:v>
                </c:pt>
                <c:pt idx="4">
                  <c:v>146.9837144516938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Mph (Manual)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Transmission!$A$44:$A$53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Transmission!$D$44:$D$53</c:f>
              <c:numCache>
                <c:formatCode>0.0</c:formatCode>
                <c:ptCount val="10"/>
                <c:pt idx="0">
                  <c:v>34.747923038225466</c:v>
                </c:pt>
                <c:pt idx="1">
                  <c:v>48.994571483897914</c:v>
                </c:pt>
                <c:pt idx="2">
                  <c:v>81.657619139829848</c:v>
                </c:pt>
                <c:pt idx="3">
                  <c:v>97.989142967795829</c:v>
                </c:pt>
                <c:pt idx="4">
                  <c:v>146.98371445169374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85266176"/>
        <c:axId val="185268480"/>
      </c:scatterChart>
      <c:scatterChart>
        <c:scatterStyle val="lineMarker"/>
        <c:ser>
          <c:idx val="1"/>
          <c:order val="1"/>
          <c:tx>
            <c:v>rpm (Progressive)</c:v>
          </c:tx>
          <c:spPr>
            <a:ln>
              <a:solidFill>
                <a:schemeClr val="tx2"/>
              </a:solidFill>
              <a:prstDash val="sysDot"/>
            </a:ln>
          </c:spPr>
          <c:marker>
            <c:spPr>
              <a:solidFill>
                <a:schemeClr val="accent1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Transmission!$A$31:$A$40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Transmission!$E$31:$E$40</c:f>
              <c:numCache>
                <c:formatCode>0</c:formatCode>
                <c:ptCount val="10"/>
                <c:pt idx="0">
                  <c:v>0</c:v>
                </c:pt>
                <c:pt idx="1">
                  <c:v>3577.4129884717286</c:v>
                </c:pt>
                <c:pt idx="2">
                  <c:v>4114.0249367424867</c:v>
                </c:pt>
                <c:pt idx="3">
                  <c:v>4114.0249367424885</c:v>
                </c:pt>
                <c:pt idx="4">
                  <c:v>4731.1286772538597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3"/>
          <c:order val="3"/>
          <c:tx>
            <c:v>rpm (Manual)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Transmission!$A$44:$A$53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Transmission!$E$44:$E$53</c:f>
              <c:numCache>
                <c:formatCode>0</c:formatCode>
                <c:ptCount val="10"/>
                <c:pt idx="0">
                  <c:v>0</c:v>
                </c:pt>
                <c:pt idx="1">
                  <c:v>4184.3971631205668</c:v>
                </c:pt>
                <c:pt idx="2">
                  <c:v>3540</c:v>
                </c:pt>
                <c:pt idx="3">
                  <c:v>4916.666666666667</c:v>
                </c:pt>
                <c:pt idx="4">
                  <c:v>3933.3333333333335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76691456"/>
        <c:axId val="176689536"/>
      </c:scatterChart>
      <c:valAx>
        <c:axId val="185266176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Gear</a:t>
                </a:r>
              </a:p>
            </c:rich>
          </c:tx>
          <c:layout>
            <c:manualLayout>
              <c:xMode val="edge"/>
              <c:yMode val="edge"/>
              <c:x val="0.45785918865405051"/>
              <c:y val="0.91133685212425353"/>
            </c:manualLayout>
          </c:layout>
        </c:title>
        <c:numFmt formatCode="#,##0" sourceLinked="0"/>
        <c:tickLblPos val="nextTo"/>
        <c:crossAx val="185268480"/>
        <c:crosses val="autoZero"/>
        <c:crossBetween val="midCat"/>
        <c:majorUnit val="1"/>
      </c:valAx>
      <c:valAx>
        <c:axId val="18526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Mph</a:t>
                </a:r>
              </a:p>
            </c:rich>
          </c:tx>
          <c:layout/>
        </c:title>
        <c:numFmt formatCode="0.0" sourceLinked="1"/>
        <c:tickLblPos val="nextTo"/>
        <c:crossAx val="185266176"/>
        <c:crosses val="autoZero"/>
        <c:crossBetween val="midCat"/>
      </c:valAx>
      <c:valAx>
        <c:axId val="17668953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0" sourceLinked="1"/>
        <c:tickLblPos val="nextTo"/>
        <c:crossAx val="176691456"/>
        <c:crosses val="max"/>
        <c:crossBetween val="midCat"/>
      </c:valAx>
      <c:valAx>
        <c:axId val="176691456"/>
        <c:scaling>
          <c:orientation val="minMax"/>
        </c:scaling>
        <c:delete val="1"/>
        <c:axPos val="b"/>
        <c:numFmt formatCode="General" sourceLinked="1"/>
        <c:tickLblPos val="none"/>
        <c:crossAx val="17668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24851498825749"/>
          <c:y val="0.47489083095382367"/>
          <c:w val="0.18457409325075061"/>
          <c:h val="0.18618186240233514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Differential Output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9002187226596854E-2"/>
          <c:y val="0.11200668098305912"/>
          <c:w val="0.8896019980223826"/>
          <c:h val="0.77201360057265567"/>
        </c:manualLayout>
      </c:layout>
      <c:scatterChart>
        <c:scatterStyle val="lineMarker"/>
        <c:ser>
          <c:idx val="5"/>
          <c:order val="0"/>
          <c:tx>
            <c:strRef>
              <c:f>Transmission!$G$62</c:f>
              <c:strCache>
                <c:ptCount val="1"/>
                <c:pt idx="0">
                  <c:v>LH Torque</c:v>
                </c:pt>
              </c:strCache>
            </c:strRef>
          </c:tx>
          <c:xVal>
            <c:numRef>
              <c:f>Transmission!$C$63:$C$73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Transmission!$G$63:$G$73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</c:numCache>
            </c:numRef>
          </c:yVal>
        </c:ser>
        <c:ser>
          <c:idx val="6"/>
          <c:order val="1"/>
          <c:tx>
            <c:strRef>
              <c:f>Transmission!$H$62</c:f>
              <c:strCache>
                <c:ptCount val="1"/>
                <c:pt idx="0">
                  <c:v>RH Torque</c:v>
                </c:pt>
              </c:strCache>
            </c:strRef>
          </c:tx>
          <c:xVal>
            <c:numRef>
              <c:f>Transmission!$C$63:$C$73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Transmission!$H$63:$H$73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yVal>
        </c:ser>
        <c:axId val="176700032"/>
        <c:axId val="176730880"/>
      </c:scatterChart>
      <c:valAx>
        <c:axId val="176700032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 Slip</a:t>
                </a:r>
              </a:p>
            </c:rich>
          </c:tx>
          <c:layout/>
        </c:title>
        <c:numFmt formatCode="0.00" sourceLinked="1"/>
        <c:tickLblPos val="nextTo"/>
        <c:crossAx val="176730880"/>
        <c:crosses val="autoZero"/>
        <c:crossBetween val="midCat"/>
        <c:majorUnit val="0.1"/>
      </c:valAx>
      <c:valAx>
        <c:axId val="17673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Bias</a:t>
                </a:r>
              </a:p>
            </c:rich>
          </c:tx>
          <c:layout/>
        </c:title>
        <c:numFmt formatCode="General" sourceLinked="1"/>
        <c:tickLblPos val="nextTo"/>
        <c:crossAx val="17670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5833039198358963E-2"/>
          <c:y val="0.10618181818181818"/>
          <c:w val="0.11949282714293009"/>
          <c:h val="0.1095934144595563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Longitudinal</a:t>
            </a:r>
            <a:r>
              <a:rPr lang="en-US" baseline="0"/>
              <a:t> Tyre Characteristics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1838333499451799"/>
          <c:y val="0.19480351414406533"/>
          <c:w val="0.82229708628193632"/>
          <c:h val="0.68921660834062359"/>
        </c:manualLayout>
      </c:layout>
      <c:scatterChart>
        <c:scatterStyle val="smoothMarker"/>
        <c:ser>
          <c:idx val="0"/>
          <c:order val="0"/>
          <c:tx>
            <c:strRef>
              <c:f>Tyres!$C$12</c:f>
              <c:strCache>
                <c:ptCount val="1"/>
                <c:pt idx="0">
                  <c:v>Norm Force</c:v>
                </c:pt>
              </c:strCache>
            </c:strRef>
          </c:tx>
          <c:marker>
            <c:symbol val="none"/>
          </c:marker>
          <c:xVal>
            <c:numRef>
              <c:f>Tyres!$B$13:$B$16</c:f>
              <c:numCache>
                <c:formatCode>0.00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0.7</c:v>
                </c:pt>
                <c:pt idx="3">
                  <c:v>1</c:v>
                </c:pt>
              </c:numCache>
            </c:numRef>
          </c:xVal>
          <c:yVal>
            <c:numRef>
              <c:f>Tyres!$C$13:$C$16</c:f>
              <c:numCache>
                <c:formatCode>0.00</c:formatCode>
                <c:ptCount val="4"/>
                <c:pt idx="0">
                  <c:v>0</c:v>
                </c:pt>
                <c:pt idx="1">
                  <c:v>0.95</c:v>
                </c:pt>
                <c:pt idx="2">
                  <c:v>0.6</c:v>
                </c:pt>
                <c:pt idx="3">
                  <c:v>0.6</c:v>
                </c:pt>
              </c:numCache>
            </c:numRef>
          </c:yVal>
          <c:smooth val="1"/>
        </c:ser>
        <c:axId val="185336960"/>
        <c:axId val="185338880"/>
      </c:scatterChart>
      <c:valAx>
        <c:axId val="18533696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(%)</a:t>
                </a:r>
              </a:p>
            </c:rich>
          </c:tx>
        </c:title>
        <c:numFmt formatCode="0.00" sourceLinked="1"/>
        <c:tickLblPos val="nextTo"/>
        <c:crossAx val="185338880"/>
        <c:crosses val="autoZero"/>
        <c:crossBetween val="midCat"/>
      </c:valAx>
      <c:valAx>
        <c:axId val="18533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Force</a:t>
                </a:r>
              </a:p>
            </c:rich>
          </c:tx>
        </c:title>
        <c:numFmt formatCode="0.00" sourceLinked="1"/>
        <c:tickLblPos val="nextTo"/>
        <c:crossAx val="18533696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Lateral Tyre Characteristics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Tyres!$C$25</c:f>
              <c:strCache>
                <c:ptCount val="1"/>
                <c:pt idx="0">
                  <c:v>Norm Force</c:v>
                </c:pt>
              </c:strCache>
            </c:strRef>
          </c:tx>
          <c:marker>
            <c:symbol val="none"/>
          </c:marker>
          <c:xVal>
            <c:numRef>
              <c:f>Tyres!$B$26:$B$29</c:f>
              <c:numCache>
                <c:formatCode>0.00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0.8</c:v>
                </c:pt>
                <c:pt idx="3">
                  <c:v>1.5707963267948966</c:v>
                </c:pt>
              </c:numCache>
            </c:numRef>
          </c:xVal>
          <c:yVal>
            <c:numRef>
              <c:f>Tyres!$C$26:$C$29</c:f>
              <c:numCache>
                <c:formatCode>0.00</c:formatCode>
                <c:ptCount val="4"/>
                <c:pt idx="0">
                  <c:v>0</c:v>
                </c:pt>
                <c:pt idx="1">
                  <c:v>0.95</c:v>
                </c:pt>
                <c:pt idx="2">
                  <c:v>0.6</c:v>
                </c:pt>
                <c:pt idx="3">
                  <c:v>0.6</c:v>
                </c:pt>
              </c:numCache>
            </c:numRef>
          </c:yVal>
          <c:smooth val="1"/>
        </c:ser>
        <c:axId val="185371264"/>
        <c:axId val="185381632"/>
      </c:scatterChart>
      <c:valAx>
        <c:axId val="185371264"/>
        <c:scaling>
          <c:orientation val="minMax"/>
          <c:max val="1.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(Radians)</a:t>
                </a:r>
              </a:p>
            </c:rich>
          </c:tx>
        </c:title>
        <c:numFmt formatCode="0.00" sourceLinked="1"/>
        <c:tickLblPos val="nextTo"/>
        <c:crossAx val="185381632"/>
        <c:crosses val="autoZero"/>
        <c:crossBetween val="midCat"/>
      </c:valAx>
      <c:valAx>
        <c:axId val="185381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Force</a:t>
                </a:r>
              </a:p>
            </c:rich>
          </c:tx>
          <c:layout>
            <c:manualLayout>
              <c:xMode val="edge"/>
              <c:yMode val="edge"/>
              <c:x val="1.3888888888888914E-2"/>
              <c:y val="0.29846274424030367"/>
            </c:manualLayout>
          </c:layout>
        </c:title>
        <c:numFmt formatCode="0.00" sourceLinked="1"/>
        <c:tickLblPos val="nextTo"/>
        <c:crossAx val="185371264"/>
        <c:crosses val="autoZero"/>
        <c:crossBetween val="midCat"/>
        <c:majorUnit val="0.2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22</xdr:row>
      <xdr:rowOff>66675</xdr:rowOff>
    </xdr:from>
    <xdr:to>
      <xdr:col>15</xdr:col>
      <xdr:colOff>238124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27</xdr:row>
      <xdr:rowOff>9525</xdr:rowOff>
    </xdr:from>
    <xdr:to>
      <xdr:col>19</xdr:col>
      <xdr:colOff>285750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60</xdr:row>
      <xdr:rowOff>180975</xdr:rowOff>
    </xdr:from>
    <xdr:to>
      <xdr:col>19</xdr:col>
      <xdr:colOff>352426</xdr:colOff>
      <xdr:row>82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19050</xdr:rowOff>
    </xdr:from>
    <xdr:to>
      <xdr:col>10</xdr:col>
      <xdr:colOff>514350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24</xdr:row>
      <xdr:rowOff>9525</xdr:rowOff>
    </xdr:from>
    <xdr:to>
      <xdr:col>10</xdr:col>
      <xdr:colOff>552450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25" bestFit="1" customWidth="1"/>
    <col min="3" max="3" width="10.28515625" bestFit="1" customWidth="1"/>
    <col min="4" max="4" width="10.5703125" bestFit="1" customWidth="1"/>
  </cols>
  <sheetData>
    <row r="1" spans="1:7" ht="21">
      <c r="A1" s="7" t="s">
        <v>117</v>
      </c>
    </row>
    <row r="3" spans="1:7">
      <c r="A3" s="8" t="s">
        <v>9</v>
      </c>
      <c r="B3" s="8" t="s">
        <v>10</v>
      </c>
      <c r="C3" s="8" t="s">
        <v>12</v>
      </c>
      <c r="D3" s="8" t="s">
        <v>15</v>
      </c>
    </row>
    <row r="4" spans="1:7" ht="15.75">
      <c r="A4" s="2" t="s">
        <v>97</v>
      </c>
      <c r="B4" t="s">
        <v>11</v>
      </c>
      <c r="C4" t="s">
        <v>13</v>
      </c>
      <c r="D4" s="3">
        <v>1.9</v>
      </c>
    </row>
    <row r="5" spans="1:7">
      <c r="A5" s="2" t="s">
        <v>98</v>
      </c>
      <c r="B5" t="s">
        <v>11</v>
      </c>
      <c r="C5" t="s">
        <v>14</v>
      </c>
      <c r="D5" s="3">
        <v>0.32</v>
      </c>
    </row>
    <row r="6" spans="1:7">
      <c r="A6" s="2" t="s">
        <v>99</v>
      </c>
      <c r="B6" t="s">
        <v>11</v>
      </c>
      <c r="C6" t="s">
        <v>14</v>
      </c>
      <c r="D6" s="3">
        <v>-0.05</v>
      </c>
    </row>
    <row r="7" spans="1:7">
      <c r="A7" s="2" t="s">
        <v>100</v>
      </c>
      <c r="B7" t="s">
        <v>11</v>
      </c>
      <c r="C7" t="s">
        <v>14</v>
      </c>
      <c r="D7" s="3">
        <v>-0.05</v>
      </c>
    </row>
    <row r="9" spans="1:7">
      <c r="A9" s="8" t="s">
        <v>25</v>
      </c>
    </row>
    <row r="10" spans="1:7" ht="15.75">
      <c r="A10" s="2" t="s">
        <v>26</v>
      </c>
      <c r="B10" s="3">
        <v>1.292</v>
      </c>
      <c r="C10" t="s">
        <v>27</v>
      </c>
    </row>
    <row r="12" spans="1:7">
      <c r="A12" s="8" t="s">
        <v>16</v>
      </c>
    </row>
    <row r="13" spans="1:7">
      <c r="A13" s="2" t="s">
        <v>19</v>
      </c>
      <c r="B13" s="9">
        <v>30</v>
      </c>
      <c r="C13" t="s">
        <v>4</v>
      </c>
      <c r="D13" s="6">
        <f xml:space="preserve"> Aero_Velocity * 2.23694</f>
        <v>67.108200000000011</v>
      </c>
      <c r="E13" t="s">
        <v>17</v>
      </c>
      <c r="F13" s="6">
        <f xml:space="preserve"> Aero_Velocity * 3.6</f>
        <v>108</v>
      </c>
      <c r="G13" t="s">
        <v>18</v>
      </c>
    </row>
    <row r="14" spans="1:7" ht="15.75">
      <c r="A14" s="2" t="s">
        <v>97</v>
      </c>
      <c r="B14" s="9">
        <v>1.94</v>
      </c>
      <c r="C14" t="s">
        <v>13</v>
      </c>
    </row>
    <row r="15" spans="1:7">
      <c r="A15" s="2" t="s">
        <v>98</v>
      </c>
      <c r="B15" s="9">
        <v>0.33</v>
      </c>
    </row>
    <row r="16" spans="1:7">
      <c r="A16" s="2" t="s">
        <v>99</v>
      </c>
      <c r="B16" s="9">
        <v>-0.05</v>
      </c>
      <c r="D16" t="s">
        <v>45</v>
      </c>
    </row>
    <row r="17" spans="1:5">
      <c r="A17" s="2" t="s">
        <v>100</v>
      </c>
      <c r="B17" s="9">
        <v>-0.05</v>
      </c>
      <c r="D17" t="s">
        <v>46</v>
      </c>
    </row>
    <row r="19" spans="1:5">
      <c r="A19" s="8" t="s">
        <v>20</v>
      </c>
    </row>
    <row r="20" spans="1:5">
      <c r="A20" s="2" t="s">
        <v>21</v>
      </c>
      <c r="B20" s="6">
        <f xml:space="preserve"> 0.5 * Aero_AirDensity * Aero_Velocity^2 * Aero_CD * Aero_FrontalArea</f>
        <v>372.21227999999996</v>
      </c>
      <c r="C20" t="s">
        <v>24</v>
      </c>
    </row>
    <row r="21" spans="1:5">
      <c r="A21" s="2" t="s">
        <v>22</v>
      </c>
      <c r="B21" s="6">
        <f xml:space="preserve"> 0.5 * Aero_AirDensity * Aero_Velocity^2 * Aero_ClFront * Aero_FrontalArea / 2</f>
        <v>-28.197900000000001</v>
      </c>
      <c r="C21" t="s">
        <v>24</v>
      </c>
    </row>
    <row r="22" spans="1:5">
      <c r="A22" s="2" t="s">
        <v>23</v>
      </c>
      <c r="B22" s="6">
        <f xml:space="preserve"> 0.5 * Aero_AirDensity * Aero_Velocity^2 * Aero_ClRear * Aero_FrontalArea / 2</f>
        <v>-28.197900000000001</v>
      </c>
      <c r="C22" t="s">
        <v>24</v>
      </c>
    </row>
    <row r="24" spans="1:5">
      <c r="A24" s="8" t="s">
        <v>42</v>
      </c>
    </row>
    <row r="25" spans="1:5">
      <c r="A25" s="2" t="s">
        <v>43</v>
      </c>
      <c r="B25" s="6">
        <f xml:space="preserve"> Aero_DragForce * Aero_Velocity / 1000</f>
        <v>11.1663684</v>
      </c>
      <c r="C25" t="s">
        <v>44</v>
      </c>
      <c r="D25" s="6">
        <f xml:space="preserve"> B25 * 1.34102</f>
        <v>14.974323351768001</v>
      </c>
      <c r="E25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A2" sqref="A2"/>
    </sheetView>
  </sheetViews>
  <sheetFormatPr defaultRowHeight="15"/>
  <cols>
    <col min="1" max="1" width="33" bestFit="1" customWidth="1"/>
  </cols>
  <sheetData>
    <row r="1" spans="1:4" ht="21">
      <c r="A1" s="7" t="s">
        <v>118</v>
      </c>
    </row>
    <row r="3" spans="1:4">
      <c r="A3" s="8" t="s">
        <v>9</v>
      </c>
      <c r="B3" s="8" t="s">
        <v>10</v>
      </c>
      <c r="C3" s="8" t="s">
        <v>12</v>
      </c>
      <c r="D3" s="8" t="s">
        <v>15</v>
      </c>
    </row>
    <row r="4" spans="1:4">
      <c r="A4" s="2" t="s">
        <v>28</v>
      </c>
      <c r="B4" t="s">
        <v>11</v>
      </c>
      <c r="C4" t="s">
        <v>29</v>
      </c>
      <c r="D4" s="3">
        <v>0.9</v>
      </c>
    </row>
    <row r="5" spans="1:4">
      <c r="A5" s="2" t="s">
        <v>30</v>
      </c>
      <c r="B5" t="s">
        <v>11</v>
      </c>
      <c r="C5" t="s">
        <v>14</v>
      </c>
      <c r="D5" s="3">
        <v>0.6</v>
      </c>
    </row>
    <row r="6" spans="1:4">
      <c r="A6" s="2" t="s">
        <v>101</v>
      </c>
      <c r="B6" t="s">
        <v>11</v>
      </c>
      <c r="C6" t="s">
        <v>2</v>
      </c>
      <c r="D6" s="3">
        <v>0.33</v>
      </c>
    </row>
    <row r="7" spans="1:4">
      <c r="A7" s="2" t="s">
        <v>102</v>
      </c>
      <c r="B7" t="s">
        <v>11</v>
      </c>
      <c r="C7" t="s">
        <v>2</v>
      </c>
      <c r="D7" s="3">
        <v>0.33</v>
      </c>
    </row>
    <row r="8" spans="1:4">
      <c r="A8" s="2" t="s">
        <v>103</v>
      </c>
      <c r="B8" t="s">
        <v>11</v>
      </c>
      <c r="C8" t="s">
        <v>33</v>
      </c>
      <c r="D8" s="3">
        <v>1500</v>
      </c>
    </row>
    <row r="10" spans="1:4">
      <c r="A10" s="8" t="s">
        <v>25</v>
      </c>
    </row>
    <row r="11" spans="1:4" ht="15.75">
      <c r="A11" s="2" t="s">
        <v>29</v>
      </c>
      <c r="B11" s="3">
        <v>9.81</v>
      </c>
      <c r="C11" t="s">
        <v>31</v>
      </c>
      <c r="D11" t="s">
        <v>32</v>
      </c>
    </row>
    <row r="12" spans="1:4">
      <c r="A12" s="2"/>
    </row>
    <row r="13" spans="1:4">
      <c r="A13" s="8" t="s">
        <v>16</v>
      </c>
    </row>
    <row r="14" spans="1:4">
      <c r="A14" s="2" t="s">
        <v>104</v>
      </c>
      <c r="B14" s="9">
        <v>0.9</v>
      </c>
      <c r="C14" t="s">
        <v>29</v>
      </c>
    </row>
    <row r="15" spans="1:4">
      <c r="A15" s="2" t="s">
        <v>105</v>
      </c>
      <c r="B15" s="9">
        <v>0.6</v>
      </c>
    </row>
    <row r="16" spans="1:4">
      <c r="A16" s="2" t="s">
        <v>101</v>
      </c>
      <c r="B16" s="9">
        <v>0.33500000000000002</v>
      </c>
      <c r="C16" t="s">
        <v>2</v>
      </c>
    </row>
    <row r="17" spans="1:3">
      <c r="A17" s="2" t="s">
        <v>102</v>
      </c>
      <c r="B17" s="9">
        <v>0.33500000000000002</v>
      </c>
      <c r="C17" t="s">
        <v>2</v>
      </c>
    </row>
    <row r="18" spans="1:3">
      <c r="A18" s="2" t="s">
        <v>103</v>
      </c>
      <c r="B18" s="9">
        <v>1200</v>
      </c>
      <c r="C18" t="s">
        <v>33</v>
      </c>
    </row>
    <row r="19" spans="1:3">
      <c r="A19" s="2"/>
    </row>
    <row r="20" spans="1:3">
      <c r="A20" s="8" t="s">
        <v>20</v>
      </c>
    </row>
    <row r="21" spans="1:3">
      <c r="A21" s="2" t="s">
        <v>34</v>
      </c>
      <c r="B21" s="6">
        <f>Brakes_MaxDecel * Brakes_Mass * Brakes_Gravity</f>
        <v>10594.800000000001</v>
      </c>
      <c r="C21" t="s">
        <v>24</v>
      </c>
    </row>
    <row r="22" spans="1:3">
      <c r="A22" s="2" t="s">
        <v>35</v>
      </c>
      <c r="B22" s="6">
        <f xml:space="preserve"> Brakes_MaxBrakeForceTotal * Brakes_FrontBias</f>
        <v>6356.88</v>
      </c>
      <c r="C22" t="s">
        <v>24</v>
      </c>
    </row>
    <row r="23" spans="1:3">
      <c r="A23" s="2" t="s">
        <v>36</v>
      </c>
      <c r="B23" s="6">
        <f xml:space="preserve"> Brakes_MaxBrakeForceTotal - Brakes_MaxBrakeForceFront</f>
        <v>4237.920000000001</v>
      </c>
      <c r="C23" t="s">
        <v>24</v>
      </c>
    </row>
    <row r="24" spans="1:3">
      <c r="A24" s="2" t="s">
        <v>37</v>
      </c>
      <c r="B24" s="6">
        <f xml:space="preserve"> Brakes_MaxBrakeForceFront * Brakes_RollingRadFront / 2</f>
        <v>1064.7774000000002</v>
      </c>
      <c r="C24" t="s">
        <v>39</v>
      </c>
    </row>
    <row r="25" spans="1:3">
      <c r="A25" s="2" t="s">
        <v>38</v>
      </c>
      <c r="B25" s="6">
        <f xml:space="preserve"> Brakes_MaxBrakeForceRear * Brakes_RollingRadRear / 2</f>
        <v>709.85160000000019</v>
      </c>
      <c r="C25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15" sqref="D15"/>
    </sheetView>
  </sheetViews>
  <sheetFormatPr defaultRowHeight="15"/>
  <cols>
    <col min="1" max="1" width="30.5703125" bestFit="1" customWidth="1"/>
    <col min="2" max="2" width="11.5703125" bestFit="1" customWidth="1"/>
    <col min="3" max="4" width="12.28515625" bestFit="1" customWidth="1"/>
  </cols>
  <sheetData>
    <row r="1" spans="1:4" ht="21">
      <c r="A1" s="7" t="s">
        <v>116</v>
      </c>
    </row>
    <row r="3" spans="1:4">
      <c r="A3" s="8" t="s">
        <v>9</v>
      </c>
      <c r="B3" s="8" t="s">
        <v>10</v>
      </c>
      <c r="C3" s="8" t="s">
        <v>12</v>
      </c>
      <c r="D3" s="8" t="s">
        <v>15</v>
      </c>
    </row>
    <row r="4" spans="1:4">
      <c r="A4" s="2" t="s">
        <v>106</v>
      </c>
      <c r="B4" t="s">
        <v>11</v>
      </c>
      <c r="C4" t="s">
        <v>8</v>
      </c>
      <c r="D4" s="6">
        <v>800</v>
      </c>
    </row>
    <row r="5" spans="1:4">
      <c r="A5" s="2" t="s">
        <v>107</v>
      </c>
      <c r="B5" t="s">
        <v>11</v>
      </c>
      <c r="C5" t="s">
        <v>40</v>
      </c>
      <c r="D5" s="6">
        <v>22</v>
      </c>
    </row>
    <row r="6" spans="1:4">
      <c r="A6" s="2" t="s">
        <v>108</v>
      </c>
      <c r="B6" t="s">
        <v>11</v>
      </c>
      <c r="C6" t="s">
        <v>8</v>
      </c>
      <c r="D6" s="6">
        <v>3300</v>
      </c>
    </row>
    <row r="7" spans="1:4">
      <c r="A7" s="2" t="s">
        <v>109</v>
      </c>
      <c r="B7" t="s">
        <v>11</v>
      </c>
      <c r="C7" t="s">
        <v>40</v>
      </c>
      <c r="D7" s="6">
        <v>100</v>
      </c>
    </row>
    <row r="8" spans="1:4">
      <c r="A8" s="2" t="s">
        <v>110</v>
      </c>
      <c r="B8" t="s">
        <v>11</v>
      </c>
      <c r="C8" t="s">
        <v>8</v>
      </c>
      <c r="D8" s="6">
        <v>6500</v>
      </c>
    </row>
    <row r="9" spans="1:4">
      <c r="A9" s="2" t="s">
        <v>111</v>
      </c>
      <c r="B9" t="s">
        <v>11</v>
      </c>
      <c r="C9" t="s">
        <v>40</v>
      </c>
      <c r="D9" s="6">
        <v>175</v>
      </c>
    </row>
    <row r="10" spans="1:4">
      <c r="A10" s="2" t="s">
        <v>112</v>
      </c>
      <c r="B10" t="s">
        <v>11</v>
      </c>
      <c r="C10" t="s">
        <v>8</v>
      </c>
      <c r="D10" s="6">
        <v>6700</v>
      </c>
    </row>
    <row r="11" spans="1:4">
      <c r="A11" s="2" t="s">
        <v>113</v>
      </c>
      <c r="B11" t="s">
        <v>11</v>
      </c>
      <c r="C11" t="s">
        <v>40</v>
      </c>
      <c r="D11" s="6">
        <v>165</v>
      </c>
    </row>
    <row r="13" spans="1:4">
      <c r="A13" s="8" t="s">
        <v>16</v>
      </c>
    </row>
    <row r="14" spans="1:4">
      <c r="A14" s="2" t="s">
        <v>106</v>
      </c>
      <c r="B14" s="10">
        <v>800</v>
      </c>
      <c r="C14" t="s">
        <v>8</v>
      </c>
    </row>
    <row r="15" spans="1:4">
      <c r="A15" s="2" t="s">
        <v>107</v>
      </c>
      <c r="B15" s="10">
        <v>22</v>
      </c>
      <c r="C15" t="s">
        <v>40</v>
      </c>
    </row>
    <row r="16" spans="1:4">
      <c r="A16" s="2" t="s">
        <v>108</v>
      </c>
      <c r="B16" s="10">
        <v>3300</v>
      </c>
      <c r="C16" t="s">
        <v>8</v>
      </c>
    </row>
    <row r="17" spans="1:4">
      <c r="A17" s="2" t="s">
        <v>109</v>
      </c>
      <c r="B17" s="10">
        <v>100</v>
      </c>
      <c r="C17" t="s">
        <v>40</v>
      </c>
    </row>
    <row r="18" spans="1:4">
      <c r="A18" s="2" t="s">
        <v>114</v>
      </c>
      <c r="B18" s="10">
        <v>6500</v>
      </c>
      <c r="C18" t="s">
        <v>8</v>
      </c>
    </row>
    <row r="19" spans="1:4">
      <c r="A19" s="2" t="s">
        <v>115</v>
      </c>
      <c r="B19" s="10">
        <v>175</v>
      </c>
      <c r="C19" t="s">
        <v>40</v>
      </c>
    </row>
    <row r="20" spans="1:4">
      <c r="A20" s="2" t="s">
        <v>112</v>
      </c>
      <c r="B20" s="10">
        <v>6700</v>
      </c>
      <c r="C20" t="s">
        <v>8</v>
      </c>
    </row>
    <row r="21" spans="1:4">
      <c r="A21" s="2" t="s">
        <v>113</v>
      </c>
      <c r="B21" s="10">
        <v>165</v>
      </c>
      <c r="C21" t="s">
        <v>40</v>
      </c>
    </row>
    <row r="25" spans="1:4">
      <c r="A25" s="8" t="s">
        <v>20</v>
      </c>
    </row>
    <row r="26" spans="1:4">
      <c r="A26" s="2" t="s">
        <v>41</v>
      </c>
      <c r="B26" s="2" t="s">
        <v>5</v>
      </c>
      <c r="C26" s="2" t="s">
        <v>7</v>
      </c>
      <c r="D26" s="2" t="s">
        <v>6</v>
      </c>
    </row>
    <row r="27" spans="1:4">
      <c r="A27">
        <f xml:space="preserve"> Engine_RPMIdle</f>
        <v>800</v>
      </c>
      <c r="B27" s="1">
        <f xml:space="preserve"> Engine_PowerIdle</f>
        <v>22</v>
      </c>
      <c r="C27" s="1">
        <f xml:space="preserve"> Engine_PowerIdle * 0.7457</f>
        <v>16.4054</v>
      </c>
      <c r="D27" s="1">
        <f xml:space="preserve"> B27 * 7120.54 / A27</f>
        <v>195.81485000000001</v>
      </c>
    </row>
    <row r="28" spans="1:4">
      <c r="A28">
        <f xml:space="preserve"> Engine_RPMLowPowerBand</f>
        <v>3300</v>
      </c>
      <c r="B28" s="1">
        <f xml:space="preserve"> Engine_PowerLowPowerBand</f>
        <v>100</v>
      </c>
      <c r="C28" s="1">
        <f xml:space="preserve"> Engine_PowerLowPowerBand * 0.7457</f>
        <v>74.570000000000007</v>
      </c>
      <c r="D28" s="1">
        <f xml:space="preserve"> B28 * 7120.54 / A28</f>
        <v>215.7739393939394</v>
      </c>
    </row>
    <row r="29" spans="1:4">
      <c r="A29">
        <f xml:space="preserve"> Engine_RPMMaxPower</f>
        <v>6500</v>
      </c>
      <c r="B29" s="1">
        <f xml:space="preserve"> Engine_PowerMaxPower</f>
        <v>175</v>
      </c>
      <c r="C29" s="1">
        <f xml:space="preserve"> Engine_PowerMaxPower * 0.7457</f>
        <v>130.4975</v>
      </c>
      <c r="D29" s="1">
        <f xml:space="preserve"> B29 * 7120.54 / A29</f>
        <v>191.70684615384616</v>
      </c>
    </row>
    <row r="30" spans="1:4">
      <c r="A30">
        <f xml:space="preserve"> Engine_RPMMax</f>
        <v>6700</v>
      </c>
      <c r="B30" s="1">
        <f xml:space="preserve"> Engine_PowerMaxRPM</f>
        <v>165</v>
      </c>
      <c r="C30" s="1">
        <f xml:space="preserve"> Engine_PowerMaxRPM * 0.7457</f>
        <v>123.04050000000001</v>
      </c>
      <c r="D30" s="1">
        <f xml:space="preserve"> B30 * 7120.54 / A30</f>
        <v>175.35658208955226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A2" sqref="A2"/>
    </sheetView>
  </sheetViews>
  <sheetFormatPr defaultRowHeight="15"/>
  <cols>
    <col min="1" max="1" width="28.85546875" bestFit="1" customWidth="1"/>
    <col min="2" max="2" width="9.5703125" bestFit="1" customWidth="1"/>
    <col min="3" max="3" width="9.85546875" bestFit="1" customWidth="1"/>
  </cols>
  <sheetData>
    <row r="1" spans="1:4" ht="21">
      <c r="A1" s="7" t="s">
        <v>135</v>
      </c>
    </row>
    <row r="3" spans="1:4">
      <c r="A3" s="8" t="s">
        <v>9</v>
      </c>
      <c r="B3" s="8" t="s">
        <v>10</v>
      </c>
      <c r="C3" s="8" t="s">
        <v>12</v>
      </c>
      <c r="D3" s="8" t="s">
        <v>15</v>
      </c>
    </row>
    <row r="4" spans="1:4">
      <c r="A4" s="2" t="s">
        <v>119</v>
      </c>
      <c r="B4" t="s">
        <v>11</v>
      </c>
      <c r="C4" t="s">
        <v>47</v>
      </c>
      <c r="D4" s="6">
        <v>25</v>
      </c>
    </row>
    <row r="5" spans="1:4">
      <c r="A5" s="2" t="s">
        <v>120</v>
      </c>
      <c r="B5" t="s">
        <v>11</v>
      </c>
      <c r="C5" t="s">
        <v>48</v>
      </c>
      <c r="D5" s="6">
        <v>50</v>
      </c>
    </row>
    <row r="6" spans="1:4">
      <c r="A6" s="2" t="s">
        <v>121</v>
      </c>
      <c r="B6" t="s">
        <v>11</v>
      </c>
      <c r="C6" t="s">
        <v>48</v>
      </c>
      <c r="D6" s="6">
        <v>50</v>
      </c>
    </row>
    <row r="7" spans="1:4">
      <c r="A7" s="2" t="s">
        <v>122</v>
      </c>
      <c r="B7" t="s">
        <v>11</v>
      </c>
      <c r="C7" t="s">
        <v>4</v>
      </c>
      <c r="D7" s="6">
        <v>25</v>
      </c>
    </row>
    <row r="8" spans="1:4">
      <c r="A8" s="2" t="s">
        <v>123</v>
      </c>
      <c r="B8" t="s">
        <v>11</v>
      </c>
      <c r="C8" t="s">
        <v>4</v>
      </c>
      <c r="D8" s="6">
        <v>50</v>
      </c>
    </row>
    <row r="9" spans="1:4">
      <c r="A9" s="2" t="s">
        <v>124</v>
      </c>
      <c r="B9" t="s">
        <v>11</v>
      </c>
      <c r="D9" s="6">
        <v>0.3</v>
      </c>
    </row>
    <row r="12" spans="1:4">
      <c r="A12" s="8" t="s">
        <v>16</v>
      </c>
    </row>
    <row r="13" spans="1:4">
      <c r="A13" s="2" t="s">
        <v>119</v>
      </c>
      <c r="B13" s="10">
        <v>25</v>
      </c>
      <c r="C13" t="s">
        <v>47</v>
      </c>
    </row>
    <row r="14" spans="1:4">
      <c r="A14" s="2" t="s">
        <v>120</v>
      </c>
      <c r="B14" s="10">
        <v>50</v>
      </c>
      <c r="C14" t="s">
        <v>48</v>
      </c>
    </row>
    <row r="15" spans="1:4">
      <c r="A15" s="2" t="s">
        <v>121</v>
      </c>
      <c r="B15" s="10">
        <v>50</v>
      </c>
      <c r="C15" t="s">
        <v>48</v>
      </c>
    </row>
    <row r="16" spans="1:4">
      <c r="A16" s="2" t="s">
        <v>122</v>
      </c>
      <c r="B16" s="10">
        <v>25</v>
      </c>
      <c r="C16" t="s">
        <v>4</v>
      </c>
    </row>
    <row r="17" spans="1:3">
      <c r="A17" s="2" t="s">
        <v>123</v>
      </c>
      <c r="B17" s="10">
        <v>50</v>
      </c>
      <c r="C17" t="s">
        <v>4</v>
      </c>
    </row>
    <row r="18" spans="1:3">
      <c r="A18" s="2" t="s">
        <v>124</v>
      </c>
      <c r="B18" s="10">
        <v>0.3</v>
      </c>
    </row>
    <row r="20" spans="1:3">
      <c r="A20" s="8" t="s">
        <v>49</v>
      </c>
    </row>
    <row r="21" spans="1:3">
      <c r="A21" s="2" t="s">
        <v>125</v>
      </c>
      <c r="B21" s="10">
        <v>29</v>
      </c>
      <c r="C21" t="s">
        <v>4</v>
      </c>
    </row>
    <row r="22" spans="1:3">
      <c r="A22" s="2" t="s">
        <v>126</v>
      </c>
      <c r="B22" s="10">
        <v>0.3</v>
      </c>
    </row>
    <row r="23" spans="1:3">
      <c r="A23" s="2" t="s">
        <v>127</v>
      </c>
      <c r="B23" s="10">
        <v>0</v>
      </c>
      <c r="C23" t="s">
        <v>47</v>
      </c>
    </row>
    <row r="24" spans="1:3">
      <c r="A24" s="2" t="s">
        <v>128</v>
      </c>
      <c r="B24" s="3">
        <f xml:space="preserve"> IF(Steering_FVel &lt; Steering_TransitionVel, 1, IF(Steering_FVel &gt; Steering_LimitVel, Steering_LimitScalar, (1 - (Steering_FVel - Steering_TransitionVel) / (Steering_LimitVel - Steering_TransitionVel)) * (1 - Steering_LimitScalar) + Steering_LimitScalar))</f>
        <v>0.8879999999999999</v>
      </c>
    </row>
    <row r="25" spans="1:3">
      <c r="A25" s="2" t="s">
        <v>129</v>
      </c>
      <c r="B25" s="3">
        <f xml:space="preserve"> Steering_SteerReturn * Steering_SteerVelocityScalar</f>
        <v>44.399999999999991</v>
      </c>
      <c r="C25" t="s">
        <v>48</v>
      </c>
    </row>
    <row r="26" spans="1:3">
      <c r="A26" s="2" t="s">
        <v>130</v>
      </c>
      <c r="B26" s="3">
        <f xml:space="preserve"> Steering_SteerAdjust * Steering_SteerVelocityScalar</f>
        <v>44.399999999999991</v>
      </c>
      <c r="C26" t="s">
        <v>48</v>
      </c>
    </row>
    <row r="27" spans="1:3">
      <c r="A27" s="8" t="s">
        <v>50</v>
      </c>
      <c r="B27" t="s">
        <v>53</v>
      </c>
    </row>
    <row r="29" spans="1:3">
      <c r="A29" s="8" t="s">
        <v>51</v>
      </c>
    </row>
    <row r="30" spans="1:3">
      <c r="A30" s="2" t="s">
        <v>127</v>
      </c>
      <c r="B30" s="9">
        <v>10</v>
      </c>
      <c r="C30" t="s">
        <v>47</v>
      </c>
    </row>
    <row r="31" spans="1:3">
      <c r="A31" s="2" t="s">
        <v>131</v>
      </c>
      <c r="B31" s="9">
        <v>2.5</v>
      </c>
      <c r="C31" t="s">
        <v>2</v>
      </c>
    </row>
    <row r="32" spans="1:3">
      <c r="A32" s="2" t="s">
        <v>132</v>
      </c>
      <c r="B32" s="9">
        <v>1.4</v>
      </c>
      <c r="C32" t="s">
        <v>2</v>
      </c>
    </row>
    <row r="33" spans="1:3">
      <c r="A33" s="2" t="s">
        <v>133</v>
      </c>
      <c r="B33" s="11" t="b">
        <v>1</v>
      </c>
      <c r="C33" t="s">
        <v>52</v>
      </c>
    </row>
    <row r="34" spans="1:3">
      <c r="A34" s="2" t="s">
        <v>134</v>
      </c>
      <c r="B34" s="6">
        <f xml:space="preserve"> Steering_WheelBase / ATAN(Steering_SteerAngleAk * 0.0174533)</f>
        <v>14.468219930210802</v>
      </c>
      <c r="C34" t="s">
        <v>2</v>
      </c>
    </row>
    <row r="35" spans="1:3">
      <c r="A35" s="8" t="s">
        <v>50</v>
      </c>
      <c r="B35" s="6">
        <f>(ATAN(Steering_WheelBase/(IF(Steering_Left, Steering_TurnRad + Steering_TrackFront, Steering_TurnRad - Steering_TrackFront)))) /  0.0174533</f>
        <v>8.953216181592305</v>
      </c>
      <c r="C35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5"/>
  <sheetViews>
    <sheetView tabSelected="1" topLeftCell="A52" zoomScaleNormal="100" workbookViewId="0">
      <selection activeCell="C65" sqref="C65"/>
    </sheetView>
  </sheetViews>
  <sheetFormatPr defaultRowHeight="15"/>
  <cols>
    <col min="1" max="1" width="29.28515625" customWidth="1"/>
    <col min="2" max="2" width="9.5703125" bestFit="1" customWidth="1"/>
    <col min="3" max="3" width="10.42578125" bestFit="1" customWidth="1"/>
    <col min="4" max="4" width="10.85546875" customWidth="1"/>
    <col min="5" max="5" width="10.28515625" customWidth="1"/>
    <col min="6" max="6" width="10.140625" bestFit="1" customWidth="1"/>
    <col min="7" max="7" width="9.85546875" bestFit="1" customWidth="1"/>
    <col min="9" max="9" width="23.7109375" bestFit="1" customWidth="1"/>
  </cols>
  <sheetData>
    <row r="1" spans="1:11" ht="21">
      <c r="A1" s="7" t="s">
        <v>136</v>
      </c>
    </row>
    <row r="3" spans="1:11">
      <c r="A3" s="8" t="s">
        <v>9</v>
      </c>
      <c r="B3" s="8" t="s">
        <v>10</v>
      </c>
      <c r="C3" s="8" t="s">
        <v>12</v>
      </c>
      <c r="D3" s="8" t="s">
        <v>15</v>
      </c>
      <c r="I3" s="8" t="s">
        <v>16</v>
      </c>
    </row>
    <row r="4" spans="1:11">
      <c r="A4" s="2" t="s">
        <v>137</v>
      </c>
      <c r="B4" t="s">
        <v>11</v>
      </c>
      <c r="C4" t="s">
        <v>8</v>
      </c>
      <c r="D4" s="6">
        <v>3000</v>
      </c>
      <c r="I4" s="2" t="s">
        <v>137</v>
      </c>
      <c r="J4" s="10">
        <v>3000</v>
      </c>
      <c r="K4" t="s">
        <v>8</v>
      </c>
    </row>
    <row r="5" spans="1:11">
      <c r="A5" s="2" t="s">
        <v>138</v>
      </c>
      <c r="B5" t="s">
        <v>52</v>
      </c>
      <c r="D5" s="12" t="b">
        <v>1</v>
      </c>
      <c r="I5" s="2" t="s">
        <v>138</v>
      </c>
      <c r="J5" s="11" t="b">
        <v>1</v>
      </c>
    </row>
    <row r="6" spans="1:11">
      <c r="A6" s="2" t="s">
        <v>139</v>
      </c>
      <c r="B6" t="s">
        <v>54</v>
      </c>
      <c r="D6" s="3">
        <v>5</v>
      </c>
      <c r="I6" s="2" t="s">
        <v>139</v>
      </c>
      <c r="J6" s="9">
        <v>5</v>
      </c>
    </row>
    <row r="7" spans="1:11">
      <c r="A7" s="2" t="s">
        <v>140</v>
      </c>
      <c r="B7" t="s">
        <v>11</v>
      </c>
      <c r="C7" s="13" t="s">
        <v>55</v>
      </c>
      <c r="D7" s="4">
        <v>4.2300000000000004</v>
      </c>
      <c r="I7" s="2" t="s">
        <v>140</v>
      </c>
      <c r="J7" s="14">
        <v>4.2300000000000004</v>
      </c>
      <c r="K7" s="13" t="s">
        <v>55</v>
      </c>
    </row>
    <row r="8" spans="1:11">
      <c r="A8" s="2" t="s">
        <v>141</v>
      </c>
      <c r="B8" t="s">
        <v>11</v>
      </c>
      <c r="C8" s="13" t="s">
        <v>55</v>
      </c>
      <c r="D8" s="4">
        <v>0</v>
      </c>
      <c r="I8" s="2" t="s">
        <v>141</v>
      </c>
      <c r="J8" s="14">
        <v>3</v>
      </c>
      <c r="K8" s="13" t="s">
        <v>55</v>
      </c>
    </row>
    <row r="9" spans="1:11">
      <c r="A9" s="2" t="s">
        <v>142</v>
      </c>
      <c r="B9" t="s">
        <v>11</v>
      </c>
      <c r="C9" s="13" t="s">
        <v>55</v>
      </c>
      <c r="D9" s="4">
        <v>0</v>
      </c>
      <c r="I9" s="2" t="s">
        <v>142</v>
      </c>
      <c r="J9" s="14">
        <v>1.8</v>
      </c>
      <c r="K9" s="13" t="s">
        <v>55</v>
      </c>
    </row>
    <row r="10" spans="1:11">
      <c r="A10" s="2" t="s">
        <v>143</v>
      </c>
      <c r="B10" t="s">
        <v>11</v>
      </c>
      <c r="C10" s="13" t="s">
        <v>55</v>
      </c>
      <c r="D10" s="4">
        <v>0</v>
      </c>
      <c r="I10" s="2" t="s">
        <v>143</v>
      </c>
      <c r="J10" s="14">
        <v>1.5</v>
      </c>
      <c r="K10" s="13" t="s">
        <v>55</v>
      </c>
    </row>
    <row r="11" spans="1:11">
      <c r="A11" s="2" t="s">
        <v>144</v>
      </c>
      <c r="B11" t="s">
        <v>11</v>
      </c>
      <c r="C11" s="13" t="s">
        <v>55</v>
      </c>
      <c r="D11" s="4">
        <v>0</v>
      </c>
      <c r="I11" s="2" t="s">
        <v>144</v>
      </c>
      <c r="J11" s="14">
        <v>1</v>
      </c>
      <c r="K11" s="13" t="s">
        <v>55</v>
      </c>
    </row>
    <row r="12" spans="1:11">
      <c r="A12" s="2" t="s">
        <v>145</v>
      </c>
      <c r="B12" t="s">
        <v>11</v>
      </c>
      <c r="C12" s="13" t="s">
        <v>55</v>
      </c>
      <c r="D12" s="4">
        <v>0</v>
      </c>
      <c r="I12" s="2" t="s">
        <v>145</v>
      </c>
      <c r="J12" s="14">
        <v>0</v>
      </c>
      <c r="K12" s="13" t="s">
        <v>55</v>
      </c>
    </row>
    <row r="13" spans="1:11">
      <c r="A13" s="2" t="s">
        <v>146</v>
      </c>
      <c r="B13" t="s">
        <v>11</v>
      </c>
      <c r="C13" s="13" t="s">
        <v>55</v>
      </c>
      <c r="D13" s="4">
        <v>0</v>
      </c>
      <c r="I13" s="2" t="s">
        <v>146</v>
      </c>
      <c r="J13" s="14">
        <v>0</v>
      </c>
      <c r="K13" s="13" t="s">
        <v>55</v>
      </c>
    </row>
    <row r="14" spans="1:11">
      <c r="A14" s="2" t="s">
        <v>147</v>
      </c>
      <c r="B14" t="s">
        <v>11</v>
      </c>
      <c r="C14" s="13" t="s">
        <v>55</v>
      </c>
      <c r="D14" s="4">
        <v>0</v>
      </c>
      <c r="I14" s="2" t="s">
        <v>147</v>
      </c>
      <c r="J14" s="14">
        <v>0</v>
      </c>
      <c r="K14" s="13" t="s">
        <v>55</v>
      </c>
    </row>
    <row r="15" spans="1:11">
      <c r="A15" s="2" t="s">
        <v>148</v>
      </c>
      <c r="B15" t="s">
        <v>11</v>
      </c>
      <c r="C15" s="13" t="s">
        <v>55</v>
      </c>
      <c r="D15" s="4">
        <v>0</v>
      </c>
      <c r="I15" s="2" t="s">
        <v>148</v>
      </c>
      <c r="J15" s="14">
        <v>0</v>
      </c>
      <c r="K15" s="13" t="s">
        <v>55</v>
      </c>
    </row>
    <row r="16" spans="1:11">
      <c r="A16" s="2" t="s">
        <v>149</v>
      </c>
      <c r="B16" t="s">
        <v>11</v>
      </c>
      <c r="C16" s="13" t="s">
        <v>55</v>
      </c>
      <c r="D16" s="4">
        <v>0</v>
      </c>
      <c r="I16" s="2" t="s">
        <v>149</v>
      </c>
      <c r="J16" s="14">
        <v>0</v>
      </c>
      <c r="K16" s="13" t="s">
        <v>55</v>
      </c>
    </row>
    <row r="17" spans="1:11">
      <c r="A17" s="2" t="s">
        <v>150</v>
      </c>
      <c r="B17" t="s">
        <v>11</v>
      </c>
      <c r="C17" s="13" t="s">
        <v>55</v>
      </c>
      <c r="D17" s="4">
        <v>3</v>
      </c>
      <c r="I17" s="2" t="s">
        <v>150</v>
      </c>
      <c r="J17" s="14">
        <v>3.15</v>
      </c>
      <c r="K17" s="13" t="s">
        <v>55</v>
      </c>
    </row>
    <row r="18" spans="1:11">
      <c r="A18" s="2" t="s">
        <v>151</v>
      </c>
      <c r="B18" t="s">
        <v>11</v>
      </c>
      <c r="D18" s="6">
        <v>1</v>
      </c>
      <c r="I18" s="2" t="s">
        <v>151</v>
      </c>
      <c r="J18" s="10">
        <v>1</v>
      </c>
    </row>
    <row r="19" spans="1:11">
      <c r="A19" s="2" t="s">
        <v>152</v>
      </c>
      <c r="B19" t="s">
        <v>11</v>
      </c>
      <c r="D19" s="6">
        <v>1</v>
      </c>
      <c r="I19" s="2" t="s">
        <v>152</v>
      </c>
      <c r="J19" s="10">
        <v>1</v>
      </c>
    </row>
    <row r="20" spans="1:11">
      <c r="A20" s="2" t="s">
        <v>56</v>
      </c>
      <c r="B20" t="s">
        <v>57</v>
      </c>
      <c r="D20" s="5">
        <v>2</v>
      </c>
      <c r="I20" s="2" t="s">
        <v>56</v>
      </c>
      <c r="J20" s="15">
        <v>2</v>
      </c>
    </row>
    <row r="21" spans="1:11">
      <c r="A21" s="2" t="s">
        <v>153</v>
      </c>
      <c r="B21" t="s">
        <v>11</v>
      </c>
      <c r="D21" s="4">
        <v>0.4</v>
      </c>
      <c r="I21" s="2" t="s">
        <v>153</v>
      </c>
      <c r="J21" s="14">
        <v>0.4</v>
      </c>
    </row>
    <row r="23" spans="1:11">
      <c r="A23" s="8" t="s">
        <v>58</v>
      </c>
    </row>
    <row r="24" spans="1:11">
      <c r="A24" s="2" t="s">
        <v>154</v>
      </c>
      <c r="B24" s="19">
        <f xml:space="preserve"> (1 / Trans_GearRatio1) ^ (1 / (Trans_NumberOfGears - 1))</f>
        <v>0.69729236215974366</v>
      </c>
    </row>
    <row r="25" spans="1:11">
      <c r="A25" s="2" t="s">
        <v>155</v>
      </c>
      <c r="B25" s="9">
        <v>1.1499999999999999</v>
      </c>
    </row>
    <row r="26" spans="1:11">
      <c r="A26" s="2" t="s">
        <v>62</v>
      </c>
      <c r="B26" s="9">
        <v>0.33500000000000002</v>
      </c>
      <c r="C26" t="s">
        <v>2</v>
      </c>
      <c r="D26" t="s">
        <v>61</v>
      </c>
    </row>
    <row r="27" spans="1:11">
      <c r="A27" s="2" t="s">
        <v>65</v>
      </c>
      <c r="B27" s="9">
        <v>5900</v>
      </c>
      <c r="C27" t="s">
        <v>8</v>
      </c>
      <c r="D27" t="s">
        <v>61</v>
      </c>
    </row>
    <row r="29" spans="1:11">
      <c r="A29" s="8" t="s">
        <v>66</v>
      </c>
      <c r="C29" s="8" t="s">
        <v>60</v>
      </c>
    </row>
    <row r="30" spans="1:11">
      <c r="A30" s="8" t="s">
        <v>59</v>
      </c>
      <c r="B30" s="8" t="s">
        <v>0</v>
      </c>
      <c r="C30" s="8" t="s">
        <v>1</v>
      </c>
      <c r="D30" s="8" t="s">
        <v>3</v>
      </c>
      <c r="E30" s="8" t="s">
        <v>63</v>
      </c>
      <c r="G30" s="8" t="s">
        <v>92</v>
      </c>
    </row>
    <row r="31" spans="1:11">
      <c r="A31" s="2">
        <v>1</v>
      </c>
      <c r="B31" s="4">
        <f t="shared" ref="B31:B40" si="0" xml:space="preserve"> IF(A31 &lt;= Trans_NumberOfGears, Trans_GearRatio1 * Trans_GeometricFactor ^ (A31 - 1),0) / (IF(OR(A31 = 1, A31 = Trans_NumberOfGears), 1, Trans_ProgressionFactor))</f>
        <v>4.2300000000000004</v>
      </c>
      <c r="C31" s="4">
        <f t="shared" ref="C31:C40" si="1" xml:space="preserve"> B31 * Trans_FinalDriveRatio</f>
        <v>13.3245</v>
      </c>
      <c r="D31" s="6">
        <f t="shared" ref="D31:D40" si="2" xml:space="preserve"> IF(C31 &gt; 0,2 * PI() * Trans_RollingRad * Trans_RPM / 60 / C31 * 2.23694,0)</f>
        <v>34.747923038225466</v>
      </c>
      <c r="E31" s="5">
        <f t="shared" ref="E31:E40" si="3">IF(AND(B30 &gt; 0,ISNUMBER(B30)),Trans_RPM * B31/B30,0)</f>
        <v>0</v>
      </c>
      <c r="G31" t="s">
        <v>90</v>
      </c>
    </row>
    <row r="32" spans="1:11">
      <c r="A32" s="2">
        <v>2</v>
      </c>
      <c r="B32" s="4">
        <f t="shared" si="0"/>
        <v>2.5648232103788837</v>
      </c>
      <c r="C32" s="4">
        <f t="shared" si="1"/>
        <v>8.0791931126934831</v>
      </c>
      <c r="D32" s="6">
        <f t="shared" si="2"/>
        <v>57.30754223406332</v>
      </c>
      <c r="E32" s="5">
        <f t="shared" si="3"/>
        <v>3577.4129884717286</v>
      </c>
      <c r="G32" t="s">
        <v>91</v>
      </c>
    </row>
    <row r="33" spans="1:7">
      <c r="A33" s="2">
        <v>3</v>
      </c>
      <c r="B33" s="4">
        <f t="shared" si="0"/>
        <v>1.7884316348872289</v>
      </c>
      <c r="C33" s="4">
        <f t="shared" si="1"/>
        <v>5.6335596498947709</v>
      </c>
      <c r="D33" s="6">
        <f t="shared" si="2"/>
        <v>82.185816658830191</v>
      </c>
      <c r="E33" s="5">
        <f t="shared" si="3"/>
        <v>4114.0249367424867</v>
      </c>
      <c r="G33" t="s">
        <v>93</v>
      </c>
    </row>
    <row r="34" spans="1:7">
      <c r="A34" s="2">
        <v>4</v>
      </c>
      <c r="B34" s="4">
        <f t="shared" si="0"/>
        <v>1.2470597192517283</v>
      </c>
      <c r="C34" s="4">
        <f t="shared" si="1"/>
        <v>3.928238115642944</v>
      </c>
      <c r="D34" s="6">
        <f t="shared" si="2"/>
        <v>117.86421466639</v>
      </c>
      <c r="E34" s="5">
        <f t="shared" si="3"/>
        <v>4114.0249367424885</v>
      </c>
    </row>
    <row r="35" spans="1:7">
      <c r="A35" s="2">
        <v>5</v>
      </c>
      <c r="B35" s="4">
        <f t="shared" si="0"/>
        <v>0.99999999999999978</v>
      </c>
      <c r="C35" s="4">
        <f t="shared" si="1"/>
        <v>3.149999999999999</v>
      </c>
      <c r="D35" s="6">
        <f t="shared" si="2"/>
        <v>146.9837144516938</v>
      </c>
      <c r="E35" s="5">
        <f t="shared" si="3"/>
        <v>4731.1286772538597</v>
      </c>
      <c r="G35" t="s">
        <v>94</v>
      </c>
    </row>
    <row r="36" spans="1:7">
      <c r="A36" s="2">
        <v>6</v>
      </c>
      <c r="B36" s="4">
        <f t="shared" si="0"/>
        <v>0</v>
      </c>
      <c r="C36" s="4">
        <f t="shared" si="1"/>
        <v>0</v>
      </c>
      <c r="D36" s="6">
        <f t="shared" si="2"/>
        <v>0</v>
      </c>
      <c r="E36" s="5">
        <f t="shared" si="3"/>
        <v>0</v>
      </c>
      <c r="G36" t="s">
        <v>95</v>
      </c>
    </row>
    <row r="37" spans="1:7">
      <c r="A37" s="2">
        <v>7</v>
      </c>
      <c r="B37" s="4">
        <f t="shared" si="0"/>
        <v>0</v>
      </c>
      <c r="C37" s="4">
        <f t="shared" si="1"/>
        <v>0</v>
      </c>
      <c r="D37" s="6">
        <f t="shared" si="2"/>
        <v>0</v>
      </c>
      <c r="E37" s="5">
        <f t="shared" si="3"/>
        <v>0</v>
      </c>
    </row>
    <row r="38" spans="1:7">
      <c r="A38" s="2">
        <v>8</v>
      </c>
      <c r="B38" s="4">
        <f t="shared" si="0"/>
        <v>0</v>
      </c>
      <c r="C38" s="4">
        <f t="shared" si="1"/>
        <v>0</v>
      </c>
      <c r="D38" s="6">
        <f t="shared" si="2"/>
        <v>0</v>
      </c>
      <c r="E38" s="5">
        <f t="shared" si="3"/>
        <v>0</v>
      </c>
      <c r="G38" t="s">
        <v>96</v>
      </c>
    </row>
    <row r="39" spans="1:7">
      <c r="A39" s="2">
        <v>9</v>
      </c>
      <c r="B39" s="4">
        <f t="shared" si="0"/>
        <v>0</v>
      </c>
      <c r="C39" s="4">
        <f t="shared" si="1"/>
        <v>0</v>
      </c>
      <c r="D39" s="6">
        <f t="shared" si="2"/>
        <v>0</v>
      </c>
      <c r="E39" s="5">
        <f t="shared" si="3"/>
        <v>0</v>
      </c>
    </row>
    <row r="40" spans="1:7">
      <c r="A40" s="2">
        <v>10</v>
      </c>
      <c r="B40" s="4">
        <f t="shared" si="0"/>
        <v>0</v>
      </c>
      <c r="C40" s="4">
        <f t="shared" si="1"/>
        <v>0</v>
      </c>
      <c r="D40" s="6">
        <f t="shared" si="2"/>
        <v>0</v>
      </c>
      <c r="E40" s="5">
        <f t="shared" si="3"/>
        <v>0</v>
      </c>
    </row>
    <row r="42" spans="1:7">
      <c r="A42" s="8" t="s">
        <v>64</v>
      </c>
      <c r="C42" s="8" t="s">
        <v>60</v>
      </c>
    </row>
    <row r="43" spans="1:7">
      <c r="A43" s="8" t="s">
        <v>59</v>
      </c>
      <c r="B43" s="8" t="s">
        <v>0</v>
      </c>
      <c r="C43" s="8" t="s">
        <v>1</v>
      </c>
      <c r="D43" s="8" t="s">
        <v>3</v>
      </c>
      <c r="E43" s="8" t="s">
        <v>63</v>
      </c>
    </row>
    <row r="44" spans="1:7">
      <c r="A44" s="2">
        <v>1</v>
      </c>
      <c r="B44" s="4">
        <f>Trans_GearRatio1</f>
        <v>4.2300000000000004</v>
      </c>
      <c r="C44" s="4">
        <f t="shared" ref="C44:C53" si="4" xml:space="preserve"> B44 * Trans_FinalDriveRatio</f>
        <v>13.3245</v>
      </c>
      <c r="D44" s="6">
        <f t="shared" ref="D44:D53" si="5" xml:space="preserve"> IF(C44 &gt; 0,2 * PI() * Trans_RollingRad * Trans_RPM / 60 / C44 * 2.23694,0)</f>
        <v>34.747923038225466</v>
      </c>
      <c r="E44" s="5">
        <f t="shared" ref="E44:E53" si="6">IF(AND(B43 &gt; 0,ISNUMBER(B43)),Trans_RPM * B44/B43,0)</f>
        <v>0</v>
      </c>
    </row>
    <row r="45" spans="1:7">
      <c r="A45" s="2">
        <v>2</v>
      </c>
      <c r="B45" s="4">
        <f>Trans_GearRatio2</f>
        <v>3</v>
      </c>
      <c r="C45" s="4">
        <f t="shared" si="4"/>
        <v>9.4499999999999993</v>
      </c>
      <c r="D45" s="6">
        <f t="shared" si="5"/>
        <v>48.994571483897914</v>
      </c>
      <c r="E45" s="5">
        <f t="shared" si="6"/>
        <v>4184.3971631205668</v>
      </c>
    </row>
    <row r="46" spans="1:7">
      <c r="A46" s="2">
        <v>3</v>
      </c>
      <c r="B46" s="4">
        <f>Trans_GearRatio3</f>
        <v>1.8</v>
      </c>
      <c r="C46" s="4">
        <f t="shared" si="4"/>
        <v>5.67</v>
      </c>
      <c r="D46" s="6">
        <f t="shared" si="5"/>
        <v>81.657619139829848</v>
      </c>
      <c r="E46" s="5">
        <f t="shared" si="6"/>
        <v>3540</v>
      </c>
    </row>
    <row r="47" spans="1:7">
      <c r="A47" s="2">
        <v>4</v>
      </c>
      <c r="B47" s="4">
        <f>Trans_GearRatio4</f>
        <v>1.5</v>
      </c>
      <c r="C47" s="4">
        <f t="shared" si="4"/>
        <v>4.7249999999999996</v>
      </c>
      <c r="D47" s="6">
        <f t="shared" si="5"/>
        <v>97.989142967795829</v>
      </c>
      <c r="E47" s="5">
        <f t="shared" si="6"/>
        <v>4916.666666666667</v>
      </c>
    </row>
    <row r="48" spans="1:7">
      <c r="A48" s="2">
        <v>5</v>
      </c>
      <c r="B48" s="4">
        <f>Trans_GearRatio5</f>
        <v>1</v>
      </c>
      <c r="C48" s="4">
        <f t="shared" si="4"/>
        <v>3.15</v>
      </c>
      <c r="D48" s="6">
        <f t="shared" si="5"/>
        <v>146.98371445169374</v>
      </c>
      <c r="E48" s="5">
        <f t="shared" si="6"/>
        <v>3933.3333333333335</v>
      </c>
    </row>
    <row r="49" spans="1:8">
      <c r="A49" s="2">
        <v>6</v>
      </c>
      <c r="B49" s="4">
        <f>Trans_GearRatio6</f>
        <v>0</v>
      </c>
      <c r="C49" s="4">
        <f t="shared" si="4"/>
        <v>0</v>
      </c>
      <c r="D49" s="6">
        <f t="shared" si="5"/>
        <v>0</v>
      </c>
      <c r="E49" s="5">
        <f t="shared" si="6"/>
        <v>0</v>
      </c>
    </row>
    <row r="50" spans="1:8">
      <c r="A50" s="2">
        <v>7</v>
      </c>
      <c r="B50" s="4">
        <f>Trans_GearRatio7</f>
        <v>0</v>
      </c>
      <c r="C50" s="4">
        <f t="shared" si="4"/>
        <v>0</v>
      </c>
      <c r="D50" s="6">
        <f t="shared" si="5"/>
        <v>0</v>
      </c>
      <c r="E50" s="5">
        <f t="shared" si="6"/>
        <v>0</v>
      </c>
    </row>
    <row r="51" spans="1:8">
      <c r="A51" s="2">
        <v>8</v>
      </c>
      <c r="B51" s="4">
        <f>Trans_GearRatio8</f>
        <v>0</v>
      </c>
      <c r="C51" s="4">
        <f t="shared" si="4"/>
        <v>0</v>
      </c>
      <c r="D51" s="6">
        <f t="shared" si="5"/>
        <v>0</v>
      </c>
      <c r="E51" s="5">
        <f t="shared" si="6"/>
        <v>0</v>
      </c>
    </row>
    <row r="52" spans="1:8">
      <c r="A52" s="2">
        <v>9</v>
      </c>
      <c r="B52" s="4">
        <f>Trans_GearRatio9</f>
        <v>0</v>
      </c>
      <c r="C52" s="4">
        <f t="shared" si="4"/>
        <v>0</v>
      </c>
      <c r="D52" s="6">
        <f t="shared" si="5"/>
        <v>0</v>
      </c>
      <c r="E52" s="5">
        <f t="shared" si="6"/>
        <v>0</v>
      </c>
    </row>
    <row r="53" spans="1:8">
      <c r="A53" s="2">
        <v>10</v>
      </c>
      <c r="B53" s="4">
        <f>Trans_GearRatio10</f>
        <v>0</v>
      </c>
      <c r="C53" s="4">
        <f t="shared" si="4"/>
        <v>0</v>
      </c>
      <c r="D53" s="6">
        <f t="shared" si="5"/>
        <v>0</v>
      </c>
      <c r="E53" s="5">
        <f t="shared" si="6"/>
        <v>0</v>
      </c>
    </row>
    <row r="54" spans="1:8">
      <c r="A54" s="2"/>
    </row>
    <row r="55" spans="1:8">
      <c r="A55" s="2" t="s">
        <v>87</v>
      </c>
      <c r="B55" s="1">
        <f>MAX(D44:D53)</f>
        <v>146.98371445169374</v>
      </c>
      <c r="C55" t="s">
        <v>3</v>
      </c>
    </row>
    <row r="56" spans="1:8">
      <c r="A56" s="2" t="s">
        <v>88</v>
      </c>
      <c r="B56" s="16">
        <f>0.5 * Aero_AirDensity * (Trans_Speed * 0.44704) ^ 3 * Aero_CD * Aero_FrontalArea / 1000</f>
        <v>117.32619762999192</v>
      </c>
      <c r="C56" t="s">
        <v>44</v>
      </c>
      <c r="D56" s="1">
        <f xml:space="preserve"> B56 * 1.34102</f>
        <v>157.33677754577178</v>
      </c>
      <c r="E56" t="s">
        <v>89</v>
      </c>
    </row>
    <row r="58" spans="1:8">
      <c r="A58" s="8" t="s">
        <v>67</v>
      </c>
    </row>
    <row r="59" spans="1:8">
      <c r="A59" s="2" t="s">
        <v>156</v>
      </c>
      <c r="B59" s="14">
        <v>-0.5</v>
      </c>
      <c r="C59" t="s">
        <v>76</v>
      </c>
    </row>
    <row r="60" spans="1:8">
      <c r="A60" s="2" t="s">
        <v>157</v>
      </c>
      <c r="B60" s="14">
        <v>0.6</v>
      </c>
    </row>
    <row r="62" spans="1:8">
      <c r="A62" s="8" t="s">
        <v>71</v>
      </c>
      <c r="B62" s="17" t="s">
        <v>68</v>
      </c>
      <c r="C62" s="17" t="s">
        <v>69</v>
      </c>
      <c r="D62" s="17" t="s">
        <v>70</v>
      </c>
      <c r="E62" s="17" t="s">
        <v>74</v>
      </c>
      <c r="F62" s="17" t="s">
        <v>75</v>
      </c>
      <c r="G62" s="17" t="s">
        <v>73</v>
      </c>
      <c r="H62" s="17" t="s">
        <v>72</v>
      </c>
    </row>
    <row r="63" spans="1:8">
      <c r="B63" s="14">
        <v>0</v>
      </c>
      <c r="C63" s="14">
        <v>0</v>
      </c>
      <c r="D63" s="6">
        <f>C63-B63</f>
        <v>0</v>
      </c>
      <c r="E63" s="3">
        <f>IF(ABS(D63) &lt; ABS($B$59), D63 / $B$59, 1 * SIGN(D63) * SIGN($B$59))</f>
        <v>0</v>
      </c>
      <c r="F63" s="3">
        <f xml:space="preserve"> IF(ABS(E63) &gt; ABS($B$60), $B$60 * SIGN(E63), E63)</f>
        <v>0</v>
      </c>
      <c r="G63" s="3">
        <f xml:space="preserve"> 1 - F63</f>
        <v>1</v>
      </c>
      <c r="H63" s="3">
        <f>1 + F63</f>
        <v>1</v>
      </c>
    </row>
    <row r="64" spans="1:8">
      <c r="B64" s="14">
        <v>0</v>
      </c>
      <c r="C64" s="14">
        <v>0.1</v>
      </c>
      <c r="D64" s="6">
        <f t="shared" ref="D64:D73" si="7">C64-B64</f>
        <v>0.1</v>
      </c>
      <c r="E64" s="3">
        <f t="shared" ref="E64:E73" si="8">IF(ABS(D64) &lt; ABS($B$59), D64 / $B$59, 1 * SIGN(D64) * SIGN($B$59))</f>
        <v>-0.2</v>
      </c>
      <c r="F64" s="3">
        <f t="shared" ref="F64:F73" si="9" xml:space="preserve"> IF(ABS(E64) &gt; ABS($B$60), $B$60 * SIGN(E64), E64)</f>
        <v>-0.2</v>
      </c>
      <c r="G64" s="3">
        <f t="shared" ref="G64:G73" si="10" xml:space="preserve"> 1 - F64</f>
        <v>1.2</v>
      </c>
      <c r="H64" s="3">
        <f t="shared" ref="H64:H73" si="11">1 + F64</f>
        <v>0.8</v>
      </c>
    </row>
    <row r="65" spans="2:8">
      <c r="B65" s="14">
        <v>0</v>
      </c>
      <c r="C65" s="14">
        <v>0.2</v>
      </c>
      <c r="D65" s="6">
        <f t="shared" si="7"/>
        <v>0.2</v>
      </c>
      <c r="E65" s="3">
        <f t="shared" si="8"/>
        <v>-0.4</v>
      </c>
      <c r="F65" s="3">
        <f t="shared" si="9"/>
        <v>-0.4</v>
      </c>
      <c r="G65" s="3">
        <f t="shared" si="10"/>
        <v>1.4</v>
      </c>
      <c r="H65" s="3">
        <f t="shared" si="11"/>
        <v>0.6</v>
      </c>
    </row>
    <row r="66" spans="2:8">
      <c r="B66" s="14">
        <v>0</v>
      </c>
      <c r="C66" s="14">
        <v>0.3</v>
      </c>
      <c r="D66" s="6">
        <f t="shared" si="7"/>
        <v>0.3</v>
      </c>
      <c r="E66" s="3">
        <f t="shared" si="8"/>
        <v>-0.6</v>
      </c>
      <c r="F66" s="3">
        <f t="shared" si="9"/>
        <v>-0.6</v>
      </c>
      <c r="G66" s="3">
        <f t="shared" si="10"/>
        <v>1.6</v>
      </c>
      <c r="H66" s="3">
        <f t="shared" si="11"/>
        <v>0.4</v>
      </c>
    </row>
    <row r="67" spans="2:8">
      <c r="B67" s="14">
        <v>0</v>
      </c>
      <c r="C67" s="14">
        <v>0.4</v>
      </c>
      <c r="D67" s="6">
        <f t="shared" si="7"/>
        <v>0.4</v>
      </c>
      <c r="E67" s="3">
        <f t="shared" si="8"/>
        <v>-0.8</v>
      </c>
      <c r="F67" s="3">
        <f t="shared" si="9"/>
        <v>-0.6</v>
      </c>
      <c r="G67" s="3">
        <f t="shared" si="10"/>
        <v>1.6</v>
      </c>
      <c r="H67" s="3">
        <f t="shared" si="11"/>
        <v>0.4</v>
      </c>
    </row>
    <row r="68" spans="2:8">
      <c r="B68" s="14">
        <v>0</v>
      </c>
      <c r="C68" s="14">
        <v>0.5</v>
      </c>
      <c r="D68" s="6">
        <f t="shared" si="7"/>
        <v>0.5</v>
      </c>
      <c r="E68" s="3">
        <f t="shared" si="8"/>
        <v>-1</v>
      </c>
      <c r="F68" s="3">
        <f t="shared" si="9"/>
        <v>-0.6</v>
      </c>
      <c r="G68" s="3">
        <f t="shared" si="10"/>
        <v>1.6</v>
      </c>
      <c r="H68" s="3">
        <f t="shared" si="11"/>
        <v>0.4</v>
      </c>
    </row>
    <row r="69" spans="2:8">
      <c r="B69" s="14">
        <v>0</v>
      </c>
      <c r="C69" s="14">
        <v>0.6</v>
      </c>
      <c r="D69" s="6">
        <f t="shared" si="7"/>
        <v>0.6</v>
      </c>
      <c r="E69" s="3">
        <f t="shared" si="8"/>
        <v>-1</v>
      </c>
      <c r="F69" s="3">
        <f t="shared" si="9"/>
        <v>-0.6</v>
      </c>
      <c r="G69" s="3">
        <f t="shared" si="10"/>
        <v>1.6</v>
      </c>
      <c r="H69" s="3">
        <f t="shared" si="11"/>
        <v>0.4</v>
      </c>
    </row>
    <row r="70" spans="2:8">
      <c r="B70" s="14">
        <v>0</v>
      </c>
      <c r="C70" s="14">
        <v>0.7</v>
      </c>
      <c r="D70" s="6">
        <f t="shared" si="7"/>
        <v>0.7</v>
      </c>
      <c r="E70" s="3">
        <f t="shared" si="8"/>
        <v>-1</v>
      </c>
      <c r="F70" s="3">
        <f t="shared" si="9"/>
        <v>-0.6</v>
      </c>
      <c r="G70" s="3">
        <f t="shared" si="10"/>
        <v>1.6</v>
      </c>
      <c r="H70" s="3">
        <f t="shared" si="11"/>
        <v>0.4</v>
      </c>
    </row>
    <row r="71" spans="2:8">
      <c r="B71" s="14">
        <v>0</v>
      </c>
      <c r="C71" s="14">
        <v>0.8</v>
      </c>
      <c r="D71" s="6">
        <f t="shared" si="7"/>
        <v>0.8</v>
      </c>
      <c r="E71" s="3">
        <f t="shared" si="8"/>
        <v>-1</v>
      </c>
      <c r="F71" s="3">
        <f t="shared" si="9"/>
        <v>-0.6</v>
      </c>
      <c r="G71" s="3">
        <f t="shared" si="10"/>
        <v>1.6</v>
      </c>
      <c r="H71" s="3">
        <f t="shared" si="11"/>
        <v>0.4</v>
      </c>
    </row>
    <row r="72" spans="2:8">
      <c r="B72" s="14">
        <v>0</v>
      </c>
      <c r="C72" s="14">
        <v>0.9</v>
      </c>
      <c r="D72" s="6">
        <f t="shared" si="7"/>
        <v>0.9</v>
      </c>
      <c r="E72" s="3">
        <f t="shared" si="8"/>
        <v>-1</v>
      </c>
      <c r="F72" s="3">
        <f t="shared" si="9"/>
        <v>-0.6</v>
      </c>
      <c r="G72" s="3">
        <f t="shared" si="10"/>
        <v>1.6</v>
      </c>
      <c r="H72" s="3">
        <f t="shared" si="11"/>
        <v>0.4</v>
      </c>
    </row>
    <row r="73" spans="2:8">
      <c r="B73" s="14">
        <v>0</v>
      </c>
      <c r="C73" s="14">
        <v>1</v>
      </c>
      <c r="D73" s="6">
        <f t="shared" si="7"/>
        <v>1</v>
      </c>
      <c r="E73" s="3">
        <f t="shared" si="8"/>
        <v>-1</v>
      </c>
      <c r="F73" s="3">
        <f t="shared" si="9"/>
        <v>-0.6</v>
      </c>
      <c r="G73" s="3">
        <f t="shared" si="10"/>
        <v>1.6</v>
      </c>
      <c r="H73" s="3">
        <f t="shared" si="11"/>
        <v>0.4</v>
      </c>
    </row>
    <row r="75" spans="2:8">
      <c r="B75" t="s">
        <v>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A2" sqref="A2"/>
    </sheetView>
  </sheetViews>
  <sheetFormatPr defaultRowHeight="15"/>
  <cols>
    <col min="1" max="1" width="21" bestFit="1" customWidth="1"/>
    <col min="3" max="3" width="11.28515625" bestFit="1" customWidth="1"/>
    <col min="5" max="5" width="11.28515625" bestFit="1" customWidth="1"/>
  </cols>
  <sheetData>
    <row r="1" spans="1:3" ht="21">
      <c r="A1" s="7" t="s">
        <v>158</v>
      </c>
    </row>
    <row r="3" spans="1:3">
      <c r="A3" s="8" t="s">
        <v>78</v>
      </c>
    </row>
    <row r="4" spans="1:3">
      <c r="A4" s="8"/>
    </row>
    <row r="5" spans="1:3">
      <c r="A5" s="8" t="s">
        <v>79</v>
      </c>
    </row>
    <row r="6" spans="1:3">
      <c r="A6" s="2" t="s">
        <v>80</v>
      </c>
      <c r="B6" s="14">
        <v>0.15</v>
      </c>
    </row>
    <row r="7" spans="1:3">
      <c r="A7" s="2" t="s">
        <v>81</v>
      </c>
      <c r="B7" s="14">
        <v>0.95</v>
      </c>
    </row>
    <row r="8" spans="1:3">
      <c r="A8" s="2" t="s">
        <v>82</v>
      </c>
      <c r="B8" s="14">
        <v>0.7</v>
      </c>
    </row>
    <row r="9" spans="1:3">
      <c r="A9" s="2" t="s">
        <v>83</v>
      </c>
      <c r="B9" s="14">
        <v>0.6</v>
      </c>
    </row>
    <row r="10" spans="1:3">
      <c r="A10" s="2" t="s">
        <v>84</v>
      </c>
      <c r="B10" s="14">
        <v>1</v>
      </c>
    </row>
    <row r="12" spans="1:3">
      <c r="B12" s="18" t="s">
        <v>70</v>
      </c>
      <c r="C12" s="18" t="s">
        <v>85</v>
      </c>
    </row>
    <row r="13" spans="1:3">
      <c r="B13" s="4">
        <v>0</v>
      </c>
      <c r="C13" s="4">
        <v>0</v>
      </c>
    </row>
    <row r="14" spans="1:3">
      <c r="B14" s="4">
        <f>B6</f>
        <v>0.15</v>
      </c>
      <c r="C14" s="4">
        <f>B7 * B10</f>
        <v>0.95</v>
      </c>
    </row>
    <row r="15" spans="1:3">
      <c r="B15" s="4">
        <f>B8</f>
        <v>0.7</v>
      </c>
      <c r="C15" s="4">
        <f>B9 * B10</f>
        <v>0.6</v>
      </c>
    </row>
    <row r="16" spans="1:3">
      <c r="B16" s="4">
        <v>1</v>
      </c>
      <c r="C16" s="4">
        <f>B9 * B10</f>
        <v>0.6</v>
      </c>
    </row>
    <row r="18" spans="1:4">
      <c r="A18" s="8" t="s">
        <v>86</v>
      </c>
    </row>
    <row r="19" spans="1:4">
      <c r="A19" s="2" t="s">
        <v>80</v>
      </c>
      <c r="B19" s="14">
        <v>0.11</v>
      </c>
      <c r="C19" s="16">
        <f>DEGREES(B19)</f>
        <v>6.3025357464390552</v>
      </c>
      <c r="D19" t="s">
        <v>47</v>
      </c>
    </row>
    <row r="20" spans="1:4">
      <c r="A20" s="2" t="s">
        <v>81</v>
      </c>
      <c r="B20" s="14">
        <v>0.95</v>
      </c>
    </row>
    <row r="21" spans="1:4">
      <c r="A21" s="2" t="s">
        <v>82</v>
      </c>
      <c r="B21" s="14">
        <v>0.8</v>
      </c>
      <c r="C21" s="16">
        <f>DEGREES(B21)</f>
        <v>45.836623610465864</v>
      </c>
      <c r="D21" t="s">
        <v>47</v>
      </c>
    </row>
    <row r="22" spans="1:4">
      <c r="A22" s="2" t="s">
        <v>83</v>
      </c>
      <c r="B22" s="14">
        <v>0.6</v>
      </c>
    </row>
    <row r="23" spans="1:4">
      <c r="A23" s="2" t="s">
        <v>84</v>
      </c>
      <c r="B23" s="14">
        <v>1</v>
      </c>
    </row>
    <row r="25" spans="1:4">
      <c r="B25" s="18" t="s">
        <v>70</v>
      </c>
      <c r="C25" s="18" t="s">
        <v>85</v>
      </c>
    </row>
    <row r="26" spans="1:4">
      <c r="B26" s="4">
        <v>0</v>
      </c>
      <c r="C26" s="4">
        <v>0</v>
      </c>
    </row>
    <row r="27" spans="1:4">
      <c r="B27" s="4">
        <f>B19</f>
        <v>0.11</v>
      </c>
      <c r="C27" s="4">
        <f>B20 * $B$23</f>
        <v>0.95</v>
      </c>
    </row>
    <row r="28" spans="1:4">
      <c r="B28" s="4">
        <f>B21</f>
        <v>0.8</v>
      </c>
      <c r="C28" s="4">
        <f>B22 * $B$23</f>
        <v>0.6</v>
      </c>
    </row>
    <row r="29" spans="1:4">
      <c r="B29" s="4">
        <f>PI() / 2</f>
        <v>1.5707963267948966</v>
      </c>
      <c r="C29" s="4">
        <f>B22 * B23</f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56</vt:i4>
      </vt:variant>
    </vt:vector>
  </HeadingPairs>
  <TitlesOfParts>
    <vt:vector size="62" baseType="lpstr">
      <vt:lpstr>Aerodynamics</vt:lpstr>
      <vt:lpstr>Brakes</vt:lpstr>
      <vt:lpstr>Engine</vt:lpstr>
      <vt:lpstr>Steering</vt:lpstr>
      <vt:lpstr>Transmission</vt:lpstr>
      <vt:lpstr>Tyres</vt:lpstr>
      <vt:lpstr>Aero_AirDensity</vt:lpstr>
      <vt:lpstr>Aero_CD</vt:lpstr>
      <vt:lpstr>Aero_ClFront</vt:lpstr>
      <vt:lpstr>Aero_ClRear</vt:lpstr>
      <vt:lpstr>Aero_DragForce</vt:lpstr>
      <vt:lpstr>Aero_FrontalArea</vt:lpstr>
      <vt:lpstr>Aero_Velocity</vt:lpstr>
      <vt:lpstr>Brakes_FrontBias</vt:lpstr>
      <vt:lpstr>Brakes_Gravity</vt:lpstr>
      <vt:lpstr>Brakes_Mass</vt:lpstr>
      <vt:lpstr>Brakes_MaxBrakeForceFront</vt:lpstr>
      <vt:lpstr>Brakes_MaxBrakeForceRear</vt:lpstr>
      <vt:lpstr>Brakes_MaxBrakeForceTotal</vt:lpstr>
      <vt:lpstr>Brakes_MaxDecel</vt:lpstr>
      <vt:lpstr>Brakes_RollingRadFront</vt:lpstr>
      <vt:lpstr>Brakes_RollingRadRear</vt:lpstr>
      <vt:lpstr>Engine_PowerIdle</vt:lpstr>
      <vt:lpstr>Engine_PowerLowPowerBand</vt:lpstr>
      <vt:lpstr>Engine_PowerMaxPower</vt:lpstr>
      <vt:lpstr>Engine_PowerMaxRPM</vt:lpstr>
      <vt:lpstr>Engine_RPMIdle</vt:lpstr>
      <vt:lpstr>Engine_RPMLowPowerBand</vt:lpstr>
      <vt:lpstr>Engine_RPMMax</vt:lpstr>
      <vt:lpstr>Engine_RPMMaxPower</vt:lpstr>
      <vt:lpstr>Steering_ControllerInputX</vt:lpstr>
      <vt:lpstr>Steering_FVel</vt:lpstr>
      <vt:lpstr>Steering_Left</vt:lpstr>
      <vt:lpstr>Steering_LimitScalar</vt:lpstr>
      <vt:lpstr>Steering_LimitVel</vt:lpstr>
      <vt:lpstr>Steering_SteerAdjust</vt:lpstr>
      <vt:lpstr>Steering_SteerAngle</vt:lpstr>
      <vt:lpstr>Steering_SteerAngleAk</vt:lpstr>
      <vt:lpstr>Steering_SteerLock</vt:lpstr>
      <vt:lpstr>Steering_SteerReturn</vt:lpstr>
      <vt:lpstr>Steering_SteerVelocityScalar</vt:lpstr>
      <vt:lpstr>Steering_TrackFront</vt:lpstr>
      <vt:lpstr>Steering_TransitionVel</vt:lpstr>
      <vt:lpstr>Steering_TurnRad</vt:lpstr>
      <vt:lpstr>Steering_WheelBase</vt:lpstr>
      <vt:lpstr>Trans_FinalDriveRatio</vt:lpstr>
      <vt:lpstr>Trans_GearRatio1</vt:lpstr>
      <vt:lpstr>Trans_GearRatio10</vt:lpstr>
      <vt:lpstr>Trans_GearRatio2</vt:lpstr>
      <vt:lpstr>Trans_GearRatio3</vt:lpstr>
      <vt:lpstr>Trans_GearRatio4</vt:lpstr>
      <vt:lpstr>Trans_GearRatio5</vt:lpstr>
      <vt:lpstr>Trans_GearRatio6</vt:lpstr>
      <vt:lpstr>Trans_GearRatio7</vt:lpstr>
      <vt:lpstr>Trans_GearRatio8</vt:lpstr>
      <vt:lpstr>Trans_GearRatio9</vt:lpstr>
      <vt:lpstr>Trans_GeometricFactor</vt:lpstr>
      <vt:lpstr>Trans_NumberOfGears</vt:lpstr>
      <vt:lpstr>Trans_ProgressionFactor</vt:lpstr>
      <vt:lpstr>Trans_RollingRad</vt:lpstr>
      <vt:lpstr>Trans_RPM</vt:lpstr>
      <vt:lpstr>Trans_Speed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2018-08-10T18:39:10Z</dcterms:created>
  <dcterms:modified xsi:type="dcterms:W3CDTF">2020-03-07T12:31:57Z</dcterms:modified>
</cp:coreProperties>
</file>