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PhD\Rotations\winter2023\Data\DeID-UCSF500\Paired\"/>
    </mc:Choice>
  </mc:AlternateContent>
  <xr:revisionPtr revIDLastSave="0" documentId="13_ncr:1_{B0CAE934-60B5-4132-9F60-686CCE706DC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omatic" sheetId="2" r:id="rId1"/>
  </sheets>
  <definedNames>
    <definedName name="_xlnm._FilterDatabase" localSheetId="0" hidden="1">Somatic!$A$1:$AD$38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8" i="2" l="1"/>
  <c r="Z38" i="2"/>
  <c r="Y38" i="2"/>
  <c r="W38" i="2"/>
  <c r="V38" i="2"/>
  <c r="U38" i="2"/>
  <c r="T38" i="2"/>
  <c r="P38" i="2"/>
  <c r="O38" i="2"/>
  <c r="M38" i="2"/>
  <c r="L38" i="2"/>
  <c r="K38" i="2"/>
  <c r="H38" i="2"/>
  <c r="G38" i="2"/>
  <c r="F38" i="2"/>
  <c r="AD37" i="2"/>
  <c r="Z37" i="2"/>
  <c r="Y37" i="2"/>
  <c r="W37" i="2"/>
  <c r="V37" i="2"/>
  <c r="U37" i="2"/>
  <c r="T37" i="2"/>
  <c r="P37" i="2"/>
  <c r="O37" i="2"/>
  <c r="M37" i="2"/>
  <c r="L37" i="2"/>
  <c r="K37" i="2"/>
  <c r="H37" i="2"/>
  <c r="G37" i="2"/>
  <c r="F37" i="2"/>
  <c r="AD36" i="2"/>
  <c r="Z36" i="2"/>
  <c r="Y36" i="2"/>
  <c r="W36" i="2"/>
  <c r="V36" i="2"/>
  <c r="U36" i="2"/>
  <c r="T36" i="2"/>
  <c r="P36" i="2"/>
  <c r="O36" i="2"/>
  <c r="M36" i="2"/>
  <c r="L36" i="2"/>
  <c r="K36" i="2"/>
  <c r="H36" i="2"/>
  <c r="G36" i="2"/>
  <c r="F36" i="2"/>
  <c r="AD35" i="2"/>
  <c r="Z35" i="2"/>
  <c r="Y35" i="2"/>
  <c r="W35" i="2"/>
  <c r="V35" i="2"/>
  <c r="U35" i="2"/>
  <c r="T35" i="2"/>
  <c r="P35" i="2"/>
  <c r="O35" i="2"/>
  <c r="M35" i="2"/>
  <c r="L35" i="2"/>
  <c r="K35" i="2"/>
  <c r="H35" i="2"/>
  <c r="G35" i="2"/>
  <c r="F35" i="2"/>
  <c r="AD34" i="2"/>
  <c r="Z34" i="2"/>
  <c r="Y34" i="2"/>
  <c r="W34" i="2"/>
  <c r="V34" i="2"/>
  <c r="U34" i="2"/>
  <c r="T34" i="2"/>
  <c r="P34" i="2"/>
  <c r="O34" i="2"/>
  <c r="M34" i="2"/>
  <c r="L34" i="2"/>
  <c r="K34" i="2"/>
  <c r="H34" i="2"/>
  <c r="G34" i="2"/>
  <c r="F34" i="2"/>
  <c r="AD33" i="2"/>
  <c r="Z33" i="2"/>
  <c r="Y33" i="2"/>
  <c r="W33" i="2"/>
  <c r="V33" i="2"/>
  <c r="U33" i="2"/>
  <c r="T33" i="2"/>
  <c r="P33" i="2"/>
  <c r="O33" i="2"/>
  <c r="M33" i="2"/>
  <c r="L33" i="2"/>
  <c r="K33" i="2"/>
  <c r="H33" i="2"/>
  <c r="G33" i="2"/>
  <c r="F33" i="2"/>
  <c r="AD32" i="2"/>
  <c r="Z32" i="2"/>
  <c r="Y32" i="2"/>
  <c r="W32" i="2"/>
  <c r="V32" i="2"/>
  <c r="U32" i="2"/>
  <c r="T32" i="2"/>
  <c r="P32" i="2"/>
  <c r="O32" i="2"/>
  <c r="M32" i="2"/>
  <c r="L32" i="2"/>
  <c r="K32" i="2"/>
  <c r="H32" i="2"/>
  <c r="G32" i="2"/>
  <c r="F32" i="2"/>
  <c r="AD31" i="2"/>
  <c r="Z31" i="2"/>
  <c r="Y31" i="2"/>
  <c r="W31" i="2"/>
  <c r="V31" i="2"/>
  <c r="U31" i="2"/>
  <c r="T31" i="2"/>
  <c r="P31" i="2"/>
  <c r="O31" i="2"/>
  <c r="M31" i="2"/>
  <c r="L31" i="2"/>
  <c r="K31" i="2"/>
  <c r="H31" i="2"/>
  <c r="G31" i="2"/>
  <c r="F31" i="2"/>
  <c r="AD30" i="2"/>
  <c r="Z30" i="2"/>
  <c r="Y30" i="2"/>
  <c r="W30" i="2"/>
  <c r="V30" i="2"/>
  <c r="U30" i="2"/>
  <c r="T30" i="2"/>
  <c r="P30" i="2"/>
  <c r="O30" i="2"/>
  <c r="M30" i="2"/>
  <c r="L30" i="2"/>
  <c r="K30" i="2"/>
  <c r="H30" i="2"/>
  <c r="G30" i="2"/>
  <c r="F30" i="2"/>
  <c r="AD29" i="2"/>
  <c r="Z29" i="2"/>
  <c r="Y29" i="2"/>
  <c r="W29" i="2"/>
  <c r="V29" i="2"/>
  <c r="U29" i="2"/>
  <c r="T29" i="2"/>
  <c r="P29" i="2"/>
  <c r="O29" i="2"/>
  <c r="M29" i="2"/>
  <c r="L29" i="2"/>
  <c r="K29" i="2"/>
  <c r="H29" i="2"/>
  <c r="G29" i="2"/>
  <c r="F29" i="2"/>
  <c r="AD28" i="2"/>
  <c r="Z28" i="2"/>
  <c r="Y28" i="2"/>
  <c r="W28" i="2"/>
  <c r="V28" i="2"/>
  <c r="U28" i="2"/>
  <c r="T28" i="2"/>
  <c r="P28" i="2"/>
  <c r="O28" i="2"/>
  <c r="M28" i="2"/>
  <c r="L28" i="2"/>
  <c r="K28" i="2"/>
  <c r="H28" i="2"/>
  <c r="G28" i="2"/>
  <c r="F28" i="2"/>
  <c r="AD27" i="2"/>
  <c r="Z27" i="2"/>
  <c r="Y27" i="2"/>
  <c r="W27" i="2"/>
  <c r="V27" i="2"/>
  <c r="U27" i="2"/>
  <c r="T27" i="2"/>
  <c r="P27" i="2"/>
  <c r="O27" i="2"/>
  <c r="M27" i="2"/>
  <c r="L27" i="2"/>
  <c r="K27" i="2"/>
  <c r="H27" i="2"/>
  <c r="G27" i="2"/>
  <c r="F27" i="2"/>
  <c r="AD26" i="2"/>
  <c r="Z26" i="2"/>
  <c r="Y26" i="2"/>
  <c r="W26" i="2"/>
  <c r="V26" i="2"/>
  <c r="U26" i="2"/>
  <c r="T26" i="2"/>
  <c r="P26" i="2"/>
  <c r="O26" i="2"/>
  <c r="M26" i="2"/>
  <c r="L26" i="2"/>
  <c r="K26" i="2"/>
  <c r="H26" i="2"/>
  <c r="G26" i="2"/>
  <c r="F26" i="2"/>
  <c r="AD25" i="2"/>
  <c r="Z25" i="2"/>
  <c r="Y25" i="2"/>
  <c r="W25" i="2"/>
  <c r="V25" i="2"/>
  <c r="U25" i="2"/>
  <c r="T25" i="2"/>
  <c r="P25" i="2"/>
  <c r="O25" i="2"/>
  <c r="M25" i="2"/>
  <c r="L25" i="2"/>
  <c r="K25" i="2"/>
  <c r="H25" i="2"/>
  <c r="G25" i="2"/>
  <c r="F25" i="2"/>
  <c r="AD24" i="2"/>
  <c r="Z24" i="2"/>
  <c r="Y24" i="2"/>
  <c r="W24" i="2"/>
  <c r="V24" i="2"/>
  <c r="U24" i="2"/>
  <c r="T24" i="2"/>
  <c r="P24" i="2"/>
  <c r="O24" i="2"/>
  <c r="M24" i="2"/>
  <c r="L24" i="2"/>
  <c r="K24" i="2"/>
  <c r="H24" i="2"/>
  <c r="G24" i="2"/>
  <c r="F24" i="2"/>
  <c r="AD23" i="2"/>
  <c r="Z23" i="2"/>
  <c r="Y23" i="2"/>
  <c r="W23" i="2"/>
  <c r="V23" i="2"/>
  <c r="U23" i="2"/>
  <c r="T23" i="2"/>
  <c r="P23" i="2"/>
  <c r="O23" i="2"/>
  <c r="M23" i="2"/>
  <c r="L23" i="2"/>
  <c r="K23" i="2"/>
  <c r="H23" i="2"/>
  <c r="G23" i="2"/>
  <c r="F23" i="2"/>
  <c r="AD22" i="2"/>
  <c r="Z22" i="2"/>
  <c r="Y22" i="2"/>
  <c r="W22" i="2"/>
  <c r="V22" i="2"/>
  <c r="U22" i="2"/>
  <c r="T22" i="2"/>
  <c r="P22" i="2"/>
  <c r="O22" i="2"/>
  <c r="M22" i="2"/>
  <c r="L22" i="2"/>
  <c r="K22" i="2"/>
  <c r="H22" i="2"/>
  <c r="G22" i="2"/>
  <c r="F22" i="2"/>
  <c r="AD21" i="2"/>
  <c r="Z21" i="2"/>
  <c r="Y21" i="2"/>
  <c r="W21" i="2"/>
  <c r="V21" i="2"/>
  <c r="U21" i="2"/>
  <c r="T21" i="2"/>
  <c r="P21" i="2"/>
  <c r="O21" i="2"/>
  <c r="M21" i="2"/>
  <c r="L21" i="2"/>
  <c r="K21" i="2"/>
  <c r="H21" i="2"/>
  <c r="G21" i="2"/>
  <c r="F21" i="2"/>
  <c r="AD20" i="2"/>
  <c r="Z20" i="2"/>
  <c r="Y20" i="2"/>
  <c r="W20" i="2"/>
  <c r="V20" i="2"/>
  <c r="U20" i="2"/>
  <c r="T20" i="2"/>
  <c r="P20" i="2"/>
  <c r="O20" i="2"/>
  <c r="M20" i="2"/>
  <c r="L20" i="2"/>
  <c r="K20" i="2"/>
  <c r="H20" i="2"/>
  <c r="G20" i="2"/>
  <c r="F20" i="2"/>
  <c r="AD19" i="2"/>
  <c r="Z19" i="2"/>
  <c r="Y19" i="2"/>
  <c r="W19" i="2"/>
  <c r="V19" i="2"/>
  <c r="U19" i="2"/>
  <c r="T19" i="2"/>
  <c r="P19" i="2"/>
  <c r="O19" i="2"/>
  <c r="M19" i="2"/>
  <c r="L19" i="2"/>
  <c r="K19" i="2"/>
  <c r="H19" i="2"/>
  <c r="G19" i="2"/>
  <c r="F19" i="2"/>
  <c r="AD18" i="2"/>
  <c r="Z18" i="2"/>
  <c r="Y18" i="2"/>
  <c r="W18" i="2"/>
  <c r="V18" i="2"/>
  <c r="U18" i="2"/>
  <c r="T18" i="2"/>
  <c r="P18" i="2"/>
  <c r="O18" i="2"/>
  <c r="M18" i="2"/>
  <c r="L18" i="2"/>
  <c r="K18" i="2"/>
  <c r="H18" i="2"/>
  <c r="G18" i="2"/>
  <c r="F18" i="2"/>
  <c r="AD17" i="2"/>
  <c r="Z17" i="2"/>
  <c r="Y17" i="2"/>
  <c r="W17" i="2"/>
  <c r="V17" i="2"/>
  <c r="U17" i="2"/>
  <c r="T17" i="2"/>
  <c r="P17" i="2"/>
  <c r="O17" i="2"/>
  <c r="M17" i="2"/>
  <c r="L17" i="2"/>
  <c r="K17" i="2"/>
  <c r="H17" i="2"/>
  <c r="G17" i="2"/>
  <c r="F17" i="2"/>
  <c r="AD16" i="2"/>
  <c r="Z16" i="2"/>
  <c r="Y16" i="2"/>
  <c r="W16" i="2"/>
  <c r="V16" i="2"/>
  <c r="U16" i="2"/>
  <c r="T16" i="2"/>
  <c r="P16" i="2"/>
  <c r="O16" i="2"/>
  <c r="M16" i="2"/>
  <c r="L16" i="2"/>
  <c r="K16" i="2"/>
  <c r="H16" i="2"/>
  <c r="G16" i="2"/>
  <c r="F16" i="2"/>
  <c r="AD15" i="2"/>
  <c r="Z15" i="2"/>
  <c r="Y15" i="2"/>
  <c r="W15" i="2"/>
  <c r="V15" i="2"/>
  <c r="U15" i="2"/>
  <c r="T15" i="2"/>
  <c r="P15" i="2"/>
  <c r="O15" i="2"/>
  <c r="M15" i="2"/>
  <c r="L15" i="2"/>
  <c r="K15" i="2"/>
  <c r="H15" i="2"/>
  <c r="G15" i="2"/>
  <c r="F15" i="2"/>
  <c r="AD14" i="2"/>
  <c r="Z14" i="2"/>
  <c r="Y14" i="2"/>
  <c r="W14" i="2"/>
  <c r="V14" i="2"/>
  <c r="U14" i="2"/>
  <c r="T14" i="2"/>
  <c r="P14" i="2"/>
  <c r="O14" i="2"/>
  <c r="M14" i="2"/>
  <c r="L14" i="2"/>
  <c r="K14" i="2"/>
  <c r="H14" i="2"/>
  <c r="G14" i="2"/>
  <c r="F14" i="2"/>
  <c r="AD13" i="2"/>
  <c r="Z13" i="2"/>
  <c r="Y13" i="2"/>
  <c r="W13" i="2"/>
  <c r="V13" i="2"/>
  <c r="U13" i="2"/>
  <c r="T13" i="2"/>
  <c r="P13" i="2"/>
  <c r="O13" i="2"/>
  <c r="M13" i="2"/>
  <c r="L13" i="2"/>
  <c r="K13" i="2"/>
  <c r="H13" i="2"/>
  <c r="G13" i="2"/>
  <c r="F13" i="2"/>
  <c r="AD12" i="2"/>
  <c r="Z12" i="2"/>
  <c r="Y12" i="2"/>
  <c r="W12" i="2"/>
  <c r="V12" i="2"/>
  <c r="U12" i="2"/>
  <c r="T12" i="2"/>
  <c r="P12" i="2"/>
  <c r="O12" i="2"/>
  <c r="M12" i="2"/>
  <c r="L12" i="2"/>
  <c r="K12" i="2"/>
  <c r="H12" i="2"/>
  <c r="G12" i="2"/>
  <c r="F12" i="2"/>
  <c r="AD11" i="2"/>
  <c r="Z11" i="2"/>
  <c r="Y11" i="2"/>
  <c r="W11" i="2"/>
  <c r="V11" i="2"/>
  <c r="U11" i="2"/>
  <c r="T11" i="2"/>
  <c r="P11" i="2"/>
  <c r="O11" i="2"/>
  <c r="M11" i="2"/>
  <c r="L11" i="2"/>
  <c r="K11" i="2"/>
  <c r="H11" i="2"/>
  <c r="G11" i="2"/>
  <c r="F11" i="2"/>
  <c r="AD10" i="2"/>
  <c r="Z10" i="2"/>
  <c r="Y10" i="2"/>
  <c r="W10" i="2"/>
  <c r="V10" i="2"/>
  <c r="U10" i="2"/>
  <c r="T10" i="2"/>
  <c r="P10" i="2"/>
  <c r="O10" i="2"/>
  <c r="M10" i="2"/>
  <c r="L10" i="2"/>
  <c r="K10" i="2"/>
  <c r="H10" i="2"/>
  <c r="G10" i="2"/>
  <c r="F10" i="2"/>
  <c r="AD9" i="2"/>
  <c r="Z9" i="2"/>
  <c r="Y9" i="2"/>
  <c r="W9" i="2"/>
  <c r="V9" i="2"/>
  <c r="U9" i="2"/>
  <c r="T9" i="2"/>
  <c r="P9" i="2"/>
  <c r="O9" i="2"/>
  <c r="M9" i="2"/>
  <c r="L9" i="2"/>
  <c r="K9" i="2"/>
  <c r="H9" i="2"/>
  <c r="G9" i="2"/>
  <c r="F9" i="2"/>
  <c r="AD8" i="2"/>
  <c r="Z8" i="2"/>
  <c r="Y8" i="2"/>
  <c r="W8" i="2"/>
  <c r="V8" i="2"/>
  <c r="U8" i="2"/>
  <c r="T8" i="2"/>
  <c r="P8" i="2"/>
  <c r="O8" i="2"/>
  <c r="M8" i="2"/>
  <c r="L8" i="2"/>
  <c r="K8" i="2"/>
  <c r="H8" i="2"/>
  <c r="G8" i="2"/>
  <c r="F8" i="2"/>
  <c r="AD7" i="2"/>
  <c r="Z7" i="2"/>
  <c r="Y7" i="2"/>
  <c r="W7" i="2"/>
  <c r="V7" i="2"/>
  <c r="U7" i="2"/>
  <c r="T7" i="2"/>
  <c r="P7" i="2"/>
  <c r="O7" i="2"/>
  <c r="M7" i="2"/>
  <c r="L7" i="2"/>
  <c r="K7" i="2"/>
  <c r="H7" i="2"/>
  <c r="G7" i="2"/>
  <c r="F7" i="2"/>
  <c r="AD6" i="2"/>
  <c r="Z6" i="2"/>
  <c r="Y6" i="2"/>
  <c r="W6" i="2"/>
  <c r="V6" i="2"/>
  <c r="U6" i="2"/>
  <c r="T6" i="2"/>
  <c r="P6" i="2"/>
  <c r="O6" i="2"/>
  <c r="M6" i="2"/>
  <c r="L6" i="2"/>
  <c r="K6" i="2"/>
  <c r="H6" i="2"/>
  <c r="G6" i="2"/>
  <c r="F6" i="2"/>
  <c r="AD5" i="2"/>
  <c r="Z5" i="2"/>
  <c r="Y5" i="2"/>
  <c r="W5" i="2"/>
  <c r="V5" i="2"/>
  <c r="U5" i="2"/>
  <c r="T5" i="2"/>
  <c r="P5" i="2"/>
  <c r="O5" i="2"/>
  <c r="M5" i="2"/>
  <c r="L5" i="2"/>
  <c r="K5" i="2"/>
  <c r="H5" i="2"/>
  <c r="G5" i="2"/>
  <c r="F5" i="2"/>
  <c r="AD4" i="2"/>
  <c r="Z4" i="2"/>
  <c r="Y4" i="2"/>
  <c r="W4" i="2"/>
  <c r="V4" i="2"/>
  <c r="U4" i="2"/>
  <c r="T4" i="2"/>
  <c r="P4" i="2"/>
  <c r="O4" i="2"/>
  <c r="M4" i="2"/>
  <c r="L4" i="2"/>
  <c r="K4" i="2"/>
  <c r="H4" i="2"/>
  <c r="G4" i="2"/>
  <c r="F4" i="2"/>
  <c r="AD3" i="2"/>
  <c r="Z3" i="2"/>
  <c r="Y3" i="2"/>
  <c r="W3" i="2"/>
  <c r="V3" i="2"/>
  <c r="U3" i="2"/>
  <c r="T3" i="2"/>
  <c r="P3" i="2"/>
  <c r="O3" i="2"/>
  <c r="M3" i="2"/>
  <c r="L3" i="2"/>
  <c r="K3" i="2"/>
  <c r="H3" i="2"/>
  <c r="G3" i="2"/>
  <c r="F3" i="2"/>
  <c r="AD2" i="2"/>
  <c r="Z2" i="2"/>
  <c r="Y2" i="2"/>
  <c r="W2" i="2"/>
  <c r="V2" i="2"/>
  <c r="U2" i="2"/>
  <c r="T2" i="2"/>
  <c r="P2" i="2"/>
  <c r="O2" i="2"/>
  <c r="M2" i="2"/>
  <c r="L2" i="2"/>
  <c r="K2" i="2"/>
  <c r="H2" i="2"/>
  <c r="G2" i="2"/>
  <c r="F2" i="2"/>
</calcChain>
</file>

<file path=xl/sharedStrings.xml><?xml version="1.0" encoding="utf-8"?>
<sst xmlns="http://schemas.openxmlformats.org/spreadsheetml/2006/main" count="393" uniqueCount="242">
  <si>
    <t>CHROM</t>
  </si>
  <si>
    <t>POS</t>
  </si>
  <si>
    <t>REF</t>
  </si>
  <si>
    <t>ALT</t>
  </si>
  <si>
    <t>Func</t>
  </si>
  <si>
    <t>T:FUPMS</t>
  </si>
  <si>
    <t>Variant</t>
  </si>
  <si>
    <t>TranscriptID</t>
  </si>
  <si>
    <t>Classification</t>
  </si>
  <si>
    <t>T:COV</t>
  </si>
  <si>
    <t>T:MAF</t>
  </si>
  <si>
    <t>T:LogR</t>
  </si>
  <si>
    <t>N:FHP</t>
  </si>
  <si>
    <t>N:COV</t>
  </si>
  <si>
    <t>N:MAF</t>
  </si>
  <si>
    <t>N:LogR</t>
  </si>
  <si>
    <t>GeneDetail</t>
  </si>
  <si>
    <t>ExonicFunc</t>
  </si>
  <si>
    <t>AAChange</t>
  </si>
  <si>
    <t>ExAC</t>
  </si>
  <si>
    <t>gnomADexome</t>
  </si>
  <si>
    <t>esp6500si</t>
  </si>
  <si>
    <t>1000g2015aug</t>
  </si>
  <si>
    <t>snp150</t>
  </si>
  <si>
    <t>ucsf500normT</t>
  </si>
  <si>
    <t>ucsf500normN</t>
  </si>
  <si>
    <t>cosmic87</t>
  </si>
  <si>
    <t>cbioportal2018nov</t>
  </si>
  <si>
    <t>clinvar</t>
  </si>
  <si>
    <t>CADD</t>
  </si>
  <si>
    <t>1 mutations/Mb</t>
  </si>
  <si>
    <t>chr2</t>
  </si>
  <si>
    <t>209113112</t>
  </si>
  <si>
    <t>C</t>
  </si>
  <si>
    <t>T</t>
  </si>
  <si>
    <t>exonic</t>
  </si>
  <si>
    <t>709</t>
  </si>
  <si>
    <t>540</t>
  </si>
  <si>
    <t>nonsynonymous SNV</t>
  </si>
  <si>
    <t>IDH1:NM_001282386:exon4:c.395G&gt;A:p.R132H,IDH1:NM_001282387:exon4:c.395G&gt;A:p.R132H,IDH1:NM_005896:exon4:c.395G&gt;A:p.R132H</t>
  </si>
  <si>
    <t>rs121913500</t>
  </si>
  <si>
    <t>ID=COSM28746;OCCURRENCE=41(bone),4430(central_nervous_system),365(haematopoietic_and_lymphoid_tissue),1(kidney),1(lung),2(pancreas),8(prostate),1(salivary_gland),1(skin),1(stomach),1(upper_aerodigestive_tract),1(urinary_tract)</t>
  </si>
  <si>
    <t>638:IDH1:R132H(638)</t>
  </si>
  <si>
    <t>CLINSIG=Pathogenic/Likely_pathogenic;CLNDN=Medulloblastoma|Acute_myeloid_leukemia|Transitional_cell_carcinoma_of_the_bladder|Multiple_myeloma|Astrocytoma|Brainstem_glioma|Lung_adenocarcinoma|Neoplasm_of_brain|Neoplasm_of_the_breast|Glioblastoma|Malignant_melanoma_of_skin|Adenoid_cystic_carcinoma|Myelodysplastic_syndrome|Oligodendroglioma|Colorectal_Neoplasms|Adenocarcinoma_of_prostate|Hepatocellular_carcinoma|Glioblastoma_multiforme,_somatic;CLNREVSTAT=no_assertion_criteria_provided;CLNDISDB=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0009592,MeSH:D001254,MedGen:C0004114,Orphanet:ORPHA94,SNOMED_CT:38713004|Human_Phenotype_Ontology:HP:0010796,MedGen:C0677865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0100843,MeSH:D005909,MedGen:C0017636,SNOMED_CT:63634009|MeSH:C562393,MedGen:C0151779,SNOMED_CT:93655004|MeSH:D003528,MedGen:C0010606|MeSH:D009190,MedGen:C3463824,OMIM:614286,Orphanet:ORPHA52688|MeSH:D009837,MedGen:C0028945,SNOMED_CT:443936004|MeSH:D015179,MedGen:CN236642|MedGen:C0007112|MedGen:C2239176,OMIM:114550,Orphanet:ORPHA88673,SNOMED_CT:187769009,SNOMED_CT:25370001|MedGen:C4016231;CLNALLELEID=166215</t>
  </si>
  <si>
    <t>chr16</t>
  </si>
  <si>
    <t>9057131</t>
  </si>
  <si>
    <t>G</t>
  </si>
  <si>
    <t>8</t>
  </si>
  <si>
    <t>10</t>
  </si>
  <si>
    <t>USP7:NM_003470:exon1:c.12G&gt;C:p.Q4H</t>
  </si>
  <si>
    <t>rs750093857</t>
  </si>
  <si>
    <t>ID=COSM1380634;OCCURRENCE=1(prostate),2(thyroid)</t>
  </si>
  <si>
    <t>12:USP7:Q4H(12)</t>
  </si>
  <si>
    <t>chr17</t>
  </si>
  <si>
    <t>41372116</t>
  </si>
  <si>
    <t>TT</t>
  </si>
  <si>
    <t>downstream</t>
  </si>
  <si>
    <t>68</t>
  </si>
  <si>
    <t>103</t>
  </si>
  <si>
    <t>dist=59</t>
  </si>
  <si>
    <t>chr6</t>
  </si>
  <si>
    <t>157099165</t>
  </si>
  <si>
    <t>GTCC</t>
  </si>
  <si>
    <t>42</t>
  </si>
  <si>
    <t>46</t>
  </si>
  <si>
    <t>nonframeshift deletion</t>
  </si>
  <si>
    <t>ARID1B:NM_001346813:exon1:c.103_105del:p.35_35del,ARID1B:NM_017519:exon1:c.103_105del:p.35_35del,ARID1B:NM_020732:exon1:c.103_105del:p.35_35del</t>
  </si>
  <si>
    <t>rs797045269</t>
  </si>
  <si>
    <t>CLINSIG=Uncertain_significance;CLNDN=not_specified;CLNREVSTAT=criteria_provided,_single_submitter;CLNDISDB=MedGen:CN169374;CLNALLELEID=207341</t>
  </si>
  <si>
    <t>chrX</t>
  </si>
  <si>
    <t>66765158</t>
  </si>
  <si>
    <t>TGCAGCA</t>
  </si>
  <si>
    <t>36</t>
  </si>
  <si>
    <t>67</t>
  </si>
  <si>
    <t>AR:NM_000044:exon1:c.171_176del:p.57_59del,AR:NM_001348061:exon1:c.171_176del:p.57_59del,AR:NM_001348063:exon1:c.171_176del:p.57_59del,AR:NM_001348064:exon1:c.171_176del:p.57_59del</t>
  </si>
  <si>
    <t>rs772149730</t>
  </si>
  <si>
    <t>ID=COSM1723851;OCCURRENCE=1(autonomic_ganglia),1(large_intestine),1(prostate),1(skin),2(upper_aerodigestive_tract)</t>
  </si>
  <si>
    <t>2:AR:Q79_Q80del(2)</t>
  </si>
  <si>
    <t>38512369</t>
  </si>
  <si>
    <t>38</t>
  </si>
  <si>
    <t>99</t>
  </si>
  <si>
    <t>RARA:NM_001145302:exon7:c.989C&gt;G:p.P330R,RARA:NM_001024809:exon8:c.1265C&gt;G:p.P422R,RARA:NM_000964:exon9:c.1280C&gt;G:p.P427R,RARA:NM_001145301:exon9:c.1280C&gt;G:p.P427R</t>
  </si>
  <si>
    <t>chr3</t>
  </si>
  <si>
    <t>47205502</t>
  </si>
  <si>
    <t>CGCGGCGGCGGCG</t>
  </si>
  <si>
    <t>upstream</t>
  </si>
  <si>
    <t>16</t>
  </si>
  <si>
    <t>53</t>
  </si>
  <si>
    <t>dist=346</t>
  </si>
  <si>
    <t>190670539</t>
  </si>
  <si>
    <t>TA</t>
  </si>
  <si>
    <t>722</t>
  </si>
  <si>
    <t>564</t>
  </si>
  <si>
    <t>frameshift insertion</t>
  </si>
  <si>
    <t>PMS1:NM_001321049:exon4:c.478dupA:p.F159fs</t>
  </si>
  <si>
    <t>rs3214425</t>
  </si>
  <si>
    <t>ID=COSN15647579,COSN15647580,COSN15647581,COSN15647574,COSN15647578,COSN15647577,COSN15647575,COSN15647576;OCCURRENCE=8(upper_aerodigestive_tract)</t>
  </si>
  <si>
    <t>chr19</t>
  </si>
  <si>
    <t>2164106</t>
  </si>
  <si>
    <t>3</t>
  </si>
  <si>
    <t>37</t>
  </si>
  <si>
    <t>dist=42</t>
  </si>
  <si>
    <t>rs1044257100</t>
  </si>
  <si>
    <t>chr9</t>
  </si>
  <si>
    <t>2039776</t>
  </si>
  <si>
    <t>ACAG</t>
  </si>
  <si>
    <t>A</t>
  </si>
  <si>
    <t>111</t>
  </si>
  <si>
    <t>129</t>
  </si>
  <si>
    <t>SMARCA2:NM_001289396:exon4:c.667_669del:p.223_223del,SMARCA2:NM_001289397:exon4:c.667_669del:p.223_223del,SMARCA2:NM_003070:exon4:c.667_669del:p.223_223del,SMARCA2:NM_139045:exon4:c.667_669del:p.223_223del</t>
  </si>
  <si>
    <t>rs113070757</t>
  </si>
  <si>
    <t>ID=COSM2156556,COSM2156557;OCCURRENCE=4(NS),1(central_nervous_system),2(large_intestine),1(liver),2(lung),2(skin),1(thyroid),1(upper_aerodigestive_tract)</t>
  </si>
  <si>
    <t>22:SMARCA2:Q238del(21),MUTATED(1)</t>
  </si>
  <si>
    <t>CLINSIG=Benign;CLNDN=Nicolaides-Baraitser_syndrome|not_specified;CLNREVSTAT=criteria_provided,_single_submitter;CLNDISDB=MedGen:C1303073,OMIM:601358,Orphanet:ORPHA3051,SNOMED_CT:401046009|MedGen:CN169374;CLNALLELEID=131885</t>
  </si>
  <si>
    <t>CTT</t>
  </si>
  <si>
    <t>117001810</t>
  </si>
  <si>
    <t>172</t>
  </si>
  <si>
    <t>228</t>
  </si>
  <si>
    <t>dist=557</t>
  </si>
  <si>
    <t>rs1742332</t>
  </si>
  <si>
    <t>ID=COSN29122039;OCCURRENCE=1(skin)</t>
  </si>
  <si>
    <t>54201810</t>
  </si>
  <si>
    <t>GTT</t>
  </si>
  <si>
    <t>118</t>
  </si>
  <si>
    <t>163</t>
  </si>
  <si>
    <t>dist=85</t>
  </si>
  <si>
    <t>2121839</t>
  </si>
  <si>
    <t>AGGG</t>
  </si>
  <si>
    <t>GGGC</t>
  </si>
  <si>
    <t>152</t>
  </si>
  <si>
    <t>nonframeshift substitution</t>
  </si>
  <si>
    <t>TSC2:NM_001318831:exon16:c.1401_1404GGGC,TSC2:NM_001318827:exon18:c.1890_1893GGGC,TSC2:NM_001318829:exon18:c.1854_1857GGGC,TSC2:NM_000548:exon19:c.2001_2004GGGC,TSC2:NM_001077183:exon19:c.2001_2004GGGC,TSC2:NM_001114382:exon19:c.2001_2004GGGC,TSC2:NM_001318832:exon19:c.2034_2037GGGC</t>
  </si>
  <si>
    <t>2164113</t>
  </si>
  <si>
    <t>TCCG</t>
  </si>
  <si>
    <t>CCCC</t>
  </si>
  <si>
    <t>2</t>
  </si>
  <si>
    <t>41</t>
  </si>
  <si>
    <t>dist=32</t>
  </si>
  <si>
    <t>chr5</t>
  </si>
  <si>
    <t>110407273</t>
  </si>
  <si>
    <t>CT</t>
  </si>
  <si>
    <t>361</t>
  </si>
  <si>
    <t>281</t>
  </si>
  <si>
    <t>dist=117</t>
  </si>
  <si>
    <t>rs370540031</t>
  </si>
  <si>
    <t>79950708</t>
  </si>
  <si>
    <t>TGCAGCGGCCG</t>
  </si>
  <si>
    <t>CGCAGCGCCCC</t>
  </si>
  <si>
    <t>70</t>
  </si>
  <si>
    <t>90</t>
  </si>
  <si>
    <t>MSH3:NM_002439:exon1:c.162_172CGCAGCGCCCC</t>
  </si>
  <si>
    <t>10614332</t>
  </si>
  <si>
    <t>TCTTTCTTTCTTTC</t>
  </si>
  <si>
    <t>CTTTCTTTCTT</t>
  </si>
  <si>
    <t>13</t>
  </si>
  <si>
    <t>50</t>
  </si>
  <si>
    <t>dist=278</t>
  </si>
  <si>
    <t>2164102</t>
  </si>
  <si>
    <t>GCCCG</t>
  </si>
  <si>
    <t>CCCCC</t>
  </si>
  <si>
    <t>frameshift deletion</t>
  </si>
  <si>
    <t>PMS1:NM_001321049:exon4:c.478delA:p.K160fs</t>
  </si>
  <si>
    <t>rs777195467</t>
  </si>
  <si>
    <t>ID=COSN27264530;OCCURRENCE=1(biliary_tract)</t>
  </si>
  <si>
    <t>10614345</t>
  </si>
  <si>
    <t>dist=291</t>
  </si>
  <si>
    <t>61726050</t>
  </si>
  <si>
    <t>splicing</t>
  </si>
  <si>
    <t>161</t>
  </si>
  <si>
    <t>NM_003400:exon8:c.591-2-&gt;T</t>
  </si>
  <si>
    <t>ID=COSM1615013;OCCURRENCE=2(biliary_tract),1(liver)</t>
  </si>
  <si>
    <t>chr1</t>
  </si>
  <si>
    <t>78435701</t>
  </si>
  <si>
    <t>209</t>
  </si>
  <si>
    <t>166</t>
  </si>
  <si>
    <t>NM_003902:exon2:c.121-2-&gt;T;NM_001303433:exon2:c.121-2-&gt;T</t>
  </si>
  <si>
    <t>rs752631352</t>
  </si>
  <si>
    <t>dist=46</t>
  </si>
  <si>
    <t>rs947170060</t>
  </si>
  <si>
    <t>192011485</t>
  </si>
  <si>
    <t>422</t>
  </si>
  <si>
    <t>333</t>
  </si>
  <si>
    <t>NM_003151:exon3:c.129-2-&gt;T;NM_001243835:exon3:c.129-2-&gt;T</t>
  </si>
  <si>
    <t>rs778032891</t>
  </si>
  <si>
    <t>ID=COSM4425759;OCCURRENCE=1(breast),1(large_intestine),1(oesophagus)</t>
  </si>
  <si>
    <t>GT</t>
  </si>
  <si>
    <t>dist=86</t>
  </si>
  <si>
    <t>rs879188576</t>
  </si>
  <si>
    <t>2164116</t>
  </si>
  <si>
    <t>66765161</t>
  </si>
  <si>
    <t>AR:NM_000044:exon1:c.173A&gt;T:p.Q58L,AR:NM_001348061:exon1:c.173A&gt;T:p.Q58L,AR:NM_001348063:exon1:c.173A&gt;T:p.Q58L,AR:NM_001348064:exon1:c.173A&gt;T:p.Q58L</t>
  </si>
  <si>
    <t>rs200185441</t>
  </si>
  <si>
    <t>ID=COSM376477;OCCURRENCE=1(autonomic_ganglia),1(biliary_tract),3(endometrium),1(haematopoietic_and_lymphoid_tissue),3(kidney),25(large_intestine),4(liver),6(lung),1(oesophagus),1(prostate),3(stomach),4(thyroid),2(upper_aerodigestive_tract),1(urinary_tract)</t>
  </si>
  <si>
    <t>40:AR:Q58L(40)</t>
  </si>
  <si>
    <t>CLINSIG=Uncertain_significance;CLNDN=not_specified;CLNREVSTAT=criteria_provided,_single_submitter;CLNDISDB=MedGen:CN169374;CLNALLELEID=390492</t>
  </si>
  <si>
    <t>chr10</t>
  </si>
  <si>
    <t>89720653</t>
  </si>
  <si>
    <t>143</t>
  </si>
  <si>
    <t>PTEN:NM_000314:exon8:c.804C&gt;A:p.D268E,PTEN:NM_001304718:exon8:c.213C&gt;A:p.D71E,PTEN:NM_001304717:exon9:c.1323C&gt;A:p.D441E</t>
  </si>
  <si>
    <t>rs398123328</t>
  </si>
  <si>
    <t>ID=COSM6194136;OCCURRENCE=1(breast),2(thyroid)</t>
  </si>
  <si>
    <t>chr18</t>
  </si>
  <si>
    <t>42456664</t>
  </si>
  <si>
    <t>TTCTC</t>
  </si>
  <si>
    <t>297</t>
  </si>
  <si>
    <t>327</t>
  </si>
  <si>
    <t>SETBP1:NM_001130110:exon4:c.675_676insTCTC:p.G225fs</t>
  </si>
  <si>
    <t>141625834</t>
  </si>
  <si>
    <t>97</t>
  </si>
  <si>
    <t>NM_018557:exon26:c.4170-2-&gt;T</t>
  </si>
  <si>
    <t>rs758437148</t>
  </si>
  <si>
    <t>16097825</t>
  </si>
  <si>
    <t>712</t>
  </si>
  <si>
    <t>.</t>
  </si>
  <si>
    <t>NCOR1:NM_001190438:exon1:c.59A&gt;C:p.Y20S,NCOR1:NM_001190440:exon1:c.59A&gt;C:p.Y20S,NCOR1:NM_006311:exon2:c.59A&gt;C:p.Y20S</t>
  </si>
  <si>
    <t>rs73281920</t>
  </si>
  <si>
    <t>ID=COSM4592175,COSM5427043,COSM3733522;OCCURRENCE=5(breast),4(central_nervous_system),2(haematopoietic_and_lymphoid_tissue),1(kidney),1(large_intestine),2(pancreas),3(thyroid),13(upper_aerodigestive_tract)</t>
  </si>
  <si>
    <t>13:NCOR1:Y20S(13)</t>
  </si>
  <si>
    <t>72991712</t>
  </si>
  <si>
    <t>GCCA</t>
  </si>
  <si>
    <t>386</t>
  </si>
  <si>
    <t>ZFHX3:NM_006885:exon2:c.2330_2332del:p.777_778del</t>
  </si>
  <si>
    <t>rs768134461</t>
  </si>
  <si>
    <t>ID=COSM1724858;OCCURRENCE=3(large_intestine),1(pancreas),1(skin)</t>
  </si>
  <si>
    <t>5:ZFHX3:V777del(5)</t>
  </si>
  <si>
    <t>16262471</t>
  </si>
  <si>
    <t>110</t>
  </si>
  <si>
    <t>SPEN:NM_015001:exon11:c.9736A&gt;C:p.T3246P</t>
  </si>
  <si>
    <t>rs769360962</t>
  </si>
  <si>
    <t>ID=COSM4142939;OCCURRENCE=4(thyroid)</t>
  </si>
  <si>
    <t>3:SPEN:T3246P(3)</t>
  </si>
  <si>
    <t>CLINSIG=Benign;CLNDN=not_specified;CLNREVSTAT=criteria_provided,_single_submitter;CLNDISDB=MedGen:CN169374;CLNALLELEID=389329</t>
  </si>
  <si>
    <t>chr13</t>
  </si>
  <si>
    <t>29068943</t>
  </si>
  <si>
    <t>17</t>
  </si>
  <si>
    <t>FLT1:NM_001159920:exon1:c.38C&gt;A:p.A13E,FLT1:NM_001160030:exon1:c.38C&gt;A:p.A13E,FLT1:NM_001160031:exon1:c.38C&gt;A:p.A13E,FLT1:NM_002019:exon1:c.38C&gt;A:p.A13E</t>
  </si>
  <si>
    <t>96810823</t>
  </si>
  <si>
    <t>DUSP2:NM_004418:exon1:c.271C&gt;A:p.L91M</t>
  </si>
  <si>
    <t>2164098</t>
  </si>
  <si>
    <t>6</t>
  </si>
  <si>
    <t>dist=50</t>
  </si>
  <si>
    <t>rs914671144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</si>
</sst>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8"/>
  <sheetViews>
    <sheetView tabSelected="1" workbookViewId="0"/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tr">
        <f>"01010"</f>
        <v>01010</v>
      </c>
      <c r="G2" t="str">
        <f>"IDH1 p.R132H"</f>
        <v>IDH1 p.R132H</v>
      </c>
      <c r="H2" t="str">
        <f>"NM_001282387"</f>
        <v>NM_001282387</v>
      </c>
      <c r="J2" t="s">
        <v>36</v>
      </c>
      <c r="K2" t="str">
        <f>"8%"</f>
        <v>8%</v>
      </c>
      <c r="L2" t="str">
        <f>"0.03"</f>
        <v>0.03</v>
      </c>
      <c r="M2" t="str">
        <f>"000"</f>
        <v>000</v>
      </c>
      <c r="N2" t="s">
        <v>37</v>
      </c>
      <c r="O2" t="str">
        <f>"0%"</f>
        <v>0%</v>
      </c>
      <c r="P2" t="str">
        <f>"-0.02"</f>
        <v>-0.02</v>
      </c>
      <c r="R2" t="s">
        <v>38</v>
      </c>
      <c r="S2" t="s">
        <v>39</v>
      </c>
      <c r="T2" t="str">
        <f>"0.0016%"</f>
        <v>0.0016%</v>
      </c>
      <c r="U2" t="str">
        <f>"0.0000%"</f>
        <v>0.0000%</v>
      </c>
      <c r="V2" t="str">
        <f>""</f>
        <v/>
      </c>
      <c r="W2" t="str">
        <f>""</f>
        <v/>
      </c>
      <c r="X2" t="s">
        <v>40</v>
      </c>
      <c r="Y2" t="str">
        <f>""</f>
        <v/>
      </c>
      <c r="Z2" t="str">
        <f>""</f>
        <v/>
      </c>
      <c r="AA2" t="s">
        <v>41</v>
      </c>
      <c r="AB2" t="s">
        <v>42</v>
      </c>
      <c r="AC2" t="s">
        <v>43</v>
      </c>
      <c r="AD2" t="str">
        <f>"25.6"</f>
        <v>25.6</v>
      </c>
    </row>
    <row r="3" spans="1:31" x14ac:dyDescent="0.3">
      <c r="A3" t="s">
        <v>44</v>
      </c>
      <c r="B3" t="s">
        <v>45</v>
      </c>
      <c r="C3" t="s">
        <v>33</v>
      </c>
      <c r="D3" t="s">
        <v>46</v>
      </c>
      <c r="E3" t="s">
        <v>35</v>
      </c>
      <c r="F3" t="str">
        <f>"11000"</f>
        <v>11000</v>
      </c>
      <c r="G3" t="str">
        <f>"USP7 p.Q4H"</f>
        <v>USP7 p.Q4H</v>
      </c>
      <c r="H3" t="str">
        <f>"NM_003470"</f>
        <v>NM_003470</v>
      </c>
      <c r="J3" t="s">
        <v>47</v>
      </c>
      <c r="K3" t="str">
        <f>"25%"</f>
        <v>25%</v>
      </c>
      <c r="L3" t="str">
        <f>"0.10"</f>
        <v>0.10</v>
      </c>
      <c r="M3" t="str">
        <f>"000"</f>
        <v>000</v>
      </c>
      <c r="N3" t="s">
        <v>48</v>
      </c>
      <c r="O3" t="str">
        <f>"0%"</f>
        <v>0%</v>
      </c>
      <c r="P3" t="str">
        <f>"0.04"</f>
        <v>0.04</v>
      </c>
      <c r="R3" t="s">
        <v>38</v>
      </c>
      <c r="S3" t="s">
        <v>49</v>
      </c>
      <c r="T3" t="str">
        <f>"0.3900%"</f>
        <v>0.3900%</v>
      </c>
      <c r="U3" t="str">
        <f>"0.0900%"</f>
        <v>0.0900%</v>
      </c>
      <c r="V3" t="str">
        <f>""</f>
        <v/>
      </c>
      <c r="W3" t="str">
        <f>""</f>
        <v/>
      </c>
      <c r="X3" t="s">
        <v>50</v>
      </c>
      <c r="Y3" t="str">
        <f>"1.4750%"</f>
        <v>1.4750%</v>
      </c>
      <c r="Z3" t="str">
        <f>"0.1910%"</f>
        <v>0.1910%</v>
      </c>
      <c r="AA3" t="s">
        <v>51</v>
      </c>
      <c r="AB3" t="s">
        <v>52</v>
      </c>
      <c r="AD3" t="str">
        <f>"10.30"</f>
        <v>10.30</v>
      </c>
    </row>
    <row r="4" spans="1:31" x14ac:dyDescent="0.3">
      <c r="A4" t="s">
        <v>53</v>
      </c>
      <c r="B4" t="s">
        <v>54</v>
      </c>
      <c r="C4" t="s">
        <v>33</v>
      </c>
      <c r="D4" t="s">
        <v>55</v>
      </c>
      <c r="E4" t="s">
        <v>56</v>
      </c>
      <c r="F4" t="str">
        <f>"10000"</f>
        <v>10000</v>
      </c>
      <c r="G4" t="str">
        <f>"TMEM106A"</f>
        <v>TMEM106A</v>
      </c>
      <c r="H4" t="str">
        <f>""</f>
        <v/>
      </c>
      <c r="J4" t="s">
        <v>57</v>
      </c>
      <c r="K4" t="str">
        <f>"6%"</f>
        <v>6%</v>
      </c>
      <c r="L4" t="str">
        <f>"0.02"</f>
        <v>0.02</v>
      </c>
      <c r="M4" t="str">
        <f>"100"</f>
        <v>100</v>
      </c>
      <c r="N4" t="s">
        <v>58</v>
      </c>
      <c r="O4" t="str">
        <f>"0%"</f>
        <v>0%</v>
      </c>
      <c r="P4" t="str">
        <f>"0.08"</f>
        <v>0.08</v>
      </c>
      <c r="Q4" t="s">
        <v>59</v>
      </c>
      <c r="T4" t="str">
        <f>""</f>
        <v/>
      </c>
      <c r="U4" t="str">
        <f>""</f>
        <v/>
      </c>
      <c r="V4" t="str">
        <f>""</f>
        <v/>
      </c>
      <c r="W4" t="str">
        <f>""</f>
        <v/>
      </c>
      <c r="Y4" t="str">
        <f>"5.0250%"</f>
        <v>5.0250%</v>
      </c>
      <c r="Z4" t="str">
        <f>""</f>
        <v/>
      </c>
      <c r="AD4" t="str">
        <f>""</f>
        <v/>
      </c>
    </row>
    <row r="5" spans="1:31" x14ac:dyDescent="0.3">
      <c r="A5" t="s">
        <v>60</v>
      </c>
      <c r="B5" t="s">
        <v>61</v>
      </c>
      <c r="C5" t="s">
        <v>62</v>
      </c>
      <c r="D5" t="s">
        <v>46</v>
      </c>
      <c r="E5" t="s">
        <v>35</v>
      </c>
      <c r="F5" t="str">
        <f>"10000"</f>
        <v>10000</v>
      </c>
      <c r="G5" t="str">
        <f>"ARID1B"</f>
        <v>ARID1B</v>
      </c>
      <c r="H5" t="str">
        <f>""</f>
        <v/>
      </c>
      <c r="J5" t="s">
        <v>63</v>
      </c>
      <c r="K5" t="str">
        <f>"17%"</f>
        <v>17%</v>
      </c>
      <c r="L5" t="str">
        <f>"0.04"</f>
        <v>0.04</v>
      </c>
      <c r="M5" t="str">
        <f>"000"</f>
        <v>000</v>
      </c>
      <c r="N5" t="s">
        <v>64</v>
      </c>
      <c r="O5" t="str">
        <f>"2%"</f>
        <v>2%</v>
      </c>
      <c r="P5" t="str">
        <f>"-0.30"</f>
        <v>-0.30</v>
      </c>
      <c r="R5" t="s">
        <v>65</v>
      </c>
      <c r="S5" t="s">
        <v>66</v>
      </c>
      <c r="T5" t="str">
        <f>"4.5800%"</f>
        <v>4.5800%</v>
      </c>
      <c r="U5" t="str">
        <f>"0.2900%"</f>
        <v>0.2900%</v>
      </c>
      <c r="V5" t="str">
        <f>""</f>
        <v/>
      </c>
      <c r="W5" t="str">
        <f>""</f>
        <v/>
      </c>
      <c r="X5" t="s">
        <v>67</v>
      </c>
      <c r="Y5" t="str">
        <f>"1.7200%"</f>
        <v>1.7200%</v>
      </c>
      <c r="Z5" t="str">
        <f>"4.6700%"</f>
        <v>4.6700%</v>
      </c>
      <c r="AC5" t="s">
        <v>68</v>
      </c>
      <c r="AD5" t="str">
        <f>""</f>
        <v/>
      </c>
    </row>
    <row r="6" spans="1:31" x14ac:dyDescent="0.3">
      <c r="A6" t="s">
        <v>69</v>
      </c>
      <c r="B6" t="s">
        <v>70</v>
      </c>
      <c r="C6" t="s">
        <v>71</v>
      </c>
      <c r="D6" t="s">
        <v>34</v>
      </c>
      <c r="E6" t="s">
        <v>35</v>
      </c>
      <c r="F6" t="str">
        <f>"00000"</f>
        <v>00000</v>
      </c>
      <c r="G6" t="str">
        <f>"AR p.57_59del"</f>
        <v>AR p.57_59del</v>
      </c>
      <c r="H6" t="str">
        <f>"NM_000044"</f>
        <v>NM_000044</v>
      </c>
      <c r="J6" t="s">
        <v>72</v>
      </c>
      <c r="K6" t="str">
        <f>"11%"</f>
        <v>11%</v>
      </c>
      <c r="L6" t="str">
        <f>"0.87"</f>
        <v>0.87</v>
      </c>
      <c r="M6" t="str">
        <f>"000"</f>
        <v>000</v>
      </c>
      <c r="N6" t="s">
        <v>73</v>
      </c>
      <c r="O6" t="str">
        <f>"4%"</f>
        <v>4%</v>
      </c>
      <c r="P6" t="str">
        <f>"0.92"</f>
        <v>0.92</v>
      </c>
      <c r="R6" t="s">
        <v>65</v>
      </c>
      <c r="S6" t="s">
        <v>74</v>
      </c>
      <c r="T6" t="str">
        <f>"0.7300%"</f>
        <v>0.7300%</v>
      </c>
      <c r="U6" t="str">
        <f>""</f>
        <v/>
      </c>
      <c r="V6" t="str">
        <f>"3.6100%"</f>
        <v>3.6100%</v>
      </c>
      <c r="W6" t="str">
        <f>""</f>
        <v/>
      </c>
      <c r="X6" t="s">
        <v>75</v>
      </c>
      <c r="Y6" t="str">
        <f>"13.5590%"</f>
        <v>13.5590%</v>
      </c>
      <c r="Z6" t="str">
        <f>"12.9370%"</f>
        <v>12.9370%</v>
      </c>
      <c r="AA6" t="s">
        <v>76</v>
      </c>
      <c r="AB6" t="s">
        <v>77</v>
      </c>
      <c r="AD6" t="str">
        <f>""</f>
        <v/>
      </c>
    </row>
    <row r="7" spans="1:31" x14ac:dyDescent="0.3">
      <c r="A7" t="s">
        <v>53</v>
      </c>
      <c r="B7" t="s">
        <v>78</v>
      </c>
      <c r="C7" t="s">
        <v>33</v>
      </c>
      <c r="D7" t="s">
        <v>46</v>
      </c>
      <c r="E7" t="s">
        <v>35</v>
      </c>
      <c r="F7" t="str">
        <f>"10000"</f>
        <v>10000</v>
      </c>
      <c r="G7" t="str">
        <f>"RARA p.P427R"</f>
        <v>RARA p.P427R</v>
      </c>
      <c r="H7" t="str">
        <f>"NM_001145301"</f>
        <v>NM_001145301</v>
      </c>
      <c r="J7" t="s">
        <v>79</v>
      </c>
      <c r="K7" t="str">
        <f>"5%"</f>
        <v>5%</v>
      </c>
      <c r="L7" t="str">
        <f>"0.02"</f>
        <v>0.02</v>
      </c>
      <c r="M7" t="str">
        <f>"000"</f>
        <v>000</v>
      </c>
      <c r="N7" t="s">
        <v>80</v>
      </c>
      <c r="O7" t="str">
        <f>"4%"</f>
        <v>4%</v>
      </c>
      <c r="P7" t="str">
        <f>"0.08"</f>
        <v>0.08</v>
      </c>
      <c r="R7" t="s">
        <v>38</v>
      </c>
      <c r="S7" t="s">
        <v>81</v>
      </c>
      <c r="T7" t="str">
        <f>""</f>
        <v/>
      </c>
      <c r="U7" t="str">
        <f>"0.0000%"</f>
        <v>0.0000%</v>
      </c>
      <c r="V7" t="str">
        <f>""</f>
        <v/>
      </c>
      <c r="W7" t="str">
        <f>""</f>
        <v/>
      </c>
      <c r="Y7" t="str">
        <f>"0.0270%"</f>
        <v>0.0270%</v>
      </c>
      <c r="Z7" t="str">
        <f>""</f>
        <v/>
      </c>
      <c r="AD7" t="str">
        <f>"11.50"</f>
        <v>11.50</v>
      </c>
    </row>
    <row r="8" spans="1:31" x14ac:dyDescent="0.3">
      <c r="A8" t="s">
        <v>82</v>
      </c>
      <c r="B8" t="s">
        <v>83</v>
      </c>
      <c r="C8" t="s">
        <v>84</v>
      </c>
      <c r="D8" t="s">
        <v>33</v>
      </c>
      <c r="E8" t="s">
        <v>85</v>
      </c>
      <c r="F8" t="str">
        <f>"00000"</f>
        <v>00000</v>
      </c>
      <c r="G8" t="str">
        <f>"KIF9-AS1;SETD2"</f>
        <v>KIF9-AS1;SETD2</v>
      </c>
      <c r="H8" t="str">
        <f>""</f>
        <v/>
      </c>
      <c r="J8" t="s">
        <v>86</v>
      </c>
      <c r="K8" t="str">
        <f>"6%"</f>
        <v>6%</v>
      </c>
      <c r="L8" t="str">
        <f>"0.08"</f>
        <v>0.08</v>
      </c>
      <c r="M8" t="str">
        <f>"000"</f>
        <v>000</v>
      </c>
      <c r="N8" t="s">
        <v>87</v>
      </c>
      <c r="O8" t="str">
        <f>"4%"</f>
        <v>4%</v>
      </c>
      <c r="P8" t="str">
        <f>"0.01"</f>
        <v>0.01</v>
      </c>
      <c r="Q8" t="s">
        <v>88</v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Y8" t="str">
        <f>"1.3650%"</f>
        <v>1.3650%</v>
      </c>
      <c r="Z8" t="str">
        <f>"0.2730%"</f>
        <v>0.2730%</v>
      </c>
      <c r="AD8" t="str">
        <f>""</f>
        <v/>
      </c>
    </row>
    <row r="9" spans="1:31" x14ac:dyDescent="0.3">
      <c r="A9" t="s">
        <v>31</v>
      </c>
      <c r="B9" t="s">
        <v>89</v>
      </c>
      <c r="C9" t="s">
        <v>34</v>
      </c>
      <c r="D9" t="s">
        <v>90</v>
      </c>
      <c r="E9" t="s">
        <v>35</v>
      </c>
      <c r="F9" t="str">
        <f t="shared" ref="F9:F24" si="0">"10000"</f>
        <v>10000</v>
      </c>
      <c r="G9" t="str">
        <f>"PMS1 p.F159fs"</f>
        <v>PMS1 p.F159fs</v>
      </c>
      <c r="H9" t="str">
        <f>"NM_001321049"</f>
        <v>NM_001321049</v>
      </c>
      <c r="J9" t="s">
        <v>91</v>
      </c>
      <c r="K9" t="str">
        <f>"6%"</f>
        <v>6%</v>
      </c>
      <c r="L9" t="str">
        <f>"0.03"</f>
        <v>0.03</v>
      </c>
      <c r="M9" t="str">
        <f>"100"</f>
        <v>100</v>
      </c>
      <c r="N9" t="s">
        <v>92</v>
      </c>
      <c r="O9" t="str">
        <f>"5%"</f>
        <v>5%</v>
      </c>
      <c r="P9" t="str">
        <f>"-0.02"</f>
        <v>-0.02</v>
      </c>
      <c r="R9" t="s">
        <v>93</v>
      </c>
      <c r="S9" t="s">
        <v>94</v>
      </c>
      <c r="T9" t="str">
        <f>"24.3400%"</f>
        <v>24.3400%</v>
      </c>
      <c r="U9" t="str">
        <f>"27.6600%"</f>
        <v>27.6600%</v>
      </c>
      <c r="V9" t="str">
        <f>""</f>
        <v/>
      </c>
      <c r="W9" t="str">
        <f>"21.5256%"</f>
        <v>21.5256%</v>
      </c>
      <c r="X9" t="s">
        <v>95</v>
      </c>
      <c r="Y9" t="str">
        <f>"37.2200%"</f>
        <v>37.2200%</v>
      </c>
      <c r="Z9" t="str">
        <f>"19.0610%"</f>
        <v>19.0610%</v>
      </c>
      <c r="AA9" t="s">
        <v>96</v>
      </c>
      <c r="AD9" t="str">
        <f>""</f>
        <v/>
      </c>
    </row>
    <row r="10" spans="1:31" x14ac:dyDescent="0.3">
      <c r="A10" t="s">
        <v>97</v>
      </c>
      <c r="B10" t="s">
        <v>98</v>
      </c>
      <c r="C10" t="s">
        <v>46</v>
      </c>
      <c r="D10" t="s">
        <v>33</v>
      </c>
      <c r="E10" t="s">
        <v>85</v>
      </c>
      <c r="F10" t="str">
        <f t="shared" si="0"/>
        <v>10000</v>
      </c>
      <c r="G10" t="str">
        <f>"DOT1L"</f>
        <v>DOT1L</v>
      </c>
      <c r="H10" t="str">
        <f>""</f>
        <v/>
      </c>
      <c r="J10" t="s">
        <v>99</v>
      </c>
      <c r="K10" t="str">
        <f>"33%"</f>
        <v>33%</v>
      </c>
      <c r="L10" t="str">
        <f>"-0.02"</f>
        <v>-0.02</v>
      </c>
      <c r="M10" t="str">
        <f>"000"</f>
        <v>000</v>
      </c>
      <c r="N10" t="s">
        <v>100</v>
      </c>
      <c r="O10" t="str">
        <f>"5%"</f>
        <v>5%</v>
      </c>
      <c r="P10" t="str">
        <f>"0.21"</f>
        <v>0.21</v>
      </c>
      <c r="Q10" t="s">
        <v>101</v>
      </c>
      <c r="T10" t="str">
        <f>""</f>
        <v/>
      </c>
      <c r="U10" t="str">
        <f>""</f>
        <v/>
      </c>
      <c r="V10" t="str">
        <f>""</f>
        <v/>
      </c>
      <c r="W10" t="str">
        <f>""</f>
        <v/>
      </c>
      <c r="X10" t="s">
        <v>102</v>
      </c>
      <c r="Y10" t="str">
        <f>"10.8680%"</f>
        <v>10.8680%</v>
      </c>
      <c r="Z10" t="str">
        <f>"18.1590%"</f>
        <v>18.1590%</v>
      </c>
      <c r="AD10" t="str">
        <f>""</f>
        <v/>
      </c>
    </row>
    <row r="11" spans="1:31" x14ac:dyDescent="0.3">
      <c r="A11" t="s">
        <v>103</v>
      </c>
      <c r="B11" t="s">
        <v>104</v>
      </c>
      <c r="C11" t="s">
        <v>105</v>
      </c>
      <c r="D11" t="s">
        <v>106</v>
      </c>
      <c r="E11" t="s">
        <v>35</v>
      </c>
      <c r="F11" t="str">
        <f t="shared" si="0"/>
        <v>10000</v>
      </c>
      <c r="G11" t="str">
        <f>"SMARCA2 p.223_223del"</f>
        <v>SMARCA2 p.223_223del</v>
      </c>
      <c r="H11" t="str">
        <f>"NM_003070"</f>
        <v>NM_003070</v>
      </c>
      <c r="J11" t="s">
        <v>107</v>
      </c>
      <c r="K11" t="str">
        <f>"5%"</f>
        <v>5%</v>
      </c>
      <c r="L11" t="str">
        <f>"-0.00"</f>
        <v>-0.00</v>
      </c>
      <c r="M11" t="str">
        <f>"100"</f>
        <v>100</v>
      </c>
      <c r="N11" t="s">
        <v>108</v>
      </c>
      <c r="O11" t="str">
        <f>"6%"</f>
        <v>6%</v>
      </c>
      <c r="P11" t="str">
        <f>"-0.05"</f>
        <v>-0.05</v>
      </c>
      <c r="R11" t="s">
        <v>65</v>
      </c>
      <c r="S11" t="s">
        <v>109</v>
      </c>
      <c r="T11" t="str">
        <f>"13.7000%"</f>
        <v>13.7000%</v>
      </c>
      <c r="U11" t="str">
        <f>""</f>
        <v/>
      </c>
      <c r="V11" t="str">
        <f>""</f>
        <v/>
      </c>
      <c r="W11" t="str">
        <f>""</f>
        <v/>
      </c>
      <c r="X11" t="s">
        <v>110</v>
      </c>
      <c r="Y11" t="str">
        <f>"38.4220%"</f>
        <v>38.4220%</v>
      </c>
      <c r="Z11" t="str">
        <f>"28.5640%"</f>
        <v>28.5640%</v>
      </c>
      <c r="AA11" t="s">
        <v>111</v>
      </c>
      <c r="AB11" t="s">
        <v>112</v>
      </c>
      <c r="AC11" t="s">
        <v>113</v>
      </c>
      <c r="AD11" t="str">
        <f>""</f>
        <v/>
      </c>
    </row>
    <row r="12" spans="1:31" x14ac:dyDescent="0.3">
      <c r="A12" t="s">
        <v>53</v>
      </c>
      <c r="B12" t="s">
        <v>54</v>
      </c>
      <c r="C12" t="s">
        <v>33</v>
      </c>
      <c r="D12" t="s">
        <v>114</v>
      </c>
      <c r="E12" t="s">
        <v>56</v>
      </c>
      <c r="F12" t="str">
        <f t="shared" si="0"/>
        <v>10000</v>
      </c>
      <c r="G12" t="str">
        <f>"TMEM106A"</f>
        <v>TMEM106A</v>
      </c>
      <c r="H12" t="str">
        <f>""</f>
        <v/>
      </c>
      <c r="J12" t="s">
        <v>57</v>
      </c>
      <c r="K12" t="str">
        <f>"4%"</f>
        <v>4%</v>
      </c>
      <c r="L12" t="str">
        <f>"0.02"</f>
        <v>0.02</v>
      </c>
      <c r="M12" t="str">
        <f>"100"</f>
        <v>100</v>
      </c>
      <c r="N12" t="s">
        <v>58</v>
      </c>
      <c r="O12" t="str">
        <f>"6%"</f>
        <v>6%</v>
      </c>
      <c r="P12" t="str">
        <f>"0.08"</f>
        <v>0.08</v>
      </c>
      <c r="Q12" t="s">
        <v>59</v>
      </c>
      <c r="T12" t="str">
        <f>""</f>
        <v/>
      </c>
      <c r="U12" t="str">
        <f>""</f>
        <v/>
      </c>
      <c r="V12" t="str">
        <f>""</f>
        <v/>
      </c>
      <c r="W12" t="str">
        <f>""</f>
        <v/>
      </c>
      <c r="Y12" t="str">
        <f>"22.4740%"</f>
        <v>22.4740%</v>
      </c>
      <c r="Z12" t="str">
        <f>"0.7370%"</f>
        <v>0.7370%</v>
      </c>
      <c r="AD12" t="str">
        <f>""</f>
        <v/>
      </c>
    </row>
    <row r="13" spans="1:31" x14ac:dyDescent="0.3">
      <c r="A13" t="s">
        <v>60</v>
      </c>
      <c r="B13" t="s">
        <v>115</v>
      </c>
      <c r="C13" t="s">
        <v>33</v>
      </c>
      <c r="D13" t="s">
        <v>106</v>
      </c>
      <c r="E13" t="s">
        <v>85</v>
      </c>
      <c r="F13" t="str">
        <f t="shared" si="0"/>
        <v>10000</v>
      </c>
      <c r="G13" t="str">
        <f>"KPNA5"</f>
        <v>KPNA5</v>
      </c>
      <c r="H13" t="str">
        <f>""</f>
        <v/>
      </c>
      <c r="J13" t="s">
        <v>116</v>
      </c>
      <c r="K13" t="str">
        <f>"6%"</f>
        <v>6%</v>
      </c>
      <c r="L13" t="str">
        <f>"0.04"</f>
        <v>0.04</v>
      </c>
      <c r="M13" t="str">
        <f>"100"</f>
        <v>100</v>
      </c>
      <c r="N13" t="s">
        <v>117</v>
      </c>
      <c r="O13" t="str">
        <f>"7%"</f>
        <v>7%</v>
      </c>
      <c r="P13" t="str">
        <f>"-0.01"</f>
        <v>-0.01</v>
      </c>
      <c r="Q13" t="s">
        <v>118</v>
      </c>
      <c r="T13" t="str">
        <f>""</f>
        <v/>
      </c>
      <c r="U13" t="str">
        <f>""</f>
        <v/>
      </c>
      <c r="V13" t="str">
        <f>""</f>
        <v/>
      </c>
      <c r="W13" t="str">
        <f>""</f>
        <v/>
      </c>
      <c r="X13" t="s">
        <v>119</v>
      </c>
      <c r="Y13" t="str">
        <f>"6.1710%"</f>
        <v>6.1710%</v>
      </c>
      <c r="Z13" t="str">
        <f>"0.3000%"</f>
        <v>0.3000%</v>
      </c>
      <c r="AA13" t="s">
        <v>120</v>
      </c>
      <c r="AD13" t="str">
        <f>""</f>
        <v/>
      </c>
    </row>
    <row r="14" spans="1:31" x14ac:dyDescent="0.3">
      <c r="A14" t="s">
        <v>97</v>
      </c>
      <c r="B14" t="s">
        <v>121</v>
      </c>
      <c r="C14" t="s">
        <v>46</v>
      </c>
      <c r="D14" t="s">
        <v>122</v>
      </c>
      <c r="E14" t="s">
        <v>56</v>
      </c>
      <c r="F14" t="str">
        <f t="shared" si="0"/>
        <v>10000</v>
      </c>
      <c r="G14" t="str">
        <f>"MIR523;MIR525"</f>
        <v>MIR523;MIR525</v>
      </c>
      <c r="H14" t="str">
        <f>""</f>
        <v/>
      </c>
      <c r="J14" t="s">
        <v>123</v>
      </c>
      <c r="K14" t="str">
        <f>"4%"</f>
        <v>4%</v>
      </c>
      <c r="L14" t="str">
        <f>"-0.04"</f>
        <v>-0.04</v>
      </c>
      <c r="M14" t="str">
        <f>"100"</f>
        <v>100</v>
      </c>
      <c r="N14" t="s">
        <v>124</v>
      </c>
      <c r="O14" t="str">
        <f>"7%"</f>
        <v>7%</v>
      </c>
      <c r="P14" t="str">
        <f>"0.06"</f>
        <v>0.06</v>
      </c>
      <c r="Q14" t="s">
        <v>125</v>
      </c>
      <c r="T14" t="str">
        <f>""</f>
        <v/>
      </c>
      <c r="U14" t="str">
        <f>""</f>
        <v/>
      </c>
      <c r="V14" t="str">
        <f>""</f>
        <v/>
      </c>
      <c r="W14" t="str">
        <f>""</f>
        <v/>
      </c>
      <c r="Y14" t="str">
        <f>"19.6890%"</f>
        <v>19.6890%</v>
      </c>
      <c r="Z14" t="str">
        <f>"2.4580%"</f>
        <v>2.4580%</v>
      </c>
      <c r="AD14" t="str">
        <f>""</f>
        <v/>
      </c>
    </row>
    <row r="15" spans="1:31" x14ac:dyDescent="0.3">
      <c r="A15" t="s">
        <v>44</v>
      </c>
      <c r="B15" t="s">
        <v>126</v>
      </c>
      <c r="C15" t="s">
        <v>127</v>
      </c>
      <c r="D15" t="s">
        <v>128</v>
      </c>
      <c r="E15" t="s">
        <v>35</v>
      </c>
      <c r="F15" t="str">
        <f t="shared" si="0"/>
        <v>10000</v>
      </c>
      <c r="G15" t="str">
        <f>"TSC2 c.2001_2004GGGC"</f>
        <v>TSC2 c.2001_2004GGGC</v>
      </c>
      <c r="H15" t="str">
        <f>"NM_000548"</f>
        <v>NM_000548</v>
      </c>
      <c r="J15" t="s">
        <v>79</v>
      </c>
      <c r="K15" t="str">
        <f>"3%"</f>
        <v>3%</v>
      </c>
      <c r="L15" t="str">
        <f>"-0.17"</f>
        <v>-0.17</v>
      </c>
      <c r="M15" t="str">
        <f>"000"</f>
        <v>000</v>
      </c>
      <c r="N15" t="s">
        <v>129</v>
      </c>
      <c r="O15" t="str">
        <f>"7%"</f>
        <v>7%</v>
      </c>
      <c r="P15" t="str">
        <f>"0.29"</f>
        <v>0.29</v>
      </c>
      <c r="R15" t="s">
        <v>130</v>
      </c>
      <c r="S15" t="s">
        <v>131</v>
      </c>
      <c r="T15" t="str">
        <f>""</f>
        <v/>
      </c>
      <c r="U15" t="str">
        <f>""</f>
        <v/>
      </c>
      <c r="V15" t="str">
        <f>""</f>
        <v/>
      </c>
      <c r="W15" t="str">
        <f>""</f>
        <v/>
      </c>
      <c r="Y15" t="str">
        <f>"0.1640%"</f>
        <v>0.1640%</v>
      </c>
      <c r="Z15" t="str">
        <f>""</f>
        <v/>
      </c>
      <c r="AD15" t="str">
        <f>""</f>
        <v/>
      </c>
    </row>
    <row r="16" spans="1:31" x14ac:dyDescent="0.3">
      <c r="A16" t="s">
        <v>97</v>
      </c>
      <c r="B16" t="s">
        <v>132</v>
      </c>
      <c r="C16" t="s">
        <v>133</v>
      </c>
      <c r="D16" t="s">
        <v>134</v>
      </c>
      <c r="E16" t="s">
        <v>85</v>
      </c>
      <c r="F16" t="str">
        <f t="shared" si="0"/>
        <v>10000</v>
      </c>
      <c r="G16" t="str">
        <f>"DOT1L"</f>
        <v>DOT1L</v>
      </c>
      <c r="H16" t="str">
        <f>""</f>
        <v/>
      </c>
      <c r="J16" t="s">
        <v>135</v>
      </c>
      <c r="K16" t="str">
        <f>"0%"</f>
        <v>0%</v>
      </c>
      <c r="L16" t="str">
        <f>"-0.02"</f>
        <v>-0.02</v>
      </c>
      <c r="M16" t="str">
        <f>"100"</f>
        <v>100</v>
      </c>
      <c r="N16" t="s">
        <v>136</v>
      </c>
      <c r="O16" t="str">
        <f>"7%"</f>
        <v>7%</v>
      </c>
      <c r="P16" t="str">
        <f>"0.21"</f>
        <v>0.21</v>
      </c>
      <c r="Q16" t="s">
        <v>137</v>
      </c>
      <c r="T16" t="str">
        <f>""</f>
        <v/>
      </c>
      <c r="U16" t="str">
        <f>""</f>
        <v/>
      </c>
      <c r="V16" t="str">
        <f>""</f>
        <v/>
      </c>
      <c r="W16" t="str">
        <f>""</f>
        <v/>
      </c>
      <c r="Y16" t="str">
        <f>"2.6220%"</f>
        <v>2.6220%</v>
      </c>
      <c r="Z16" t="str">
        <f>""</f>
        <v/>
      </c>
      <c r="AD16" t="str">
        <f>""</f>
        <v/>
      </c>
    </row>
    <row r="17" spans="1:30" x14ac:dyDescent="0.3">
      <c r="A17" t="s">
        <v>138</v>
      </c>
      <c r="B17" t="s">
        <v>139</v>
      </c>
      <c r="C17" t="s">
        <v>33</v>
      </c>
      <c r="D17" t="s">
        <v>140</v>
      </c>
      <c r="E17" t="s">
        <v>85</v>
      </c>
      <c r="F17" t="str">
        <f t="shared" si="0"/>
        <v>10000</v>
      </c>
      <c r="G17" t="str">
        <f>"TSLP"</f>
        <v>TSLP</v>
      </c>
      <c r="H17" t="str">
        <f>""</f>
        <v/>
      </c>
      <c r="J17" t="s">
        <v>141</v>
      </c>
      <c r="K17" t="str">
        <f>"6%"</f>
        <v>6%</v>
      </c>
      <c r="L17" t="str">
        <f>"-0.04"</f>
        <v>-0.04</v>
      </c>
      <c r="M17" t="str">
        <f>"100"</f>
        <v>100</v>
      </c>
      <c r="N17" t="s">
        <v>142</v>
      </c>
      <c r="O17" t="str">
        <f>"8%"</f>
        <v>8%</v>
      </c>
      <c r="P17" t="str">
        <f>"-0.05"</f>
        <v>-0.05</v>
      </c>
      <c r="Q17" t="s">
        <v>143</v>
      </c>
      <c r="T17" t="str">
        <f>""</f>
        <v/>
      </c>
      <c r="U17" t="str">
        <f>""</f>
        <v/>
      </c>
      <c r="V17" t="str">
        <f>""</f>
        <v/>
      </c>
      <c r="W17" t="str">
        <f>""</f>
        <v/>
      </c>
      <c r="X17" t="s">
        <v>144</v>
      </c>
      <c r="Y17" t="str">
        <f>"39.7870%"</f>
        <v>39.7870%</v>
      </c>
      <c r="Z17" t="str">
        <f>"0.2180%"</f>
        <v>0.2180%</v>
      </c>
      <c r="AD17" t="str">
        <f>""</f>
        <v/>
      </c>
    </row>
    <row r="18" spans="1:30" x14ac:dyDescent="0.3">
      <c r="A18" t="s">
        <v>138</v>
      </c>
      <c r="B18" t="s">
        <v>145</v>
      </c>
      <c r="C18" t="s">
        <v>146</v>
      </c>
      <c r="D18" t="s">
        <v>147</v>
      </c>
      <c r="E18" t="s">
        <v>35</v>
      </c>
      <c r="F18" t="str">
        <f t="shared" si="0"/>
        <v>10000</v>
      </c>
      <c r="G18" t="str">
        <f>"MSH3 c.162_172CGCAGCGCCCC"</f>
        <v>MSH3 c.162_172CGCAGCGCCCC</v>
      </c>
      <c r="H18" t="str">
        <f>"NM_002439"</f>
        <v>NM_002439</v>
      </c>
      <c r="J18" t="s">
        <v>148</v>
      </c>
      <c r="K18" t="str">
        <f>"9%"</f>
        <v>9%</v>
      </c>
      <c r="L18" t="str">
        <f>"-0.04"</f>
        <v>-0.04</v>
      </c>
      <c r="M18" t="str">
        <f>"100"</f>
        <v>100</v>
      </c>
      <c r="N18" t="s">
        <v>149</v>
      </c>
      <c r="O18" t="str">
        <f>"8%"</f>
        <v>8%</v>
      </c>
      <c r="P18" t="str">
        <f>"-0.05"</f>
        <v>-0.05</v>
      </c>
      <c r="R18" t="s">
        <v>130</v>
      </c>
      <c r="S18" t="s">
        <v>150</v>
      </c>
      <c r="T18" t="str">
        <f>""</f>
        <v/>
      </c>
      <c r="U18" t="str">
        <f>""</f>
        <v/>
      </c>
      <c r="V18" t="str">
        <f>""</f>
        <v/>
      </c>
      <c r="W18" t="str">
        <f>""</f>
        <v/>
      </c>
      <c r="Y18" t="str">
        <f>"17.4770%"</f>
        <v>17.4770%</v>
      </c>
      <c r="Z18" t="str">
        <f>"2.0210%"</f>
        <v>2.0210%</v>
      </c>
      <c r="AD18" t="str">
        <f>""</f>
        <v/>
      </c>
    </row>
    <row r="19" spans="1:30" x14ac:dyDescent="0.3">
      <c r="A19" t="s">
        <v>97</v>
      </c>
      <c r="B19" t="s">
        <v>151</v>
      </c>
      <c r="C19" t="s">
        <v>152</v>
      </c>
      <c r="D19" t="s">
        <v>153</v>
      </c>
      <c r="E19" t="s">
        <v>85</v>
      </c>
      <c r="F19" t="str">
        <f t="shared" si="0"/>
        <v>10000</v>
      </c>
      <c r="G19" t="str">
        <f>"KEAP1"</f>
        <v>KEAP1</v>
      </c>
      <c r="H19" t="str">
        <f>""</f>
        <v/>
      </c>
      <c r="J19" t="s">
        <v>154</v>
      </c>
      <c r="K19" t="str">
        <f>"0%"</f>
        <v>0%</v>
      </c>
      <c r="L19" t="str">
        <f>"-0.02"</f>
        <v>-0.02</v>
      </c>
      <c r="M19" t="str">
        <f>"100"</f>
        <v>100</v>
      </c>
      <c r="N19" t="s">
        <v>155</v>
      </c>
      <c r="O19" t="str">
        <f>"8%"</f>
        <v>8%</v>
      </c>
      <c r="P19" t="str">
        <f>"."</f>
        <v>.</v>
      </c>
      <c r="Q19" t="s">
        <v>156</v>
      </c>
      <c r="T19" t="str">
        <f>""</f>
        <v/>
      </c>
      <c r="U19" t="str">
        <f>""</f>
        <v/>
      </c>
      <c r="V19" t="str">
        <f>""</f>
        <v/>
      </c>
      <c r="W19" t="str">
        <f>""</f>
        <v/>
      </c>
      <c r="Y19" t="str">
        <f>"6.8270%"</f>
        <v>6.8270%</v>
      </c>
      <c r="Z19" t="str">
        <f>"4.0420%"</f>
        <v>4.0420%</v>
      </c>
      <c r="AD19" t="str">
        <f>""</f>
        <v/>
      </c>
    </row>
    <row r="20" spans="1:30" x14ac:dyDescent="0.3">
      <c r="A20" t="s">
        <v>97</v>
      </c>
      <c r="B20" t="s">
        <v>157</v>
      </c>
      <c r="C20" t="s">
        <v>158</v>
      </c>
      <c r="D20" t="s">
        <v>159</v>
      </c>
      <c r="E20" t="s">
        <v>85</v>
      </c>
      <c r="F20" t="str">
        <f t="shared" si="0"/>
        <v>10000</v>
      </c>
      <c r="G20" t="str">
        <f>"DOT1L"</f>
        <v>DOT1L</v>
      </c>
      <c r="H20" t="str">
        <f>""</f>
        <v/>
      </c>
      <c r="J20" t="s">
        <v>99</v>
      </c>
      <c r="K20" t="str">
        <f>"33%"</f>
        <v>33%</v>
      </c>
      <c r="L20" t="str">
        <f>"-0.02"</f>
        <v>-0.02</v>
      </c>
      <c r="M20" t="str">
        <f>"000"</f>
        <v>000</v>
      </c>
      <c r="N20" t="s">
        <v>100</v>
      </c>
      <c r="O20" t="str">
        <f>"8%"</f>
        <v>8%</v>
      </c>
      <c r="P20" t="str">
        <f>"0.21"</f>
        <v>0.21</v>
      </c>
      <c r="Q20" t="s">
        <v>101</v>
      </c>
      <c r="T20" t="str">
        <f>""</f>
        <v/>
      </c>
      <c r="U20" t="str">
        <f>""</f>
        <v/>
      </c>
      <c r="V20" t="str">
        <f>""</f>
        <v/>
      </c>
      <c r="W20" t="str">
        <f>""</f>
        <v/>
      </c>
      <c r="Y20" t="str">
        <f>"6.4990%"</f>
        <v>6.4990%</v>
      </c>
      <c r="Z20" t="str">
        <f>""</f>
        <v/>
      </c>
      <c r="AD20" t="str">
        <f>""</f>
        <v/>
      </c>
    </row>
    <row r="21" spans="1:30" x14ac:dyDescent="0.3">
      <c r="A21" t="s">
        <v>31</v>
      </c>
      <c r="B21" t="s">
        <v>89</v>
      </c>
      <c r="C21" t="s">
        <v>90</v>
      </c>
      <c r="D21" t="s">
        <v>34</v>
      </c>
      <c r="E21" t="s">
        <v>35</v>
      </c>
      <c r="F21" t="str">
        <f t="shared" si="0"/>
        <v>10000</v>
      </c>
      <c r="G21" t="str">
        <f>"PMS1 p.K160fs"</f>
        <v>PMS1 p.K160fs</v>
      </c>
      <c r="H21" t="str">
        <f>"NM_001321049"</f>
        <v>NM_001321049</v>
      </c>
      <c r="J21" t="s">
        <v>91</v>
      </c>
      <c r="K21" t="str">
        <f>"10%"</f>
        <v>10%</v>
      </c>
      <c r="L21" t="str">
        <f>"0.03"</f>
        <v>0.03</v>
      </c>
      <c r="M21" t="str">
        <f>"100"</f>
        <v>100</v>
      </c>
      <c r="N21" t="s">
        <v>92</v>
      </c>
      <c r="O21" t="str">
        <f>"10%"</f>
        <v>10%</v>
      </c>
      <c r="P21" t="str">
        <f>"-0.02"</f>
        <v>-0.02</v>
      </c>
      <c r="R21" t="s">
        <v>160</v>
      </c>
      <c r="S21" t="s">
        <v>161</v>
      </c>
      <c r="T21" t="str">
        <f>"5.9900%"</f>
        <v>5.9900%</v>
      </c>
      <c r="U21" t="str">
        <f>"2.5000%"</f>
        <v>2.5000%</v>
      </c>
      <c r="V21" t="str">
        <f>""</f>
        <v/>
      </c>
      <c r="W21" t="str">
        <f>""</f>
        <v/>
      </c>
      <c r="X21" t="s">
        <v>162</v>
      </c>
      <c r="Y21" t="str">
        <f>"38.5580%"</f>
        <v>38.5580%</v>
      </c>
      <c r="Z21" t="str">
        <f>"5.7070%"</f>
        <v>5.7070%</v>
      </c>
      <c r="AA21" t="s">
        <v>163</v>
      </c>
      <c r="AD21" t="str">
        <f>""</f>
        <v/>
      </c>
    </row>
    <row r="22" spans="1:30" x14ac:dyDescent="0.3">
      <c r="A22" t="s">
        <v>97</v>
      </c>
      <c r="B22" t="s">
        <v>164</v>
      </c>
      <c r="C22" t="s">
        <v>33</v>
      </c>
      <c r="D22" t="s">
        <v>140</v>
      </c>
      <c r="E22" t="s">
        <v>85</v>
      </c>
      <c r="F22" t="str">
        <f t="shared" si="0"/>
        <v>10000</v>
      </c>
      <c r="G22" t="str">
        <f>"KEAP1"</f>
        <v>KEAP1</v>
      </c>
      <c r="H22" t="str">
        <f>""</f>
        <v/>
      </c>
      <c r="J22" t="s">
        <v>154</v>
      </c>
      <c r="K22" t="str">
        <f>"0%"</f>
        <v>0%</v>
      </c>
      <c r="L22" t="str">
        <f>"-0.02"</f>
        <v>-0.02</v>
      </c>
      <c r="M22" t="str">
        <f>"100"</f>
        <v>100</v>
      </c>
      <c r="N22" t="s">
        <v>155</v>
      </c>
      <c r="O22" t="str">
        <f>"10%"</f>
        <v>10%</v>
      </c>
      <c r="P22" t="str">
        <f>"."</f>
        <v>.</v>
      </c>
      <c r="Q22" t="s">
        <v>165</v>
      </c>
      <c r="T22" t="str">
        <f>""</f>
        <v/>
      </c>
      <c r="U22" t="str">
        <f>""</f>
        <v/>
      </c>
      <c r="V22" t="str">
        <f>""</f>
        <v/>
      </c>
      <c r="W22" t="str">
        <f>""</f>
        <v/>
      </c>
      <c r="Y22" t="str">
        <f>"12.7800%"</f>
        <v>12.7800%</v>
      </c>
      <c r="Z22" t="str">
        <f>"0.3550%"</f>
        <v>0.3550%</v>
      </c>
      <c r="AD22" t="str">
        <f>""</f>
        <v/>
      </c>
    </row>
    <row r="23" spans="1:30" x14ac:dyDescent="0.3">
      <c r="A23" t="s">
        <v>31</v>
      </c>
      <c r="B23" t="s">
        <v>166</v>
      </c>
      <c r="C23" t="s">
        <v>34</v>
      </c>
      <c r="D23" t="s">
        <v>90</v>
      </c>
      <c r="E23" t="s">
        <v>167</v>
      </c>
      <c r="F23" t="str">
        <f t="shared" si="0"/>
        <v>10000</v>
      </c>
      <c r="G23" t="str">
        <f>"XPO1 c.591-2-&gt;T"</f>
        <v>XPO1 c.591-2-&gt;T</v>
      </c>
      <c r="H23" t="str">
        <f>"NM_003400"</f>
        <v>NM_003400</v>
      </c>
      <c r="J23" t="s">
        <v>123</v>
      </c>
      <c r="K23" t="str">
        <f>"7%"</f>
        <v>7%</v>
      </c>
      <c r="L23" t="str">
        <f>"0.00"</f>
        <v>0.00</v>
      </c>
      <c r="M23" t="str">
        <f>"100"</f>
        <v>100</v>
      </c>
      <c r="N23" t="s">
        <v>168</v>
      </c>
      <c r="O23" t="str">
        <f>"11%"</f>
        <v>11%</v>
      </c>
      <c r="P23" t="str">
        <f>"0.00"</f>
        <v>0.00</v>
      </c>
      <c r="Q23" t="s">
        <v>169</v>
      </c>
      <c r="T23" t="str">
        <f>"8.6200%"</f>
        <v>8.6200%</v>
      </c>
      <c r="U23" t="str">
        <f>"9.9200%"</f>
        <v>9.9200%</v>
      </c>
      <c r="V23" t="str">
        <f>"4.7700%"</f>
        <v>4.7700%</v>
      </c>
      <c r="W23" t="str">
        <f>""</f>
        <v/>
      </c>
      <c r="Y23" t="str">
        <f>"32.5780%"</f>
        <v>32.5780%</v>
      </c>
      <c r="Z23" t="str">
        <f>"4.5600%"</f>
        <v>4.5600%</v>
      </c>
      <c r="AA23" t="s">
        <v>170</v>
      </c>
      <c r="AD23" t="str">
        <f>""</f>
        <v/>
      </c>
    </row>
    <row r="24" spans="1:30" x14ac:dyDescent="0.3">
      <c r="A24" t="s">
        <v>171</v>
      </c>
      <c r="B24" t="s">
        <v>172</v>
      </c>
      <c r="C24" t="s">
        <v>34</v>
      </c>
      <c r="D24" t="s">
        <v>90</v>
      </c>
      <c r="E24" t="s">
        <v>167</v>
      </c>
      <c r="F24" t="str">
        <f t="shared" si="0"/>
        <v>10000</v>
      </c>
      <c r="G24" t="str">
        <f>"FUBP1 c.121-2-&gt;T"</f>
        <v>FUBP1 c.121-2-&gt;T</v>
      </c>
      <c r="H24" t="str">
        <f>"NM_003902"</f>
        <v>NM_003902</v>
      </c>
      <c r="J24" t="s">
        <v>173</v>
      </c>
      <c r="K24" t="str">
        <f>"7%"</f>
        <v>7%</v>
      </c>
      <c r="L24" t="str">
        <f>"-0.03"</f>
        <v>-0.03</v>
      </c>
      <c r="M24" t="str">
        <f>"100"</f>
        <v>100</v>
      </c>
      <c r="N24" t="s">
        <v>174</v>
      </c>
      <c r="O24" t="str">
        <f>"11%"</f>
        <v>11%</v>
      </c>
      <c r="P24" t="str">
        <f>"-0.04"</f>
        <v>-0.04</v>
      </c>
      <c r="Q24" t="s">
        <v>175</v>
      </c>
      <c r="T24" t="str">
        <f>"1.0100%"</f>
        <v>1.0100%</v>
      </c>
      <c r="U24" t="str">
        <f>"2.7200%"</f>
        <v>2.7200%</v>
      </c>
      <c r="V24" t="str">
        <f>"0.9400%"</f>
        <v>0.9400%</v>
      </c>
      <c r="W24" t="str">
        <f>""</f>
        <v/>
      </c>
      <c r="X24" t="s">
        <v>176</v>
      </c>
      <c r="Y24" t="str">
        <f>"43.0640%"</f>
        <v>43.0640%</v>
      </c>
      <c r="Z24" t="str">
        <f>"0.0550%"</f>
        <v>0.0550%</v>
      </c>
      <c r="AD24" t="str">
        <f>""</f>
        <v/>
      </c>
    </row>
    <row r="25" spans="1:30" x14ac:dyDescent="0.3">
      <c r="A25" t="s">
        <v>97</v>
      </c>
      <c r="B25" t="s">
        <v>157</v>
      </c>
      <c r="C25" t="s">
        <v>46</v>
      </c>
      <c r="D25" t="s">
        <v>33</v>
      </c>
      <c r="E25" t="s">
        <v>85</v>
      </c>
      <c r="F25" t="str">
        <f>"11000"</f>
        <v>11000</v>
      </c>
      <c r="G25" t="str">
        <f>"DOT1L"</f>
        <v>DOT1L</v>
      </c>
      <c r="H25" t="str">
        <f>""</f>
        <v/>
      </c>
      <c r="J25" t="s">
        <v>99</v>
      </c>
      <c r="K25" t="str">
        <f>"25%"</f>
        <v>25%</v>
      </c>
      <c r="L25" t="str">
        <f>"-0.02"</f>
        <v>-0.02</v>
      </c>
      <c r="M25" t="str">
        <f>"000"</f>
        <v>000</v>
      </c>
      <c r="N25" t="s">
        <v>100</v>
      </c>
      <c r="O25" t="str">
        <f>"11%"</f>
        <v>11%</v>
      </c>
      <c r="P25" t="str">
        <f>"0.21"</f>
        <v>0.21</v>
      </c>
      <c r="Q25" t="s">
        <v>177</v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">
        <v>178</v>
      </c>
      <c r="Y25" t="str">
        <f>"14.9650%"</f>
        <v>14.9650%</v>
      </c>
      <c r="Z25" t="str">
        <f>"12.7250%"</f>
        <v>12.7250%</v>
      </c>
      <c r="AD25" t="str">
        <f>""</f>
        <v/>
      </c>
    </row>
    <row r="26" spans="1:30" x14ac:dyDescent="0.3">
      <c r="A26" t="s">
        <v>31</v>
      </c>
      <c r="B26" t="s">
        <v>179</v>
      </c>
      <c r="C26" t="s">
        <v>34</v>
      </c>
      <c r="D26" t="s">
        <v>90</v>
      </c>
      <c r="E26" t="s">
        <v>167</v>
      </c>
      <c r="F26" t="str">
        <f>"10000"</f>
        <v>10000</v>
      </c>
      <c r="G26" t="str">
        <f>"STAT4 c.129-2-&gt;T"</f>
        <v>STAT4 c.129-2-&gt;T</v>
      </c>
      <c r="H26" t="str">
        <f>"NM_003151"</f>
        <v>NM_003151</v>
      </c>
      <c r="J26" t="s">
        <v>180</v>
      </c>
      <c r="K26" t="str">
        <f>"11%"</f>
        <v>11%</v>
      </c>
      <c r="L26" t="str">
        <f>"0.03"</f>
        <v>0.03</v>
      </c>
      <c r="M26" t="str">
        <f>"100"</f>
        <v>100</v>
      </c>
      <c r="N26" t="s">
        <v>181</v>
      </c>
      <c r="O26" t="str">
        <f>"12%"</f>
        <v>12%</v>
      </c>
      <c r="P26" t="str">
        <f>"-0.02"</f>
        <v>-0.02</v>
      </c>
      <c r="Q26" t="s">
        <v>182</v>
      </c>
      <c r="T26" t="str">
        <f>"8.7100%"</f>
        <v>8.7100%</v>
      </c>
      <c r="U26" t="str">
        <f>"11.5900%"</f>
        <v>11.5900%</v>
      </c>
      <c r="V26" t="str">
        <f>"3.9600%"</f>
        <v>3.9600%</v>
      </c>
      <c r="W26" t="str">
        <f>""</f>
        <v/>
      </c>
      <c r="X26" t="s">
        <v>183</v>
      </c>
      <c r="Y26" t="str">
        <f>"49.0990%"</f>
        <v>49.0990%</v>
      </c>
      <c r="Z26" t="str">
        <f>"17.6680%"</f>
        <v>17.6680%</v>
      </c>
      <c r="AA26" t="s">
        <v>184</v>
      </c>
      <c r="AD26" t="str">
        <f>""</f>
        <v/>
      </c>
    </row>
    <row r="27" spans="1:30" x14ac:dyDescent="0.3">
      <c r="A27" t="s">
        <v>97</v>
      </c>
      <c r="B27" t="s">
        <v>121</v>
      </c>
      <c r="C27" t="s">
        <v>185</v>
      </c>
      <c r="D27" t="s">
        <v>46</v>
      </c>
      <c r="E27" t="s">
        <v>56</v>
      </c>
      <c r="F27" t="str">
        <f>"10000"</f>
        <v>10000</v>
      </c>
      <c r="G27" t="str">
        <f>"MIR523;MIR525"</f>
        <v>MIR523;MIR525</v>
      </c>
      <c r="H27" t="str">
        <f>""</f>
        <v/>
      </c>
      <c r="J27" t="s">
        <v>123</v>
      </c>
      <c r="K27" t="str">
        <f>"14%"</f>
        <v>14%</v>
      </c>
      <c r="L27" t="str">
        <f>"-0.04"</f>
        <v>-0.04</v>
      </c>
      <c r="M27" t="str">
        <f>"100"</f>
        <v>100</v>
      </c>
      <c r="N27" t="s">
        <v>124</v>
      </c>
      <c r="O27" t="str">
        <f>"12%"</f>
        <v>12%</v>
      </c>
      <c r="P27" t="str">
        <f>"0.06"</f>
        <v>0.06</v>
      </c>
      <c r="Q27" t="s">
        <v>186</v>
      </c>
      <c r="T27" t="str">
        <f>""</f>
        <v/>
      </c>
      <c r="U27" t="str">
        <f>""</f>
        <v/>
      </c>
      <c r="V27" t="str">
        <f>""</f>
        <v/>
      </c>
      <c r="W27" t="str">
        <f>""</f>
        <v/>
      </c>
      <c r="X27" t="s">
        <v>187</v>
      </c>
      <c r="Y27" t="str">
        <f>"41.4800%"</f>
        <v>41.4800%</v>
      </c>
      <c r="Z27" t="str">
        <f>"7.1820%"</f>
        <v>7.1820%</v>
      </c>
      <c r="AD27" t="str">
        <f>""</f>
        <v/>
      </c>
    </row>
    <row r="28" spans="1:30" x14ac:dyDescent="0.3">
      <c r="A28" t="s">
        <v>97</v>
      </c>
      <c r="B28" t="s">
        <v>188</v>
      </c>
      <c r="C28" t="s">
        <v>46</v>
      </c>
      <c r="D28" t="s">
        <v>33</v>
      </c>
      <c r="E28" t="s">
        <v>85</v>
      </c>
      <c r="F28" t="str">
        <f>"10000"</f>
        <v>10000</v>
      </c>
      <c r="G28" t="str">
        <f>"DOT1L"</f>
        <v>DOT1L</v>
      </c>
      <c r="H28" t="str">
        <f>""</f>
        <v/>
      </c>
      <c r="J28" t="s">
        <v>135</v>
      </c>
      <c r="K28" t="str">
        <f>"0%"</f>
        <v>0%</v>
      </c>
      <c r="L28" t="str">
        <f>"-0.02"</f>
        <v>-0.02</v>
      </c>
      <c r="M28" t="str">
        <f>"100"</f>
        <v>100</v>
      </c>
      <c r="N28" t="s">
        <v>136</v>
      </c>
      <c r="O28" t="str">
        <f>"12%"</f>
        <v>12%</v>
      </c>
      <c r="P28" t="str">
        <f>"0.21"</f>
        <v>0.21</v>
      </c>
      <c r="Q28" t="s">
        <v>137</v>
      </c>
      <c r="T28" t="str">
        <f>""</f>
        <v/>
      </c>
      <c r="U28" t="str">
        <f>""</f>
        <v/>
      </c>
      <c r="V28" t="str">
        <f>""</f>
        <v/>
      </c>
      <c r="W28" t="str">
        <f>""</f>
        <v/>
      </c>
      <c r="Y28" t="str">
        <f>"4.9150%"</f>
        <v>4.9150%</v>
      </c>
      <c r="Z28" t="str">
        <f>"4.0690%"</f>
        <v>4.0690%</v>
      </c>
      <c r="AD28" t="str">
        <f>""</f>
        <v/>
      </c>
    </row>
    <row r="29" spans="1:30" x14ac:dyDescent="0.3">
      <c r="A29" t="s">
        <v>69</v>
      </c>
      <c r="B29" t="s">
        <v>189</v>
      </c>
      <c r="C29" t="s">
        <v>106</v>
      </c>
      <c r="D29" t="s">
        <v>34</v>
      </c>
      <c r="E29" t="s">
        <v>35</v>
      </c>
      <c r="F29" t="str">
        <f>"00000"</f>
        <v>00000</v>
      </c>
      <c r="G29" t="str">
        <f>"AR p.Q58L"</f>
        <v>AR p.Q58L</v>
      </c>
      <c r="H29" t="str">
        <f>"NM_000044"</f>
        <v>NM_000044</v>
      </c>
      <c r="J29" t="s">
        <v>72</v>
      </c>
      <c r="K29" t="str">
        <f>"11%"</f>
        <v>11%</v>
      </c>
      <c r="L29" t="str">
        <f>"0.87"</f>
        <v>0.87</v>
      </c>
      <c r="M29" t="str">
        <f>"000"</f>
        <v>000</v>
      </c>
      <c r="N29" t="s">
        <v>73</v>
      </c>
      <c r="O29" t="str">
        <f>"13%"</f>
        <v>13%</v>
      </c>
      <c r="P29" t="str">
        <f>"0.92"</f>
        <v>0.92</v>
      </c>
      <c r="R29" t="s">
        <v>38</v>
      </c>
      <c r="S29" t="s">
        <v>190</v>
      </c>
      <c r="T29" t="str">
        <f>"0.0000%"</f>
        <v>0.0000%</v>
      </c>
      <c r="U29" t="str">
        <f>"0.0200%"</f>
        <v>0.0200%</v>
      </c>
      <c r="V29" t="str">
        <f>""</f>
        <v/>
      </c>
      <c r="W29" t="str">
        <f>""</f>
        <v/>
      </c>
      <c r="X29" t="s">
        <v>191</v>
      </c>
      <c r="Y29" t="str">
        <f>"2.6290%"</f>
        <v>2.6290%</v>
      </c>
      <c r="Z29" t="str">
        <f>"0.0350%"</f>
        <v>0.0350%</v>
      </c>
      <c r="AA29" t="s">
        <v>192</v>
      </c>
      <c r="AB29" t="s">
        <v>193</v>
      </c>
      <c r="AC29" t="s">
        <v>194</v>
      </c>
      <c r="AD29" t="str">
        <f>"11.20"</f>
        <v>11.20</v>
      </c>
    </row>
    <row r="30" spans="1:30" x14ac:dyDescent="0.3">
      <c r="A30" t="s">
        <v>195</v>
      </c>
      <c r="B30" t="s">
        <v>196</v>
      </c>
      <c r="C30" t="s">
        <v>33</v>
      </c>
      <c r="D30" t="s">
        <v>106</v>
      </c>
      <c r="E30" t="s">
        <v>35</v>
      </c>
      <c r="F30" t="str">
        <f>"10000"</f>
        <v>10000</v>
      </c>
      <c r="G30" t="str">
        <f>"PTEN p.D268E"</f>
        <v>PTEN p.D268E</v>
      </c>
      <c r="H30" t="str">
        <f>"NM_000314"</f>
        <v>NM_000314</v>
      </c>
      <c r="J30" t="s">
        <v>107</v>
      </c>
      <c r="K30" t="str">
        <f>"5%"</f>
        <v>5%</v>
      </c>
      <c r="L30" t="str">
        <f>"-0.01"</f>
        <v>-0.01</v>
      </c>
      <c r="M30" t="str">
        <f>"100"</f>
        <v>100</v>
      </c>
      <c r="N30" t="s">
        <v>197</v>
      </c>
      <c r="O30" t="str">
        <f>"13%"</f>
        <v>13%</v>
      </c>
      <c r="P30" t="str">
        <f>"-0.00"</f>
        <v>-0.00</v>
      </c>
      <c r="R30" t="s">
        <v>38</v>
      </c>
      <c r="S30" t="s">
        <v>198</v>
      </c>
      <c r="T30" t="str">
        <f>"0.0900%"</f>
        <v>0.0900%</v>
      </c>
      <c r="U30" t="str">
        <f>"0.0700%"</f>
        <v>0.0700%</v>
      </c>
      <c r="V30" t="str">
        <f>""</f>
        <v/>
      </c>
      <c r="W30" t="str">
        <f>""</f>
        <v/>
      </c>
      <c r="X30" t="s">
        <v>199</v>
      </c>
      <c r="Y30" t="str">
        <f>"28.4820%"</f>
        <v>28.4820%</v>
      </c>
      <c r="Z30" t="str">
        <f>""</f>
        <v/>
      </c>
      <c r="AA30" t="s">
        <v>200</v>
      </c>
      <c r="AD30" t="str">
        <f>"1.928"</f>
        <v>1.928</v>
      </c>
    </row>
    <row r="31" spans="1:30" x14ac:dyDescent="0.3">
      <c r="A31" t="s">
        <v>201</v>
      </c>
      <c r="B31" t="s">
        <v>202</v>
      </c>
      <c r="C31" t="s">
        <v>34</v>
      </c>
      <c r="D31" t="s">
        <v>203</v>
      </c>
      <c r="E31" t="s">
        <v>35</v>
      </c>
      <c r="F31" t="str">
        <f>"00100"</f>
        <v>00100</v>
      </c>
      <c r="G31" t="str">
        <f>"SETBP1 p.G225fs"</f>
        <v>SETBP1 p.G225fs</v>
      </c>
      <c r="H31" t="str">
        <f>"NM_001130110"</f>
        <v>NM_001130110</v>
      </c>
      <c r="J31" t="s">
        <v>204</v>
      </c>
      <c r="K31" t="str">
        <f>"9%"</f>
        <v>9%</v>
      </c>
      <c r="L31" t="str">
        <f>"-0.03"</f>
        <v>-0.03</v>
      </c>
      <c r="M31" t="str">
        <f>"001"</f>
        <v>001</v>
      </c>
      <c r="N31" t="s">
        <v>205</v>
      </c>
      <c r="O31" t="str">
        <f>"13%"</f>
        <v>13%</v>
      </c>
      <c r="P31" t="str">
        <f>"-0.01"</f>
        <v>-0.01</v>
      </c>
      <c r="R31" t="s">
        <v>93</v>
      </c>
      <c r="S31" t="s">
        <v>206</v>
      </c>
      <c r="T31" t="str">
        <f>""</f>
        <v/>
      </c>
      <c r="U31" t="str">
        <f>""</f>
        <v/>
      </c>
      <c r="V31" t="str">
        <f>""</f>
        <v/>
      </c>
      <c r="W31" t="str">
        <f>""</f>
        <v/>
      </c>
      <c r="Y31" t="str">
        <f>"33.5340%"</f>
        <v>33.5340%</v>
      </c>
      <c r="Z31" t="str">
        <f>"33.5340%"</f>
        <v>33.5340%</v>
      </c>
      <c r="AD31" t="str">
        <f>""</f>
        <v/>
      </c>
    </row>
    <row r="32" spans="1:30" x14ac:dyDescent="0.3">
      <c r="A32" t="s">
        <v>31</v>
      </c>
      <c r="B32" t="s">
        <v>207</v>
      </c>
      <c r="C32" t="s">
        <v>34</v>
      </c>
      <c r="D32" t="s">
        <v>90</v>
      </c>
      <c r="E32" t="s">
        <v>167</v>
      </c>
      <c r="F32" t="str">
        <f>"11000"</f>
        <v>11000</v>
      </c>
      <c r="G32" t="str">
        <f>"LRP1B c.4170-2-&gt;T"</f>
        <v>LRP1B c.4170-2-&gt;T</v>
      </c>
      <c r="H32" t="str">
        <f>"NM_018557"</f>
        <v>NM_018557</v>
      </c>
      <c r="J32" t="s">
        <v>129</v>
      </c>
      <c r="K32" t="str">
        <f>"19%"</f>
        <v>19%</v>
      </c>
      <c r="L32" t="str">
        <f>"0.23"</f>
        <v>0.23</v>
      </c>
      <c r="M32" t="str">
        <f>"100"</f>
        <v>100</v>
      </c>
      <c r="N32" t="s">
        <v>208</v>
      </c>
      <c r="O32" t="str">
        <f>"14%"</f>
        <v>14%</v>
      </c>
      <c r="P32" t="str">
        <f>"-0.02"</f>
        <v>-0.02</v>
      </c>
      <c r="Q32" t="s">
        <v>209</v>
      </c>
      <c r="T32" t="str">
        <f>"3.1700%"</f>
        <v>3.1700%</v>
      </c>
      <c r="U32" t="str">
        <f>"8.0000%"</f>
        <v>8.0000%</v>
      </c>
      <c r="V32" t="str">
        <f>""</f>
        <v/>
      </c>
      <c r="W32" t="str">
        <f>""</f>
        <v/>
      </c>
      <c r="X32" t="s">
        <v>210</v>
      </c>
      <c r="Y32" t="str">
        <f>"40.6610%"</f>
        <v>40.6610%</v>
      </c>
      <c r="Z32" t="str">
        <f>"5.2980%"</f>
        <v>5.2980%</v>
      </c>
      <c r="AD32" t="str">
        <f>""</f>
        <v/>
      </c>
    </row>
    <row r="33" spans="1:30" x14ac:dyDescent="0.3">
      <c r="A33" t="s">
        <v>53</v>
      </c>
      <c r="B33" t="s">
        <v>211</v>
      </c>
      <c r="C33" t="s">
        <v>34</v>
      </c>
      <c r="D33" t="s">
        <v>46</v>
      </c>
      <c r="E33" t="s">
        <v>35</v>
      </c>
      <c r="F33" t="str">
        <f>"01000"</f>
        <v>01000</v>
      </c>
      <c r="G33" t="str">
        <f>"NCOR1 p.Y20S"</f>
        <v>NCOR1 p.Y20S</v>
      </c>
      <c r="H33" t="str">
        <f>"NM_006311"</f>
        <v>NM_006311</v>
      </c>
      <c r="J33" t="s">
        <v>212</v>
      </c>
      <c r="K33" t="str">
        <f>"12%"</f>
        <v>12%</v>
      </c>
      <c r="L33" t="str">
        <f>"0.01"</f>
        <v>0.01</v>
      </c>
      <c r="M33" t="str">
        <f t="shared" ref="M33:M38" si="1">"000"</f>
        <v>000</v>
      </c>
      <c r="N33" t="s">
        <v>213</v>
      </c>
      <c r="O33" t="str">
        <f t="shared" ref="O33:O38" si="2">"."</f>
        <v>.</v>
      </c>
      <c r="P33" t="str">
        <f>"0.02"</f>
        <v>0.02</v>
      </c>
      <c r="R33" t="s">
        <v>38</v>
      </c>
      <c r="S33" t="s">
        <v>214</v>
      </c>
      <c r="T33" t="str">
        <f>"16.7100%"</f>
        <v>16.7100%</v>
      </c>
      <c r="U33" t="str">
        <f>"2.5700%"</f>
        <v>2.5700%</v>
      </c>
      <c r="V33" t="str">
        <f>""</f>
        <v/>
      </c>
      <c r="W33" t="str">
        <f>""</f>
        <v/>
      </c>
      <c r="X33" t="s">
        <v>215</v>
      </c>
      <c r="Y33" t="str">
        <f>"45.9040%"</f>
        <v>45.9040%</v>
      </c>
      <c r="Z33" t="str">
        <f>"3.3860%"</f>
        <v>3.3860%</v>
      </c>
      <c r="AA33" t="s">
        <v>216</v>
      </c>
      <c r="AB33" t="s">
        <v>217</v>
      </c>
      <c r="AD33" t="str">
        <f>"12.33"</f>
        <v>12.33</v>
      </c>
    </row>
    <row r="34" spans="1:30" x14ac:dyDescent="0.3">
      <c r="A34" t="s">
        <v>44</v>
      </c>
      <c r="B34" t="s">
        <v>218</v>
      </c>
      <c r="C34" t="s">
        <v>219</v>
      </c>
      <c r="D34" t="s">
        <v>46</v>
      </c>
      <c r="E34" t="s">
        <v>35</v>
      </c>
      <c r="F34" t="str">
        <f>"00100"</f>
        <v>00100</v>
      </c>
      <c r="G34" t="str">
        <f>"ZFHX3 p.777_778del"</f>
        <v>ZFHX3 p.777_778del</v>
      </c>
      <c r="H34" t="str">
        <f>"NM_006885"</f>
        <v>NM_006885</v>
      </c>
      <c r="J34" t="s">
        <v>220</v>
      </c>
      <c r="K34" t="str">
        <f>"8%"</f>
        <v>8%</v>
      </c>
      <c r="L34" t="str">
        <f>"0.05"</f>
        <v>0.05</v>
      </c>
      <c r="M34" t="str">
        <f t="shared" si="1"/>
        <v>000</v>
      </c>
      <c r="N34" t="s">
        <v>213</v>
      </c>
      <c r="O34" t="str">
        <f t="shared" si="2"/>
        <v>.</v>
      </c>
      <c r="P34" t="str">
        <f>"-0.20"</f>
        <v>-0.20</v>
      </c>
      <c r="R34" t="s">
        <v>65</v>
      </c>
      <c r="S34" t="s">
        <v>221</v>
      </c>
      <c r="T34" t="str">
        <f>"3.7400%"</f>
        <v>3.7400%</v>
      </c>
      <c r="U34" t="str">
        <f>"0.0700%"</f>
        <v>0.0700%</v>
      </c>
      <c r="V34" t="str">
        <f>"55.9700%"</f>
        <v>55.9700%</v>
      </c>
      <c r="W34" t="str">
        <f>""</f>
        <v/>
      </c>
      <c r="X34" t="s">
        <v>222</v>
      </c>
      <c r="Y34" t="str">
        <f>"24.2490%"</f>
        <v>24.2490%</v>
      </c>
      <c r="Z34" t="str">
        <f>"24.1940%"</f>
        <v>24.1940%</v>
      </c>
      <c r="AA34" t="s">
        <v>223</v>
      </c>
      <c r="AB34" t="s">
        <v>224</v>
      </c>
      <c r="AD34" t="str">
        <f>""</f>
        <v/>
      </c>
    </row>
    <row r="35" spans="1:30" x14ac:dyDescent="0.3">
      <c r="A35" t="s">
        <v>171</v>
      </c>
      <c r="B35" t="s">
        <v>225</v>
      </c>
      <c r="C35" t="s">
        <v>106</v>
      </c>
      <c r="D35" t="s">
        <v>33</v>
      </c>
      <c r="E35" t="s">
        <v>35</v>
      </c>
      <c r="F35" t="str">
        <f>"01000"</f>
        <v>01000</v>
      </c>
      <c r="G35" t="str">
        <f>"SPEN p.T3246P"</f>
        <v>SPEN p.T3246P</v>
      </c>
      <c r="H35" t="str">
        <f>"NM_015001"</f>
        <v>NM_015001</v>
      </c>
      <c r="J35" t="s">
        <v>226</v>
      </c>
      <c r="K35" t="str">
        <f>"22%"</f>
        <v>22%</v>
      </c>
      <c r="L35" t="str">
        <f>"-0.03"</f>
        <v>-0.03</v>
      </c>
      <c r="M35" t="str">
        <f t="shared" si="1"/>
        <v>000</v>
      </c>
      <c r="N35" t="s">
        <v>213</v>
      </c>
      <c r="O35" t="str">
        <f t="shared" si="2"/>
        <v>.</v>
      </c>
      <c r="P35" t="str">
        <f>"0.04"</f>
        <v>0.04</v>
      </c>
      <c r="R35" t="s">
        <v>38</v>
      </c>
      <c r="S35" t="s">
        <v>227</v>
      </c>
      <c r="T35" t="str">
        <f>"13.4400%"</f>
        <v>13.4400%</v>
      </c>
      <c r="U35" t="str">
        <f>"5.2200%"</f>
        <v>5.2200%</v>
      </c>
      <c r="V35" t="str">
        <f>""</f>
        <v/>
      </c>
      <c r="W35" t="str">
        <f>""</f>
        <v/>
      </c>
      <c r="X35" t="s">
        <v>228</v>
      </c>
      <c r="Y35" t="str">
        <f>"5.0520%"</f>
        <v>5.0520%</v>
      </c>
      <c r="Z35" t="str">
        <f>"1.8570%"</f>
        <v>1.8570%</v>
      </c>
      <c r="AA35" t="s">
        <v>229</v>
      </c>
      <c r="AB35" t="s">
        <v>230</v>
      </c>
      <c r="AC35" t="s">
        <v>231</v>
      </c>
      <c r="AD35" t="str">
        <f>"0.004"</f>
        <v>0.004</v>
      </c>
    </row>
    <row r="36" spans="1:30" x14ac:dyDescent="0.3">
      <c r="A36" t="s">
        <v>232</v>
      </c>
      <c r="B36" t="s">
        <v>233</v>
      </c>
      <c r="C36" t="s">
        <v>46</v>
      </c>
      <c r="D36" t="s">
        <v>34</v>
      </c>
      <c r="E36" t="s">
        <v>35</v>
      </c>
      <c r="F36" t="str">
        <f>"01000"</f>
        <v>01000</v>
      </c>
      <c r="G36" t="str">
        <f>"FLT1 p.A13E"</f>
        <v>FLT1 p.A13E</v>
      </c>
      <c r="H36" t="str">
        <f>"NM_002019"</f>
        <v>NM_002019</v>
      </c>
      <c r="J36" t="s">
        <v>234</v>
      </c>
      <c r="K36" t="str">
        <f>"12%"</f>
        <v>12%</v>
      </c>
      <c r="L36" t="str">
        <f>"-0.02"</f>
        <v>-0.02</v>
      </c>
      <c r="M36" t="str">
        <f t="shared" si="1"/>
        <v>000</v>
      </c>
      <c r="N36" t="s">
        <v>213</v>
      </c>
      <c r="O36" t="str">
        <f t="shared" si="2"/>
        <v>.</v>
      </c>
      <c r="P36" t="str">
        <f>"0.01"</f>
        <v>0.01</v>
      </c>
      <c r="R36" t="s">
        <v>38</v>
      </c>
      <c r="S36" t="s">
        <v>235</v>
      </c>
      <c r="T36" t="str">
        <f>""</f>
        <v/>
      </c>
      <c r="U36" t="str">
        <f>""</f>
        <v/>
      </c>
      <c r="V36" t="str">
        <f>""</f>
        <v/>
      </c>
      <c r="W36" t="str">
        <f>""</f>
        <v/>
      </c>
      <c r="Y36" t="str">
        <f>""</f>
        <v/>
      </c>
      <c r="Z36" t="str">
        <f>""</f>
        <v/>
      </c>
      <c r="AD36" t="str">
        <f>"19.51"</f>
        <v>19.51</v>
      </c>
    </row>
    <row r="37" spans="1:30" x14ac:dyDescent="0.3">
      <c r="A37" t="s">
        <v>31</v>
      </c>
      <c r="B37" t="s">
        <v>236</v>
      </c>
      <c r="C37" t="s">
        <v>46</v>
      </c>
      <c r="D37" t="s">
        <v>34</v>
      </c>
      <c r="E37" t="s">
        <v>35</v>
      </c>
      <c r="F37" t="str">
        <f>"01000"</f>
        <v>01000</v>
      </c>
      <c r="G37" t="str">
        <f>"DUSP2 p.L91M"</f>
        <v>DUSP2 p.L91M</v>
      </c>
      <c r="H37" t="str">
        <f>"NM_004418"</f>
        <v>NM_004418</v>
      </c>
      <c r="J37" t="s">
        <v>86</v>
      </c>
      <c r="K37" t="str">
        <f>"13%"</f>
        <v>13%</v>
      </c>
      <c r="L37" t="str">
        <f>"-0.09"</f>
        <v>-0.09</v>
      </c>
      <c r="M37" t="str">
        <f t="shared" si="1"/>
        <v>000</v>
      </c>
      <c r="N37" t="s">
        <v>213</v>
      </c>
      <c r="O37" t="str">
        <f t="shared" si="2"/>
        <v>.</v>
      </c>
      <c r="P37" t="str">
        <f>"-0.02"</f>
        <v>-0.02</v>
      </c>
      <c r="R37" t="s">
        <v>38</v>
      </c>
      <c r="S37" t="s">
        <v>237</v>
      </c>
      <c r="T37" t="str">
        <f>""</f>
        <v/>
      </c>
      <c r="U37" t="str">
        <f>""</f>
        <v/>
      </c>
      <c r="V37" t="str">
        <f>""</f>
        <v/>
      </c>
      <c r="W37" t="str">
        <f>""</f>
        <v/>
      </c>
      <c r="Y37" t="str">
        <f>""</f>
        <v/>
      </c>
      <c r="Z37" t="str">
        <f>""</f>
        <v/>
      </c>
      <c r="AD37" t="str">
        <f>"18.87"</f>
        <v>18.87</v>
      </c>
    </row>
    <row r="38" spans="1:30" x14ac:dyDescent="0.3">
      <c r="A38" t="s">
        <v>97</v>
      </c>
      <c r="B38" t="s">
        <v>238</v>
      </c>
      <c r="C38" t="s">
        <v>34</v>
      </c>
      <c r="D38" t="s">
        <v>33</v>
      </c>
      <c r="E38" t="s">
        <v>85</v>
      </c>
      <c r="F38" t="str">
        <f>"01000"</f>
        <v>01000</v>
      </c>
      <c r="G38" t="str">
        <f>"DOT1L"</f>
        <v>DOT1L</v>
      </c>
      <c r="H38" t="str">
        <f>""</f>
        <v/>
      </c>
      <c r="J38" t="s">
        <v>239</v>
      </c>
      <c r="K38" t="str">
        <f>"33%"</f>
        <v>33%</v>
      </c>
      <c r="L38" t="str">
        <f>"-0.02"</f>
        <v>-0.02</v>
      </c>
      <c r="M38" t="str">
        <f t="shared" si="1"/>
        <v>000</v>
      </c>
      <c r="N38" t="s">
        <v>213</v>
      </c>
      <c r="O38" t="str">
        <f t="shared" si="2"/>
        <v>.</v>
      </c>
      <c r="P38" t="str">
        <f>"0.21"</f>
        <v>0.21</v>
      </c>
      <c r="Q38" t="s">
        <v>240</v>
      </c>
      <c r="T38" t="str">
        <f>""</f>
        <v/>
      </c>
      <c r="U38" t="str">
        <f>""</f>
        <v/>
      </c>
      <c r="V38" t="str">
        <f>""</f>
        <v/>
      </c>
      <c r="W38" t="str">
        <f>""</f>
        <v/>
      </c>
      <c r="X38" t="s">
        <v>241</v>
      </c>
      <c r="Y38" t="str">
        <f>"7.7550%"</f>
        <v>7.7550%</v>
      </c>
      <c r="Z38" t="str">
        <f>"10.6500%"</f>
        <v>10.6500%</v>
      </c>
      <c r="AD38" t="str">
        <f>""</f>
        <v/>
      </c>
    </row>
  </sheetData>
  <autoFilter ref="A1:AD38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EduardoR</cp:lastModifiedBy>
  <dcterms:created xsi:type="dcterms:W3CDTF">2019-04-25T23:02:22Z</dcterms:created>
  <dcterms:modified xsi:type="dcterms:W3CDTF">2023-02-15T02:23:12Z</dcterms:modified>
</cp:coreProperties>
</file>