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H:\Documents\PhD\Rotations\winter2023\Data\DeID-UCSF500\Paired\"/>
    </mc:Choice>
  </mc:AlternateContent>
  <xr:revisionPtr revIDLastSave="0" documentId="13_ncr:1_{E46DA739-A2B9-4305-A1FD-6C072A166582}" xr6:coauthVersionLast="47" xr6:coauthVersionMax="47" xr10:uidLastSave="{00000000-0000-0000-0000-000000000000}"/>
  <bookViews>
    <workbookView xWindow="-108" yWindow="-108" windowWidth="30936" windowHeight="16896" activeTab="1" xr2:uid="{00000000-000D-0000-FFFF-FFFF00000000}"/>
  </bookViews>
  <sheets>
    <sheet name="Somatic" sheetId="2" r:id="rId1"/>
    <sheet name="Germline" sheetId="3" r:id="rId2"/>
  </sheets>
  <definedNames>
    <definedName name="_xlnm._FilterDatabase" localSheetId="1" hidden="1">Germline!$A$1:$AE$309</definedName>
    <definedName name="_xlnm._FilterDatabase" localSheetId="0" hidden="1">Somatic!$A$1:$AE$44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309" i="3" l="1"/>
  <c r="AA309" i="3"/>
  <c r="Z309" i="3"/>
  <c r="X309" i="3"/>
  <c r="W309" i="3"/>
  <c r="V309" i="3"/>
  <c r="U309" i="3"/>
  <c r="Q309" i="3"/>
  <c r="P309" i="3"/>
  <c r="M309" i="3"/>
  <c r="L309" i="3"/>
  <c r="K309" i="3"/>
  <c r="J309" i="3"/>
  <c r="I309" i="3"/>
  <c r="G309" i="3"/>
  <c r="AE308" i="3"/>
  <c r="AA308" i="3"/>
  <c r="Z308" i="3"/>
  <c r="X308" i="3"/>
  <c r="W308" i="3"/>
  <c r="V308" i="3"/>
  <c r="U308" i="3"/>
  <c r="Q308" i="3"/>
  <c r="P308" i="3"/>
  <c r="M308" i="3"/>
  <c r="L308" i="3"/>
  <c r="K308" i="3"/>
  <c r="J308" i="3"/>
  <c r="I308" i="3"/>
  <c r="G308" i="3"/>
  <c r="AE307" i="3"/>
  <c r="AA307" i="3"/>
  <c r="Z307" i="3"/>
  <c r="X307" i="3"/>
  <c r="W307" i="3"/>
  <c r="V307" i="3"/>
  <c r="U307" i="3"/>
  <c r="Q307" i="3"/>
  <c r="P307" i="3"/>
  <c r="M307" i="3"/>
  <c r="L307" i="3"/>
  <c r="K307" i="3"/>
  <c r="J307" i="3"/>
  <c r="I307" i="3"/>
  <c r="G307" i="3"/>
  <c r="AE306" i="3"/>
  <c r="AA306" i="3"/>
  <c r="Z306" i="3"/>
  <c r="X306" i="3"/>
  <c r="W306" i="3"/>
  <c r="V306" i="3"/>
  <c r="U306" i="3"/>
  <c r="Q306" i="3"/>
  <c r="P306" i="3"/>
  <c r="M306" i="3"/>
  <c r="L306" i="3"/>
  <c r="K306" i="3"/>
  <c r="J306" i="3"/>
  <c r="I306" i="3"/>
  <c r="G306" i="3"/>
  <c r="AE305" i="3"/>
  <c r="AA305" i="3"/>
  <c r="Z305" i="3"/>
  <c r="X305" i="3"/>
  <c r="W305" i="3"/>
  <c r="V305" i="3"/>
  <c r="U305" i="3"/>
  <c r="Q305" i="3"/>
  <c r="P305" i="3"/>
  <c r="M305" i="3"/>
  <c r="L305" i="3"/>
  <c r="K305" i="3"/>
  <c r="J305" i="3"/>
  <c r="I305" i="3"/>
  <c r="G305" i="3"/>
  <c r="AE304" i="3"/>
  <c r="AA304" i="3"/>
  <c r="Z304" i="3"/>
  <c r="X304" i="3"/>
  <c r="W304" i="3"/>
  <c r="V304" i="3"/>
  <c r="U304" i="3"/>
  <c r="Q304" i="3"/>
  <c r="P304" i="3"/>
  <c r="M304" i="3"/>
  <c r="L304" i="3"/>
  <c r="K304" i="3"/>
  <c r="J304" i="3"/>
  <c r="I304" i="3"/>
  <c r="G304" i="3"/>
  <c r="AE303" i="3"/>
  <c r="AA303" i="3"/>
  <c r="Z303" i="3"/>
  <c r="X303" i="3"/>
  <c r="W303" i="3"/>
  <c r="V303" i="3"/>
  <c r="U303" i="3"/>
  <c r="Q303" i="3"/>
  <c r="P303" i="3"/>
  <c r="M303" i="3"/>
  <c r="L303" i="3"/>
  <c r="K303" i="3"/>
  <c r="J303" i="3"/>
  <c r="I303" i="3"/>
  <c r="G303" i="3"/>
  <c r="AE302" i="3"/>
  <c r="AA302" i="3"/>
  <c r="Z302" i="3"/>
  <c r="X302" i="3"/>
  <c r="W302" i="3"/>
  <c r="V302" i="3"/>
  <c r="U302" i="3"/>
  <c r="Q302" i="3"/>
  <c r="P302" i="3"/>
  <c r="M302" i="3"/>
  <c r="L302" i="3"/>
  <c r="K302" i="3"/>
  <c r="J302" i="3"/>
  <c r="I302" i="3"/>
  <c r="G302" i="3"/>
  <c r="AE301" i="3"/>
  <c r="AA301" i="3"/>
  <c r="Z301" i="3"/>
  <c r="X301" i="3"/>
  <c r="W301" i="3"/>
  <c r="V301" i="3"/>
  <c r="U301" i="3"/>
  <c r="Q301" i="3"/>
  <c r="P301" i="3"/>
  <c r="M301" i="3"/>
  <c r="L301" i="3"/>
  <c r="K301" i="3"/>
  <c r="J301" i="3"/>
  <c r="I301" i="3"/>
  <c r="G301" i="3"/>
  <c r="AE300" i="3"/>
  <c r="AA300" i="3"/>
  <c r="Z300" i="3"/>
  <c r="X300" i="3"/>
  <c r="W300" i="3"/>
  <c r="V300" i="3"/>
  <c r="U300" i="3"/>
  <c r="Q300" i="3"/>
  <c r="P300" i="3"/>
  <c r="M300" i="3"/>
  <c r="L300" i="3"/>
  <c r="K300" i="3"/>
  <c r="J300" i="3"/>
  <c r="I300" i="3"/>
  <c r="G300" i="3"/>
  <c r="AE299" i="3"/>
  <c r="AA299" i="3"/>
  <c r="Z299" i="3"/>
  <c r="X299" i="3"/>
  <c r="W299" i="3"/>
  <c r="V299" i="3"/>
  <c r="U299" i="3"/>
  <c r="Q299" i="3"/>
  <c r="P299" i="3"/>
  <c r="M299" i="3"/>
  <c r="L299" i="3"/>
  <c r="K299" i="3"/>
  <c r="J299" i="3"/>
  <c r="I299" i="3"/>
  <c r="G299" i="3"/>
  <c r="AE298" i="3"/>
  <c r="AA298" i="3"/>
  <c r="Z298" i="3"/>
  <c r="X298" i="3"/>
  <c r="W298" i="3"/>
  <c r="V298" i="3"/>
  <c r="U298" i="3"/>
  <c r="Q298" i="3"/>
  <c r="P298" i="3"/>
  <c r="M298" i="3"/>
  <c r="L298" i="3"/>
  <c r="K298" i="3"/>
  <c r="J298" i="3"/>
  <c r="I298" i="3"/>
  <c r="G298" i="3"/>
  <c r="AE297" i="3"/>
  <c r="AA297" i="3"/>
  <c r="Z297" i="3"/>
  <c r="X297" i="3"/>
  <c r="W297" i="3"/>
  <c r="V297" i="3"/>
  <c r="U297" i="3"/>
  <c r="Q297" i="3"/>
  <c r="P297" i="3"/>
  <c r="M297" i="3"/>
  <c r="L297" i="3"/>
  <c r="K297" i="3"/>
  <c r="J297" i="3"/>
  <c r="I297" i="3"/>
  <c r="G297" i="3"/>
  <c r="AE296" i="3"/>
  <c r="AA296" i="3"/>
  <c r="Z296" i="3"/>
  <c r="X296" i="3"/>
  <c r="W296" i="3"/>
  <c r="V296" i="3"/>
  <c r="U296" i="3"/>
  <c r="Q296" i="3"/>
  <c r="P296" i="3"/>
  <c r="M296" i="3"/>
  <c r="L296" i="3"/>
  <c r="K296" i="3"/>
  <c r="J296" i="3"/>
  <c r="I296" i="3"/>
  <c r="G296" i="3"/>
  <c r="AE295" i="3"/>
  <c r="AA295" i="3"/>
  <c r="Z295" i="3"/>
  <c r="X295" i="3"/>
  <c r="W295" i="3"/>
  <c r="V295" i="3"/>
  <c r="U295" i="3"/>
  <c r="Q295" i="3"/>
  <c r="P295" i="3"/>
  <c r="M295" i="3"/>
  <c r="L295" i="3"/>
  <c r="K295" i="3"/>
  <c r="J295" i="3"/>
  <c r="I295" i="3"/>
  <c r="G295" i="3"/>
  <c r="AE294" i="3"/>
  <c r="AA294" i="3"/>
  <c r="Z294" i="3"/>
  <c r="X294" i="3"/>
  <c r="W294" i="3"/>
  <c r="V294" i="3"/>
  <c r="U294" i="3"/>
  <c r="Q294" i="3"/>
  <c r="P294" i="3"/>
  <c r="M294" i="3"/>
  <c r="L294" i="3"/>
  <c r="K294" i="3"/>
  <c r="J294" i="3"/>
  <c r="I294" i="3"/>
  <c r="G294" i="3"/>
  <c r="AE293" i="3"/>
  <c r="AA293" i="3"/>
  <c r="Z293" i="3"/>
  <c r="X293" i="3"/>
  <c r="W293" i="3"/>
  <c r="V293" i="3"/>
  <c r="U293" i="3"/>
  <c r="Q293" i="3"/>
  <c r="P293" i="3"/>
  <c r="M293" i="3"/>
  <c r="L293" i="3"/>
  <c r="K293" i="3"/>
  <c r="J293" i="3"/>
  <c r="I293" i="3"/>
  <c r="G293" i="3"/>
  <c r="AE292" i="3"/>
  <c r="AA292" i="3"/>
  <c r="Z292" i="3"/>
  <c r="X292" i="3"/>
  <c r="W292" i="3"/>
  <c r="V292" i="3"/>
  <c r="U292" i="3"/>
  <c r="Q292" i="3"/>
  <c r="P292" i="3"/>
  <c r="M292" i="3"/>
  <c r="L292" i="3"/>
  <c r="K292" i="3"/>
  <c r="J292" i="3"/>
  <c r="I292" i="3"/>
  <c r="G292" i="3"/>
  <c r="AE291" i="3"/>
  <c r="AA291" i="3"/>
  <c r="Z291" i="3"/>
  <c r="X291" i="3"/>
  <c r="W291" i="3"/>
  <c r="V291" i="3"/>
  <c r="U291" i="3"/>
  <c r="Q291" i="3"/>
  <c r="P291" i="3"/>
  <c r="M291" i="3"/>
  <c r="L291" i="3"/>
  <c r="K291" i="3"/>
  <c r="J291" i="3"/>
  <c r="I291" i="3"/>
  <c r="G291" i="3"/>
  <c r="AE290" i="3"/>
  <c r="AA290" i="3"/>
  <c r="Z290" i="3"/>
  <c r="X290" i="3"/>
  <c r="W290" i="3"/>
  <c r="V290" i="3"/>
  <c r="U290" i="3"/>
  <c r="Q290" i="3"/>
  <c r="P290" i="3"/>
  <c r="M290" i="3"/>
  <c r="L290" i="3"/>
  <c r="K290" i="3"/>
  <c r="J290" i="3"/>
  <c r="I290" i="3"/>
  <c r="G290" i="3"/>
  <c r="AE289" i="3"/>
  <c r="AA289" i="3"/>
  <c r="Z289" i="3"/>
  <c r="X289" i="3"/>
  <c r="W289" i="3"/>
  <c r="V289" i="3"/>
  <c r="U289" i="3"/>
  <c r="Q289" i="3"/>
  <c r="P289" i="3"/>
  <c r="M289" i="3"/>
  <c r="L289" i="3"/>
  <c r="K289" i="3"/>
  <c r="J289" i="3"/>
  <c r="I289" i="3"/>
  <c r="G289" i="3"/>
  <c r="AE288" i="3"/>
  <c r="AA288" i="3"/>
  <c r="Z288" i="3"/>
  <c r="X288" i="3"/>
  <c r="W288" i="3"/>
  <c r="V288" i="3"/>
  <c r="U288" i="3"/>
  <c r="Q288" i="3"/>
  <c r="P288" i="3"/>
  <c r="M288" i="3"/>
  <c r="L288" i="3"/>
  <c r="K288" i="3"/>
  <c r="J288" i="3"/>
  <c r="I288" i="3"/>
  <c r="G288" i="3"/>
  <c r="AE287" i="3"/>
  <c r="AA287" i="3"/>
  <c r="Z287" i="3"/>
  <c r="X287" i="3"/>
  <c r="W287" i="3"/>
  <c r="V287" i="3"/>
  <c r="U287" i="3"/>
  <c r="Q287" i="3"/>
  <c r="P287" i="3"/>
  <c r="M287" i="3"/>
  <c r="L287" i="3"/>
  <c r="K287" i="3"/>
  <c r="J287" i="3"/>
  <c r="I287" i="3"/>
  <c r="G287" i="3"/>
  <c r="AE286" i="3"/>
  <c r="AA286" i="3"/>
  <c r="Z286" i="3"/>
  <c r="X286" i="3"/>
  <c r="W286" i="3"/>
  <c r="V286" i="3"/>
  <c r="U286" i="3"/>
  <c r="Q286" i="3"/>
  <c r="P286" i="3"/>
  <c r="M286" i="3"/>
  <c r="L286" i="3"/>
  <c r="K286" i="3"/>
  <c r="J286" i="3"/>
  <c r="I286" i="3"/>
  <c r="G286" i="3"/>
  <c r="AE285" i="3"/>
  <c r="AA285" i="3"/>
  <c r="Z285" i="3"/>
  <c r="X285" i="3"/>
  <c r="W285" i="3"/>
  <c r="V285" i="3"/>
  <c r="U285" i="3"/>
  <c r="Q285" i="3"/>
  <c r="P285" i="3"/>
  <c r="M285" i="3"/>
  <c r="L285" i="3"/>
  <c r="K285" i="3"/>
  <c r="J285" i="3"/>
  <c r="I285" i="3"/>
  <c r="G285" i="3"/>
  <c r="AE284" i="3"/>
  <c r="AA284" i="3"/>
  <c r="Z284" i="3"/>
  <c r="X284" i="3"/>
  <c r="W284" i="3"/>
  <c r="V284" i="3"/>
  <c r="U284" i="3"/>
  <c r="Q284" i="3"/>
  <c r="P284" i="3"/>
  <c r="M284" i="3"/>
  <c r="L284" i="3"/>
  <c r="K284" i="3"/>
  <c r="J284" i="3"/>
  <c r="I284" i="3"/>
  <c r="G284" i="3"/>
  <c r="AE283" i="3"/>
  <c r="AA283" i="3"/>
  <c r="Z283" i="3"/>
  <c r="X283" i="3"/>
  <c r="W283" i="3"/>
  <c r="V283" i="3"/>
  <c r="U283" i="3"/>
  <c r="Q283" i="3"/>
  <c r="P283" i="3"/>
  <c r="M283" i="3"/>
  <c r="L283" i="3"/>
  <c r="K283" i="3"/>
  <c r="J283" i="3"/>
  <c r="I283" i="3"/>
  <c r="G283" i="3"/>
  <c r="AE282" i="3"/>
  <c r="AA282" i="3"/>
  <c r="Z282" i="3"/>
  <c r="X282" i="3"/>
  <c r="W282" i="3"/>
  <c r="V282" i="3"/>
  <c r="U282" i="3"/>
  <c r="Q282" i="3"/>
  <c r="P282" i="3"/>
  <c r="M282" i="3"/>
  <c r="L282" i="3"/>
  <c r="K282" i="3"/>
  <c r="J282" i="3"/>
  <c r="I282" i="3"/>
  <c r="G282" i="3"/>
  <c r="AE281" i="3"/>
  <c r="AA281" i="3"/>
  <c r="Z281" i="3"/>
  <c r="X281" i="3"/>
  <c r="W281" i="3"/>
  <c r="V281" i="3"/>
  <c r="U281" i="3"/>
  <c r="Q281" i="3"/>
  <c r="P281" i="3"/>
  <c r="M281" i="3"/>
  <c r="L281" i="3"/>
  <c r="K281" i="3"/>
  <c r="J281" i="3"/>
  <c r="I281" i="3"/>
  <c r="G281" i="3"/>
  <c r="AE280" i="3"/>
  <c r="AA280" i="3"/>
  <c r="Z280" i="3"/>
  <c r="X280" i="3"/>
  <c r="W280" i="3"/>
  <c r="V280" i="3"/>
  <c r="U280" i="3"/>
  <c r="Q280" i="3"/>
  <c r="P280" i="3"/>
  <c r="M280" i="3"/>
  <c r="L280" i="3"/>
  <c r="K280" i="3"/>
  <c r="J280" i="3"/>
  <c r="I280" i="3"/>
  <c r="G280" i="3"/>
  <c r="AE279" i="3"/>
  <c r="AA279" i="3"/>
  <c r="Z279" i="3"/>
  <c r="X279" i="3"/>
  <c r="W279" i="3"/>
  <c r="V279" i="3"/>
  <c r="U279" i="3"/>
  <c r="Q279" i="3"/>
  <c r="P279" i="3"/>
  <c r="M279" i="3"/>
  <c r="L279" i="3"/>
  <c r="K279" i="3"/>
  <c r="J279" i="3"/>
  <c r="I279" i="3"/>
  <c r="G279" i="3"/>
  <c r="AE278" i="3"/>
  <c r="AA278" i="3"/>
  <c r="Z278" i="3"/>
  <c r="X278" i="3"/>
  <c r="W278" i="3"/>
  <c r="V278" i="3"/>
  <c r="U278" i="3"/>
  <c r="Q278" i="3"/>
  <c r="P278" i="3"/>
  <c r="M278" i="3"/>
  <c r="L278" i="3"/>
  <c r="K278" i="3"/>
  <c r="J278" i="3"/>
  <c r="I278" i="3"/>
  <c r="G278" i="3"/>
  <c r="AE277" i="3"/>
  <c r="AA277" i="3"/>
  <c r="Z277" i="3"/>
  <c r="X277" i="3"/>
  <c r="W277" i="3"/>
  <c r="V277" i="3"/>
  <c r="U277" i="3"/>
  <c r="Q277" i="3"/>
  <c r="P277" i="3"/>
  <c r="M277" i="3"/>
  <c r="L277" i="3"/>
  <c r="K277" i="3"/>
  <c r="J277" i="3"/>
  <c r="I277" i="3"/>
  <c r="G277" i="3"/>
  <c r="AE276" i="3"/>
  <c r="AA276" i="3"/>
  <c r="Z276" i="3"/>
  <c r="X276" i="3"/>
  <c r="W276" i="3"/>
  <c r="V276" i="3"/>
  <c r="U276" i="3"/>
  <c r="Q276" i="3"/>
  <c r="P276" i="3"/>
  <c r="M276" i="3"/>
  <c r="L276" i="3"/>
  <c r="K276" i="3"/>
  <c r="J276" i="3"/>
  <c r="I276" i="3"/>
  <c r="G276" i="3"/>
  <c r="AE275" i="3"/>
  <c r="AA275" i="3"/>
  <c r="Z275" i="3"/>
  <c r="X275" i="3"/>
  <c r="W275" i="3"/>
  <c r="V275" i="3"/>
  <c r="U275" i="3"/>
  <c r="Q275" i="3"/>
  <c r="P275" i="3"/>
  <c r="M275" i="3"/>
  <c r="L275" i="3"/>
  <c r="K275" i="3"/>
  <c r="J275" i="3"/>
  <c r="I275" i="3"/>
  <c r="G275" i="3"/>
  <c r="AE274" i="3"/>
  <c r="AA274" i="3"/>
  <c r="Z274" i="3"/>
  <c r="X274" i="3"/>
  <c r="W274" i="3"/>
  <c r="V274" i="3"/>
  <c r="U274" i="3"/>
  <c r="Q274" i="3"/>
  <c r="P274" i="3"/>
  <c r="M274" i="3"/>
  <c r="L274" i="3"/>
  <c r="K274" i="3"/>
  <c r="J274" i="3"/>
  <c r="I274" i="3"/>
  <c r="G274" i="3"/>
  <c r="AE273" i="3"/>
  <c r="AA273" i="3"/>
  <c r="Z273" i="3"/>
  <c r="X273" i="3"/>
  <c r="W273" i="3"/>
  <c r="V273" i="3"/>
  <c r="U273" i="3"/>
  <c r="Q273" i="3"/>
  <c r="P273" i="3"/>
  <c r="M273" i="3"/>
  <c r="L273" i="3"/>
  <c r="K273" i="3"/>
  <c r="J273" i="3"/>
  <c r="I273" i="3"/>
  <c r="G273" i="3"/>
  <c r="AE272" i="3"/>
  <c r="AA272" i="3"/>
  <c r="Z272" i="3"/>
  <c r="X272" i="3"/>
  <c r="W272" i="3"/>
  <c r="V272" i="3"/>
  <c r="U272" i="3"/>
  <c r="Q272" i="3"/>
  <c r="P272" i="3"/>
  <c r="M272" i="3"/>
  <c r="L272" i="3"/>
  <c r="K272" i="3"/>
  <c r="J272" i="3"/>
  <c r="I272" i="3"/>
  <c r="G272" i="3"/>
  <c r="AE271" i="3"/>
  <c r="AA271" i="3"/>
  <c r="Z271" i="3"/>
  <c r="X271" i="3"/>
  <c r="W271" i="3"/>
  <c r="V271" i="3"/>
  <c r="U271" i="3"/>
  <c r="Q271" i="3"/>
  <c r="P271" i="3"/>
  <c r="M271" i="3"/>
  <c r="L271" i="3"/>
  <c r="K271" i="3"/>
  <c r="J271" i="3"/>
  <c r="I271" i="3"/>
  <c r="G271" i="3"/>
  <c r="AE270" i="3"/>
  <c r="AA270" i="3"/>
  <c r="Z270" i="3"/>
  <c r="X270" i="3"/>
  <c r="W270" i="3"/>
  <c r="V270" i="3"/>
  <c r="U270" i="3"/>
  <c r="Q270" i="3"/>
  <c r="P270" i="3"/>
  <c r="M270" i="3"/>
  <c r="L270" i="3"/>
  <c r="K270" i="3"/>
  <c r="J270" i="3"/>
  <c r="I270" i="3"/>
  <c r="G270" i="3"/>
  <c r="AE269" i="3"/>
  <c r="AA269" i="3"/>
  <c r="Z269" i="3"/>
  <c r="X269" i="3"/>
  <c r="W269" i="3"/>
  <c r="V269" i="3"/>
  <c r="U269" i="3"/>
  <c r="Q269" i="3"/>
  <c r="P269" i="3"/>
  <c r="M269" i="3"/>
  <c r="L269" i="3"/>
  <c r="K269" i="3"/>
  <c r="J269" i="3"/>
  <c r="I269" i="3"/>
  <c r="G269" i="3"/>
  <c r="AE268" i="3"/>
  <c r="AA268" i="3"/>
  <c r="Z268" i="3"/>
  <c r="X268" i="3"/>
  <c r="W268" i="3"/>
  <c r="V268" i="3"/>
  <c r="U268" i="3"/>
  <c r="Q268" i="3"/>
  <c r="P268" i="3"/>
  <c r="M268" i="3"/>
  <c r="L268" i="3"/>
  <c r="K268" i="3"/>
  <c r="J268" i="3"/>
  <c r="I268" i="3"/>
  <c r="G268" i="3"/>
  <c r="AE267" i="3"/>
  <c r="AA267" i="3"/>
  <c r="Z267" i="3"/>
  <c r="X267" i="3"/>
  <c r="W267" i="3"/>
  <c r="V267" i="3"/>
  <c r="U267" i="3"/>
  <c r="Q267" i="3"/>
  <c r="P267" i="3"/>
  <c r="M267" i="3"/>
  <c r="L267" i="3"/>
  <c r="K267" i="3"/>
  <c r="J267" i="3"/>
  <c r="I267" i="3"/>
  <c r="G267" i="3"/>
  <c r="AE266" i="3"/>
  <c r="AA266" i="3"/>
  <c r="Z266" i="3"/>
  <c r="X266" i="3"/>
  <c r="W266" i="3"/>
  <c r="V266" i="3"/>
  <c r="U266" i="3"/>
  <c r="Q266" i="3"/>
  <c r="P266" i="3"/>
  <c r="M266" i="3"/>
  <c r="L266" i="3"/>
  <c r="K266" i="3"/>
  <c r="J266" i="3"/>
  <c r="I266" i="3"/>
  <c r="G266" i="3"/>
  <c r="AE265" i="3"/>
  <c r="AA265" i="3"/>
  <c r="Z265" i="3"/>
  <c r="X265" i="3"/>
  <c r="W265" i="3"/>
  <c r="V265" i="3"/>
  <c r="U265" i="3"/>
  <c r="Q265" i="3"/>
  <c r="P265" i="3"/>
  <c r="M265" i="3"/>
  <c r="L265" i="3"/>
  <c r="K265" i="3"/>
  <c r="J265" i="3"/>
  <c r="I265" i="3"/>
  <c r="G265" i="3"/>
  <c r="AE264" i="3"/>
  <c r="AA264" i="3"/>
  <c r="Z264" i="3"/>
  <c r="X264" i="3"/>
  <c r="W264" i="3"/>
  <c r="V264" i="3"/>
  <c r="U264" i="3"/>
  <c r="Q264" i="3"/>
  <c r="P264" i="3"/>
  <c r="M264" i="3"/>
  <c r="L264" i="3"/>
  <c r="K264" i="3"/>
  <c r="J264" i="3"/>
  <c r="I264" i="3"/>
  <c r="G264" i="3"/>
  <c r="AE263" i="3"/>
  <c r="AA263" i="3"/>
  <c r="Z263" i="3"/>
  <c r="X263" i="3"/>
  <c r="W263" i="3"/>
  <c r="V263" i="3"/>
  <c r="U263" i="3"/>
  <c r="Q263" i="3"/>
  <c r="P263" i="3"/>
  <c r="M263" i="3"/>
  <c r="L263" i="3"/>
  <c r="K263" i="3"/>
  <c r="J263" i="3"/>
  <c r="I263" i="3"/>
  <c r="G263" i="3"/>
  <c r="AE262" i="3"/>
  <c r="AA262" i="3"/>
  <c r="Z262" i="3"/>
  <c r="X262" i="3"/>
  <c r="W262" i="3"/>
  <c r="V262" i="3"/>
  <c r="U262" i="3"/>
  <c r="Q262" i="3"/>
  <c r="P262" i="3"/>
  <c r="M262" i="3"/>
  <c r="L262" i="3"/>
  <c r="K262" i="3"/>
  <c r="J262" i="3"/>
  <c r="I262" i="3"/>
  <c r="G262" i="3"/>
  <c r="AE261" i="3"/>
  <c r="AA261" i="3"/>
  <c r="Z261" i="3"/>
  <c r="X261" i="3"/>
  <c r="W261" i="3"/>
  <c r="V261" i="3"/>
  <c r="U261" i="3"/>
  <c r="Q261" i="3"/>
  <c r="P261" i="3"/>
  <c r="M261" i="3"/>
  <c r="L261" i="3"/>
  <c r="K261" i="3"/>
  <c r="J261" i="3"/>
  <c r="I261" i="3"/>
  <c r="G261" i="3"/>
  <c r="AE260" i="3"/>
  <c r="AA260" i="3"/>
  <c r="Z260" i="3"/>
  <c r="X260" i="3"/>
  <c r="W260" i="3"/>
  <c r="V260" i="3"/>
  <c r="U260" i="3"/>
  <c r="Q260" i="3"/>
  <c r="P260" i="3"/>
  <c r="M260" i="3"/>
  <c r="L260" i="3"/>
  <c r="K260" i="3"/>
  <c r="J260" i="3"/>
  <c r="I260" i="3"/>
  <c r="G260" i="3"/>
  <c r="AE259" i="3"/>
  <c r="AA259" i="3"/>
  <c r="Z259" i="3"/>
  <c r="X259" i="3"/>
  <c r="W259" i="3"/>
  <c r="V259" i="3"/>
  <c r="U259" i="3"/>
  <c r="Q259" i="3"/>
  <c r="P259" i="3"/>
  <c r="M259" i="3"/>
  <c r="L259" i="3"/>
  <c r="K259" i="3"/>
  <c r="J259" i="3"/>
  <c r="I259" i="3"/>
  <c r="G259" i="3"/>
  <c r="AE258" i="3"/>
  <c r="AA258" i="3"/>
  <c r="Z258" i="3"/>
  <c r="X258" i="3"/>
  <c r="W258" i="3"/>
  <c r="V258" i="3"/>
  <c r="U258" i="3"/>
  <c r="Q258" i="3"/>
  <c r="P258" i="3"/>
  <c r="M258" i="3"/>
  <c r="L258" i="3"/>
  <c r="K258" i="3"/>
  <c r="J258" i="3"/>
  <c r="I258" i="3"/>
  <c r="G258" i="3"/>
  <c r="AE257" i="3"/>
  <c r="AA257" i="3"/>
  <c r="Z257" i="3"/>
  <c r="X257" i="3"/>
  <c r="W257" i="3"/>
  <c r="V257" i="3"/>
  <c r="U257" i="3"/>
  <c r="Q257" i="3"/>
  <c r="P257" i="3"/>
  <c r="M257" i="3"/>
  <c r="L257" i="3"/>
  <c r="K257" i="3"/>
  <c r="J257" i="3"/>
  <c r="I257" i="3"/>
  <c r="G257" i="3"/>
  <c r="AE256" i="3"/>
  <c r="AA256" i="3"/>
  <c r="Z256" i="3"/>
  <c r="X256" i="3"/>
  <c r="W256" i="3"/>
  <c r="V256" i="3"/>
  <c r="U256" i="3"/>
  <c r="Q256" i="3"/>
  <c r="P256" i="3"/>
  <c r="M256" i="3"/>
  <c r="L256" i="3"/>
  <c r="K256" i="3"/>
  <c r="J256" i="3"/>
  <c r="I256" i="3"/>
  <c r="G256" i="3"/>
  <c r="AE255" i="3"/>
  <c r="AA255" i="3"/>
  <c r="Z255" i="3"/>
  <c r="X255" i="3"/>
  <c r="W255" i="3"/>
  <c r="V255" i="3"/>
  <c r="U255" i="3"/>
  <c r="Q255" i="3"/>
  <c r="P255" i="3"/>
  <c r="M255" i="3"/>
  <c r="L255" i="3"/>
  <c r="K255" i="3"/>
  <c r="J255" i="3"/>
  <c r="I255" i="3"/>
  <c r="G255" i="3"/>
  <c r="AE254" i="3"/>
  <c r="AA254" i="3"/>
  <c r="Z254" i="3"/>
  <c r="X254" i="3"/>
  <c r="W254" i="3"/>
  <c r="V254" i="3"/>
  <c r="U254" i="3"/>
  <c r="Q254" i="3"/>
  <c r="P254" i="3"/>
  <c r="M254" i="3"/>
  <c r="L254" i="3"/>
  <c r="K254" i="3"/>
  <c r="J254" i="3"/>
  <c r="I254" i="3"/>
  <c r="G254" i="3"/>
  <c r="AE253" i="3"/>
  <c r="AA253" i="3"/>
  <c r="Z253" i="3"/>
  <c r="X253" i="3"/>
  <c r="W253" i="3"/>
  <c r="V253" i="3"/>
  <c r="U253" i="3"/>
  <c r="Q253" i="3"/>
  <c r="P253" i="3"/>
  <c r="M253" i="3"/>
  <c r="L253" i="3"/>
  <c r="K253" i="3"/>
  <c r="J253" i="3"/>
  <c r="I253" i="3"/>
  <c r="G253" i="3"/>
  <c r="AE252" i="3"/>
  <c r="AA252" i="3"/>
  <c r="Z252" i="3"/>
  <c r="X252" i="3"/>
  <c r="W252" i="3"/>
  <c r="V252" i="3"/>
  <c r="U252" i="3"/>
  <c r="Q252" i="3"/>
  <c r="P252" i="3"/>
  <c r="M252" i="3"/>
  <c r="L252" i="3"/>
  <c r="K252" i="3"/>
  <c r="J252" i="3"/>
  <c r="I252" i="3"/>
  <c r="G252" i="3"/>
  <c r="AE251" i="3"/>
  <c r="AA251" i="3"/>
  <c r="Z251" i="3"/>
  <c r="X251" i="3"/>
  <c r="W251" i="3"/>
  <c r="V251" i="3"/>
  <c r="U251" i="3"/>
  <c r="Q251" i="3"/>
  <c r="P251" i="3"/>
  <c r="M251" i="3"/>
  <c r="L251" i="3"/>
  <c r="K251" i="3"/>
  <c r="J251" i="3"/>
  <c r="I251" i="3"/>
  <c r="G251" i="3"/>
  <c r="AE250" i="3"/>
  <c r="AA250" i="3"/>
  <c r="Z250" i="3"/>
  <c r="X250" i="3"/>
  <c r="W250" i="3"/>
  <c r="V250" i="3"/>
  <c r="U250" i="3"/>
  <c r="Q250" i="3"/>
  <c r="P250" i="3"/>
  <c r="M250" i="3"/>
  <c r="L250" i="3"/>
  <c r="K250" i="3"/>
  <c r="J250" i="3"/>
  <c r="I250" i="3"/>
  <c r="G250" i="3"/>
  <c r="AE249" i="3"/>
  <c r="AA249" i="3"/>
  <c r="Z249" i="3"/>
  <c r="X249" i="3"/>
  <c r="W249" i="3"/>
  <c r="V249" i="3"/>
  <c r="U249" i="3"/>
  <c r="Q249" i="3"/>
  <c r="P249" i="3"/>
  <c r="M249" i="3"/>
  <c r="L249" i="3"/>
  <c r="K249" i="3"/>
  <c r="J249" i="3"/>
  <c r="I249" i="3"/>
  <c r="G249" i="3"/>
  <c r="AE248" i="3"/>
  <c r="AA248" i="3"/>
  <c r="Z248" i="3"/>
  <c r="X248" i="3"/>
  <c r="W248" i="3"/>
  <c r="V248" i="3"/>
  <c r="U248" i="3"/>
  <c r="Q248" i="3"/>
  <c r="P248" i="3"/>
  <c r="M248" i="3"/>
  <c r="L248" i="3"/>
  <c r="K248" i="3"/>
  <c r="J248" i="3"/>
  <c r="I248" i="3"/>
  <c r="G248" i="3"/>
  <c r="AE247" i="3"/>
  <c r="AA247" i="3"/>
  <c r="Z247" i="3"/>
  <c r="X247" i="3"/>
  <c r="W247" i="3"/>
  <c r="V247" i="3"/>
  <c r="U247" i="3"/>
  <c r="Q247" i="3"/>
  <c r="P247" i="3"/>
  <c r="M247" i="3"/>
  <c r="L247" i="3"/>
  <c r="K247" i="3"/>
  <c r="J247" i="3"/>
  <c r="I247" i="3"/>
  <c r="G247" i="3"/>
  <c r="AE246" i="3"/>
  <c r="AA246" i="3"/>
  <c r="Z246" i="3"/>
  <c r="X246" i="3"/>
  <c r="W246" i="3"/>
  <c r="V246" i="3"/>
  <c r="U246" i="3"/>
  <c r="Q246" i="3"/>
  <c r="P246" i="3"/>
  <c r="M246" i="3"/>
  <c r="L246" i="3"/>
  <c r="K246" i="3"/>
  <c r="J246" i="3"/>
  <c r="I246" i="3"/>
  <c r="G246" i="3"/>
  <c r="AE245" i="3"/>
  <c r="AA245" i="3"/>
  <c r="Z245" i="3"/>
  <c r="X245" i="3"/>
  <c r="W245" i="3"/>
  <c r="V245" i="3"/>
  <c r="U245" i="3"/>
  <c r="Q245" i="3"/>
  <c r="P245" i="3"/>
  <c r="M245" i="3"/>
  <c r="L245" i="3"/>
  <c r="K245" i="3"/>
  <c r="J245" i="3"/>
  <c r="I245" i="3"/>
  <c r="G245" i="3"/>
  <c r="AE244" i="3"/>
  <c r="AA244" i="3"/>
  <c r="Z244" i="3"/>
  <c r="X244" i="3"/>
  <c r="W244" i="3"/>
  <c r="V244" i="3"/>
  <c r="U244" i="3"/>
  <c r="Q244" i="3"/>
  <c r="P244" i="3"/>
  <c r="M244" i="3"/>
  <c r="L244" i="3"/>
  <c r="K244" i="3"/>
  <c r="J244" i="3"/>
  <c r="I244" i="3"/>
  <c r="G244" i="3"/>
  <c r="AE243" i="3"/>
  <c r="AA243" i="3"/>
  <c r="Z243" i="3"/>
  <c r="X243" i="3"/>
  <c r="W243" i="3"/>
  <c r="V243" i="3"/>
  <c r="U243" i="3"/>
  <c r="Q243" i="3"/>
  <c r="P243" i="3"/>
  <c r="M243" i="3"/>
  <c r="L243" i="3"/>
  <c r="K243" i="3"/>
  <c r="J243" i="3"/>
  <c r="I243" i="3"/>
  <c r="G243" i="3"/>
  <c r="AE242" i="3"/>
  <c r="AA242" i="3"/>
  <c r="Z242" i="3"/>
  <c r="X242" i="3"/>
  <c r="W242" i="3"/>
  <c r="V242" i="3"/>
  <c r="U242" i="3"/>
  <c r="Q242" i="3"/>
  <c r="P242" i="3"/>
  <c r="M242" i="3"/>
  <c r="L242" i="3"/>
  <c r="K242" i="3"/>
  <c r="J242" i="3"/>
  <c r="I242" i="3"/>
  <c r="G242" i="3"/>
  <c r="AE241" i="3"/>
  <c r="AA241" i="3"/>
  <c r="Z241" i="3"/>
  <c r="X241" i="3"/>
  <c r="W241" i="3"/>
  <c r="V241" i="3"/>
  <c r="U241" i="3"/>
  <c r="Q241" i="3"/>
  <c r="P241" i="3"/>
  <c r="M241" i="3"/>
  <c r="L241" i="3"/>
  <c r="K241" i="3"/>
  <c r="J241" i="3"/>
  <c r="I241" i="3"/>
  <c r="G241" i="3"/>
  <c r="AE240" i="3"/>
  <c r="AA240" i="3"/>
  <c r="Z240" i="3"/>
  <c r="X240" i="3"/>
  <c r="W240" i="3"/>
  <c r="V240" i="3"/>
  <c r="U240" i="3"/>
  <c r="Q240" i="3"/>
  <c r="P240" i="3"/>
  <c r="M240" i="3"/>
  <c r="L240" i="3"/>
  <c r="K240" i="3"/>
  <c r="J240" i="3"/>
  <c r="I240" i="3"/>
  <c r="G240" i="3"/>
  <c r="AE239" i="3"/>
  <c r="AA239" i="3"/>
  <c r="Z239" i="3"/>
  <c r="X239" i="3"/>
  <c r="W239" i="3"/>
  <c r="V239" i="3"/>
  <c r="U239" i="3"/>
  <c r="Q239" i="3"/>
  <c r="P239" i="3"/>
  <c r="M239" i="3"/>
  <c r="L239" i="3"/>
  <c r="K239" i="3"/>
  <c r="J239" i="3"/>
  <c r="I239" i="3"/>
  <c r="G239" i="3"/>
  <c r="AE238" i="3"/>
  <c r="AA238" i="3"/>
  <c r="Z238" i="3"/>
  <c r="X238" i="3"/>
  <c r="W238" i="3"/>
  <c r="V238" i="3"/>
  <c r="U238" i="3"/>
  <c r="Q238" i="3"/>
  <c r="P238" i="3"/>
  <c r="M238" i="3"/>
  <c r="L238" i="3"/>
  <c r="K238" i="3"/>
  <c r="J238" i="3"/>
  <c r="I238" i="3"/>
  <c r="G238" i="3"/>
  <c r="AE237" i="3"/>
  <c r="AA237" i="3"/>
  <c r="Z237" i="3"/>
  <c r="X237" i="3"/>
  <c r="W237" i="3"/>
  <c r="V237" i="3"/>
  <c r="U237" i="3"/>
  <c r="Q237" i="3"/>
  <c r="P237" i="3"/>
  <c r="M237" i="3"/>
  <c r="L237" i="3"/>
  <c r="K237" i="3"/>
  <c r="J237" i="3"/>
  <c r="I237" i="3"/>
  <c r="G237" i="3"/>
  <c r="AE236" i="3"/>
  <c r="AA236" i="3"/>
  <c r="Z236" i="3"/>
  <c r="X236" i="3"/>
  <c r="W236" i="3"/>
  <c r="V236" i="3"/>
  <c r="U236" i="3"/>
  <c r="Q236" i="3"/>
  <c r="P236" i="3"/>
  <c r="M236" i="3"/>
  <c r="L236" i="3"/>
  <c r="K236" i="3"/>
  <c r="J236" i="3"/>
  <c r="I236" i="3"/>
  <c r="G236" i="3"/>
  <c r="AE235" i="3"/>
  <c r="AA235" i="3"/>
  <c r="Z235" i="3"/>
  <c r="X235" i="3"/>
  <c r="W235" i="3"/>
  <c r="V235" i="3"/>
  <c r="U235" i="3"/>
  <c r="Q235" i="3"/>
  <c r="P235" i="3"/>
  <c r="M235" i="3"/>
  <c r="L235" i="3"/>
  <c r="K235" i="3"/>
  <c r="J235" i="3"/>
  <c r="I235" i="3"/>
  <c r="G235" i="3"/>
  <c r="AE234" i="3"/>
  <c r="AA234" i="3"/>
  <c r="Z234" i="3"/>
  <c r="X234" i="3"/>
  <c r="W234" i="3"/>
  <c r="V234" i="3"/>
  <c r="U234" i="3"/>
  <c r="Q234" i="3"/>
  <c r="P234" i="3"/>
  <c r="M234" i="3"/>
  <c r="L234" i="3"/>
  <c r="K234" i="3"/>
  <c r="J234" i="3"/>
  <c r="I234" i="3"/>
  <c r="G234" i="3"/>
  <c r="AE233" i="3"/>
  <c r="AA233" i="3"/>
  <c r="Z233" i="3"/>
  <c r="X233" i="3"/>
  <c r="W233" i="3"/>
  <c r="V233" i="3"/>
  <c r="U233" i="3"/>
  <c r="Q233" i="3"/>
  <c r="P233" i="3"/>
  <c r="M233" i="3"/>
  <c r="L233" i="3"/>
  <c r="K233" i="3"/>
  <c r="J233" i="3"/>
  <c r="I233" i="3"/>
  <c r="G233" i="3"/>
  <c r="AE232" i="3"/>
  <c r="AA232" i="3"/>
  <c r="Z232" i="3"/>
  <c r="X232" i="3"/>
  <c r="W232" i="3"/>
  <c r="V232" i="3"/>
  <c r="U232" i="3"/>
  <c r="Q232" i="3"/>
  <c r="P232" i="3"/>
  <c r="M232" i="3"/>
  <c r="L232" i="3"/>
  <c r="K232" i="3"/>
  <c r="J232" i="3"/>
  <c r="I232" i="3"/>
  <c r="G232" i="3"/>
  <c r="AE231" i="3"/>
  <c r="AA231" i="3"/>
  <c r="Z231" i="3"/>
  <c r="X231" i="3"/>
  <c r="W231" i="3"/>
  <c r="V231" i="3"/>
  <c r="U231" i="3"/>
  <c r="Q231" i="3"/>
  <c r="P231" i="3"/>
  <c r="M231" i="3"/>
  <c r="L231" i="3"/>
  <c r="K231" i="3"/>
  <c r="J231" i="3"/>
  <c r="I231" i="3"/>
  <c r="G231" i="3"/>
  <c r="AE230" i="3"/>
  <c r="AA230" i="3"/>
  <c r="Z230" i="3"/>
  <c r="X230" i="3"/>
  <c r="W230" i="3"/>
  <c r="V230" i="3"/>
  <c r="U230" i="3"/>
  <c r="Q230" i="3"/>
  <c r="P230" i="3"/>
  <c r="M230" i="3"/>
  <c r="L230" i="3"/>
  <c r="K230" i="3"/>
  <c r="J230" i="3"/>
  <c r="I230" i="3"/>
  <c r="G230" i="3"/>
  <c r="AE229" i="3"/>
  <c r="AA229" i="3"/>
  <c r="Z229" i="3"/>
  <c r="X229" i="3"/>
  <c r="W229" i="3"/>
  <c r="V229" i="3"/>
  <c r="U229" i="3"/>
  <c r="Q229" i="3"/>
  <c r="P229" i="3"/>
  <c r="M229" i="3"/>
  <c r="L229" i="3"/>
  <c r="K229" i="3"/>
  <c r="J229" i="3"/>
  <c r="I229" i="3"/>
  <c r="G229" i="3"/>
  <c r="AE228" i="3"/>
  <c r="AA228" i="3"/>
  <c r="Z228" i="3"/>
  <c r="X228" i="3"/>
  <c r="W228" i="3"/>
  <c r="V228" i="3"/>
  <c r="U228" i="3"/>
  <c r="Q228" i="3"/>
  <c r="P228" i="3"/>
  <c r="M228" i="3"/>
  <c r="L228" i="3"/>
  <c r="K228" i="3"/>
  <c r="J228" i="3"/>
  <c r="I228" i="3"/>
  <c r="G228" i="3"/>
  <c r="AE227" i="3"/>
  <c r="AA227" i="3"/>
  <c r="Z227" i="3"/>
  <c r="X227" i="3"/>
  <c r="W227" i="3"/>
  <c r="V227" i="3"/>
  <c r="U227" i="3"/>
  <c r="Q227" i="3"/>
  <c r="P227" i="3"/>
  <c r="M227" i="3"/>
  <c r="L227" i="3"/>
  <c r="K227" i="3"/>
  <c r="J227" i="3"/>
  <c r="I227" i="3"/>
  <c r="G227" i="3"/>
  <c r="AE226" i="3"/>
  <c r="AA226" i="3"/>
  <c r="Z226" i="3"/>
  <c r="X226" i="3"/>
  <c r="W226" i="3"/>
  <c r="V226" i="3"/>
  <c r="U226" i="3"/>
  <c r="Q226" i="3"/>
  <c r="P226" i="3"/>
  <c r="M226" i="3"/>
  <c r="L226" i="3"/>
  <c r="K226" i="3"/>
  <c r="J226" i="3"/>
  <c r="I226" i="3"/>
  <c r="G226" i="3"/>
  <c r="AE225" i="3"/>
  <c r="AA225" i="3"/>
  <c r="Z225" i="3"/>
  <c r="X225" i="3"/>
  <c r="W225" i="3"/>
  <c r="V225" i="3"/>
  <c r="U225" i="3"/>
  <c r="Q225" i="3"/>
  <c r="P225" i="3"/>
  <c r="M225" i="3"/>
  <c r="L225" i="3"/>
  <c r="K225" i="3"/>
  <c r="J225" i="3"/>
  <c r="I225" i="3"/>
  <c r="G225" i="3"/>
  <c r="AE224" i="3"/>
  <c r="AA224" i="3"/>
  <c r="Z224" i="3"/>
  <c r="X224" i="3"/>
  <c r="W224" i="3"/>
  <c r="V224" i="3"/>
  <c r="U224" i="3"/>
  <c r="Q224" i="3"/>
  <c r="P224" i="3"/>
  <c r="M224" i="3"/>
  <c r="L224" i="3"/>
  <c r="K224" i="3"/>
  <c r="J224" i="3"/>
  <c r="I224" i="3"/>
  <c r="G224" i="3"/>
  <c r="AE223" i="3"/>
  <c r="AA223" i="3"/>
  <c r="Z223" i="3"/>
  <c r="X223" i="3"/>
  <c r="W223" i="3"/>
  <c r="V223" i="3"/>
  <c r="U223" i="3"/>
  <c r="Q223" i="3"/>
  <c r="P223" i="3"/>
  <c r="M223" i="3"/>
  <c r="L223" i="3"/>
  <c r="K223" i="3"/>
  <c r="J223" i="3"/>
  <c r="I223" i="3"/>
  <c r="G223" i="3"/>
  <c r="AE222" i="3"/>
  <c r="AA222" i="3"/>
  <c r="Z222" i="3"/>
  <c r="X222" i="3"/>
  <c r="W222" i="3"/>
  <c r="V222" i="3"/>
  <c r="U222" i="3"/>
  <c r="Q222" i="3"/>
  <c r="P222" i="3"/>
  <c r="M222" i="3"/>
  <c r="L222" i="3"/>
  <c r="K222" i="3"/>
  <c r="J222" i="3"/>
  <c r="I222" i="3"/>
  <c r="G222" i="3"/>
  <c r="AE221" i="3"/>
  <c r="AA221" i="3"/>
  <c r="Z221" i="3"/>
  <c r="X221" i="3"/>
  <c r="W221" i="3"/>
  <c r="V221" i="3"/>
  <c r="U221" i="3"/>
  <c r="Q221" i="3"/>
  <c r="P221" i="3"/>
  <c r="M221" i="3"/>
  <c r="L221" i="3"/>
  <c r="K221" i="3"/>
  <c r="J221" i="3"/>
  <c r="I221" i="3"/>
  <c r="G221" i="3"/>
  <c r="AE220" i="3"/>
  <c r="AA220" i="3"/>
  <c r="Z220" i="3"/>
  <c r="X220" i="3"/>
  <c r="W220" i="3"/>
  <c r="V220" i="3"/>
  <c r="U220" i="3"/>
  <c r="Q220" i="3"/>
  <c r="P220" i="3"/>
  <c r="M220" i="3"/>
  <c r="L220" i="3"/>
  <c r="K220" i="3"/>
  <c r="J220" i="3"/>
  <c r="I220" i="3"/>
  <c r="G220" i="3"/>
  <c r="AE219" i="3"/>
  <c r="AA219" i="3"/>
  <c r="Z219" i="3"/>
  <c r="X219" i="3"/>
  <c r="W219" i="3"/>
  <c r="V219" i="3"/>
  <c r="U219" i="3"/>
  <c r="Q219" i="3"/>
  <c r="P219" i="3"/>
  <c r="M219" i="3"/>
  <c r="L219" i="3"/>
  <c r="K219" i="3"/>
  <c r="J219" i="3"/>
  <c r="I219" i="3"/>
  <c r="G219" i="3"/>
  <c r="AE218" i="3"/>
  <c r="AA218" i="3"/>
  <c r="Z218" i="3"/>
  <c r="X218" i="3"/>
  <c r="W218" i="3"/>
  <c r="V218" i="3"/>
  <c r="U218" i="3"/>
  <c r="Q218" i="3"/>
  <c r="P218" i="3"/>
  <c r="M218" i="3"/>
  <c r="L218" i="3"/>
  <c r="K218" i="3"/>
  <c r="J218" i="3"/>
  <c r="I218" i="3"/>
  <c r="G218" i="3"/>
  <c r="AE217" i="3"/>
  <c r="AA217" i="3"/>
  <c r="Z217" i="3"/>
  <c r="X217" i="3"/>
  <c r="W217" i="3"/>
  <c r="V217" i="3"/>
  <c r="U217" i="3"/>
  <c r="Q217" i="3"/>
  <c r="P217" i="3"/>
  <c r="M217" i="3"/>
  <c r="L217" i="3"/>
  <c r="K217" i="3"/>
  <c r="J217" i="3"/>
  <c r="I217" i="3"/>
  <c r="G217" i="3"/>
  <c r="AE216" i="3"/>
  <c r="AA216" i="3"/>
  <c r="Z216" i="3"/>
  <c r="X216" i="3"/>
  <c r="W216" i="3"/>
  <c r="V216" i="3"/>
  <c r="U216" i="3"/>
  <c r="Q216" i="3"/>
  <c r="P216" i="3"/>
  <c r="M216" i="3"/>
  <c r="L216" i="3"/>
  <c r="K216" i="3"/>
  <c r="J216" i="3"/>
  <c r="I216" i="3"/>
  <c r="G216" i="3"/>
  <c r="AE215" i="3"/>
  <c r="AA215" i="3"/>
  <c r="Z215" i="3"/>
  <c r="X215" i="3"/>
  <c r="W215" i="3"/>
  <c r="V215" i="3"/>
  <c r="U215" i="3"/>
  <c r="Q215" i="3"/>
  <c r="P215" i="3"/>
  <c r="M215" i="3"/>
  <c r="L215" i="3"/>
  <c r="K215" i="3"/>
  <c r="J215" i="3"/>
  <c r="I215" i="3"/>
  <c r="G215" i="3"/>
  <c r="AE214" i="3"/>
  <c r="AA214" i="3"/>
  <c r="Z214" i="3"/>
  <c r="X214" i="3"/>
  <c r="W214" i="3"/>
  <c r="V214" i="3"/>
  <c r="U214" i="3"/>
  <c r="Q214" i="3"/>
  <c r="P214" i="3"/>
  <c r="M214" i="3"/>
  <c r="L214" i="3"/>
  <c r="K214" i="3"/>
  <c r="J214" i="3"/>
  <c r="I214" i="3"/>
  <c r="G214" i="3"/>
  <c r="AE213" i="3"/>
  <c r="AA213" i="3"/>
  <c r="Z213" i="3"/>
  <c r="X213" i="3"/>
  <c r="W213" i="3"/>
  <c r="V213" i="3"/>
  <c r="U213" i="3"/>
  <c r="Q213" i="3"/>
  <c r="P213" i="3"/>
  <c r="M213" i="3"/>
  <c r="L213" i="3"/>
  <c r="K213" i="3"/>
  <c r="J213" i="3"/>
  <c r="I213" i="3"/>
  <c r="G213" i="3"/>
  <c r="AE212" i="3"/>
  <c r="AA212" i="3"/>
  <c r="Z212" i="3"/>
  <c r="X212" i="3"/>
  <c r="W212" i="3"/>
  <c r="V212" i="3"/>
  <c r="U212" i="3"/>
  <c r="Q212" i="3"/>
  <c r="P212" i="3"/>
  <c r="M212" i="3"/>
  <c r="L212" i="3"/>
  <c r="K212" i="3"/>
  <c r="J212" i="3"/>
  <c r="I212" i="3"/>
  <c r="G212" i="3"/>
  <c r="AE211" i="3"/>
  <c r="AA211" i="3"/>
  <c r="Z211" i="3"/>
  <c r="X211" i="3"/>
  <c r="W211" i="3"/>
  <c r="V211" i="3"/>
  <c r="U211" i="3"/>
  <c r="Q211" i="3"/>
  <c r="P211" i="3"/>
  <c r="M211" i="3"/>
  <c r="L211" i="3"/>
  <c r="K211" i="3"/>
  <c r="J211" i="3"/>
  <c r="I211" i="3"/>
  <c r="G211" i="3"/>
  <c r="AE210" i="3"/>
  <c r="AA210" i="3"/>
  <c r="Z210" i="3"/>
  <c r="X210" i="3"/>
  <c r="W210" i="3"/>
  <c r="V210" i="3"/>
  <c r="U210" i="3"/>
  <c r="Q210" i="3"/>
  <c r="P210" i="3"/>
  <c r="M210" i="3"/>
  <c r="L210" i="3"/>
  <c r="K210" i="3"/>
  <c r="J210" i="3"/>
  <c r="I210" i="3"/>
  <c r="G210" i="3"/>
  <c r="AE209" i="3"/>
  <c r="AA209" i="3"/>
  <c r="Z209" i="3"/>
  <c r="X209" i="3"/>
  <c r="W209" i="3"/>
  <c r="V209" i="3"/>
  <c r="U209" i="3"/>
  <c r="Q209" i="3"/>
  <c r="P209" i="3"/>
  <c r="M209" i="3"/>
  <c r="L209" i="3"/>
  <c r="K209" i="3"/>
  <c r="J209" i="3"/>
  <c r="I209" i="3"/>
  <c r="G209" i="3"/>
  <c r="AE208" i="3"/>
  <c r="AA208" i="3"/>
  <c r="Z208" i="3"/>
  <c r="X208" i="3"/>
  <c r="W208" i="3"/>
  <c r="V208" i="3"/>
  <c r="U208" i="3"/>
  <c r="Q208" i="3"/>
  <c r="P208" i="3"/>
  <c r="M208" i="3"/>
  <c r="L208" i="3"/>
  <c r="K208" i="3"/>
  <c r="J208" i="3"/>
  <c r="I208" i="3"/>
  <c r="G208" i="3"/>
  <c r="AE207" i="3"/>
  <c r="AA207" i="3"/>
  <c r="Z207" i="3"/>
  <c r="X207" i="3"/>
  <c r="W207" i="3"/>
  <c r="V207" i="3"/>
  <c r="U207" i="3"/>
  <c r="Q207" i="3"/>
  <c r="P207" i="3"/>
  <c r="M207" i="3"/>
  <c r="L207" i="3"/>
  <c r="K207" i="3"/>
  <c r="J207" i="3"/>
  <c r="I207" i="3"/>
  <c r="G207" i="3"/>
  <c r="AE206" i="3"/>
  <c r="AA206" i="3"/>
  <c r="Z206" i="3"/>
  <c r="X206" i="3"/>
  <c r="W206" i="3"/>
  <c r="V206" i="3"/>
  <c r="U206" i="3"/>
  <c r="Q206" i="3"/>
  <c r="P206" i="3"/>
  <c r="M206" i="3"/>
  <c r="L206" i="3"/>
  <c r="K206" i="3"/>
  <c r="J206" i="3"/>
  <c r="I206" i="3"/>
  <c r="G206" i="3"/>
  <c r="AE205" i="3"/>
  <c r="AA205" i="3"/>
  <c r="Z205" i="3"/>
  <c r="X205" i="3"/>
  <c r="W205" i="3"/>
  <c r="V205" i="3"/>
  <c r="U205" i="3"/>
  <c r="Q205" i="3"/>
  <c r="P205" i="3"/>
  <c r="M205" i="3"/>
  <c r="L205" i="3"/>
  <c r="K205" i="3"/>
  <c r="J205" i="3"/>
  <c r="I205" i="3"/>
  <c r="G205" i="3"/>
  <c r="AE204" i="3"/>
  <c r="AA204" i="3"/>
  <c r="Z204" i="3"/>
  <c r="X204" i="3"/>
  <c r="W204" i="3"/>
  <c r="V204" i="3"/>
  <c r="U204" i="3"/>
  <c r="Q204" i="3"/>
  <c r="P204" i="3"/>
  <c r="M204" i="3"/>
  <c r="L204" i="3"/>
  <c r="K204" i="3"/>
  <c r="J204" i="3"/>
  <c r="I204" i="3"/>
  <c r="G204" i="3"/>
  <c r="AE203" i="3"/>
  <c r="AA203" i="3"/>
  <c r="Z203" i="3"/>
  <c r="X203" i="3"/>
  <c r="W203" i="3"/>
  <c r="V203" i="3"/>
  <c r="U203" i="3"/>
  <c r="Q203" i="3"/>
  <c r="P203" i="3"/>
  <c r="M203" i="3"/>
  <c r="L203" i="3"/>
  <c r="K203" i="3"/>
  <c r="J203" i="3"/>
  <c r="I203" i="3"/>
  <c r="G203" i="3"/>
  <c r="AE202" i="3"/>
  <c r="AA202" i="3"/>
  <c r="Z202" i="3"/>
  <c r="X202" i="3"/>
  <c r="W202" i="3"/>
  <c r="V202" i="3"/>
  <c r="U202" i="3"/>
  <c r="Q202" i="3"/>
  <c r="P202" i="3"/>
  <c r="M202" i="3"/>
  <c r="L202" i="3"/>
  <c r="K202" i="3"/>
  <c r="J202" i="3"/>
  <c r="I202" i="3"/>
  <c r="G202" i="3"/>
  <c r="AE201" i="3"/>
  <c r="AA201" i="3"/>
  <c r="Z201" i="3"/>
  <c r="X201" i="3"/>
  <c r="W201" i="3"/>
  <c r="V201" i="3"/>
  <c r="U201" i="3"/>
  <c r="Q201" i="3"/>
  <c r="P201" i="3"/>
  <c r="M201" i="3"/>
  <c r="L201" i="3"/>
  <c r="K201" i="3"/>
  <c r="J201" i="3"/>
  <c r="I201" i="3"/>
  <c r="G201" i="3"/>
  <c r="AE200" i="3"/>
  <c r="AA200" i="3"/>
  <c r="Z200" i="3"/>
  <c r="X200" i="3"/>
  <c r="W200" i="3"/>
  <c r="V200" i="3"/>
  <c r="U200" i="3"/>
  <c r="Q200" i="3"/>
  <c r="P200" i="3"/>
  <c r="M200" i="3"/>
  <c r="L200" i="3"/>
  <c r="K200" i="3"/>
  <c r="J200" i="3"/>
  <c r="I200" i="3"/>
  <c r="G200" i="3"/>
  <c r="AE199" i="3"/>
  <c r="AA199" i="3"/>
  <c r="Z199" i="3"/>
  <c r="X199" i="3"/>
  <c r="W199" i="3"/>
  <c r="V199" i="3"/>
  <c r="U199" i="3"/>
  <c r="Q199" i="3"/>
  <c r="P199" i="3"/>
  <c r="M199" i="3"/>
  <c r="L199" i="3"/>
  <c r="K199" i="3"/>
  <c r="J199" i="3"/>
  <c r="I199" i="3"/>
  <c r="G199" i="3"/>
  <c r="AE198" i="3"/>
  <c r="AA198" i="3"/>
  <c r="Z198" i="3"/>
  <c r="X198" i="3"/>
  <c r="W198" i="3"/>
  <c r="V198" i="3"/>
  <c r="U198" i="3"/>
  <c r="Q198" i="3"/>
  <c r="P198" i="3"/>
  <c r="M198" i="3"/>
  <c r="L198" i="3"/>
  <c r="K198" i="3"/>
  <c r="J198" i="3"/>
  <c r="I198" i="3"/>
  <c r="G198" i="3"/>
  <c r="AE197" i="3"/>
  <c r="AA197" i="3"/>
  <c r="Z197" i="3"/>
  <c r="X197" i="3"/>
  <c r="W197" i="3"/>
  <c r="V197" i="3"/>
  <c r="U197" i="3"/>
  <c r="Q197" i="3"/>
  <c r="P197" i="3"/>
  <c r="M197" i="3"/>
  <c r="L197" i="3"/>
  <c r="K197" i="3"/>
  <c r="J197" i="3"/>
  <c r="I197" i="3"/>
  <c r="G197" i="3"/>
  <c r="AE196" i="3"/>
  <c r="AA196" i="3"/>
  <c r="Z196" i="3"/>
  <c r="X196" i="3"/>
  <c r="W196" i="3"/>
  <c r="V196" i="3"/>
  <c r="U196" i="3"/>
  <c r="Q196" i="3"/>
  <c r="P196" i="3"/>
  <c r="M196" i="3"/>
  <c r="L196" i="3"/>
  <c r="K196" i="3"/>
  <c r="J196" i="3"/>
  <c r="I196" i="3"/>
  <c r="G196" i="3"/>
  <c r="AE195" i="3"/>
  <c r="AA195" i="3"/>
  <c r="Z195" i="3"/>
  <c r="X195" i="3"/>
  <c r="W195" i="3"/>
  <c r="V195" i="3"/>
  <c r="U195" i="3"/>
  <c r="Q195" i="3"/>
  <c r="P195" i="3"/>
  <c r="M195" i="3"/>
  <c r="L195" i="3"/>
  <c r="K195" i="3"/>
  <c r="J195" i="3"/>
  <c r="I195" i="3"/>
  <c r="G195" i="3"/>
  <c r="AE194" i="3"/>
  <c r="AA194" i="3"/>
  <c r="Z194" i="3"/>
  <c r="X194" i="3"/>
  <c r="W194" i="3"/>
  <c r="V194" i="3"/>
  <c r="U194" i="3"/>
  <c r="Q194" i="3"/>
  <c r="P194" i="3"/>
  <c r="M194" i="3"/>
  <c r="L194" i="3"/>
  <c r="K194" i="3"/>
  <c r="J194" i="3"/>
  <c r="I194" i="3"/>
  <c r="G194" i="3"/>
  <c r="AE193" i="3"/>
  <c r="AA193" i="3"/>
  <c r="Z193" i="3"/>
  <c r="X193" i="3"/>
  <c r="W193" i="3"/>
  <c r="V193" i="3"/>
  <c r="U193" i="3"/>
  <c r="Q193" i="3"/>
  <c r="P193" i="3"/>
  <c r="M193" i="3"/>
  <c r="L193" i="3"/>
  <c r="K193" i="3"/>
  <c r="J193" i="3"/>
  <c r="I193" i="3"/>
  <c r="G193" i="3"/>
  <c r="AE192" i="3"/>
  <c r="AA192" i="3"/>
  <c r="Z192" i="3"/>
  <c r="X192" i="3"/>
  <c r="W192" i="3"/>
  <c r="V192" i="3"/>
  <c r="U192" i="3"/>
  <c r="Q192" i="3"/>
  <c r="P192" i="3"/>
  <c r="M192" i="3"/>
  <c r="L192" i="3"/>
  <c r="K192" i="3"/>
  <c r="J192" i="3"/>
  <c r="I192" i="3"/>
  <c r="G192" i="3"/>
  <c r="AE191" i="3"/>
  <c r="AA191" i="3"/>
  <c r="Z191" i="3"/>
  <c r="X191" i="3"/>
  <c r="W191" i="3"/>
  <c r="V191" i="3"/>
  <c r="U191" i="3"/>
  <c r="Q191" i="3"/>
  <c r="P191" i="3"/>
  <c r="M191" i="3"/>
  <c r="L191" i="3"/>
  <c r="K191" i="3"/>
  <c r="J191" i="3"/>
  <c r="I191" i="3"/>
  <c r="G191" i="3"/>
  <c r="AE190" i="3"/>
  <c r="AA190" i="3"/>
  <c r="Z190" i="3"/>
  <c r="X190" i="3"/>
  <c r="W190" i="3"/>
  <c r="V190" i="3"/>
  <c r="U190" i="3"/>
  <c r="Q190" i="3"/>
  <c r="P190" i="3"/>
  <c r="M190" i="3"/>
  <c r="L190" i="3"/>
  <c r="K190" i="3"/>
  <c r="J190" i="3"/>
  <c r="I190" i="3"/>
  <c r="G190" i="3"/>
  <c r="AE189" i="3"/>
  <c r="AA189" i="3"/>
  <c r="Z189" i="3"/>
  <c r="X189" i="3"/>
  <c r="W189" i="3"/>
  <c r="V189" i="3"/>
  <c r="U189" i="3"/>
  <c r="Q189" i="3"/>
  <c r="P189" i="3"/>
  <c r="M189" i="3"/>
  <c r="L189" i="3"/>
  <c r="K189" i="3"/>
  <c r="J189" i="3"/>
  <c r="I189" i="3"/>
  <c r="G189" i="3"/>
  <c r="AE188" i="3"/>
  <c r="AA188" i="3"/>
  <c r="Z188" i="3"/>
  <c r="X188" i="3"/>
  <c r="W188" i="3"/>
  <c r="V188" i="3"/>
  <c r="U188" i="3"/>
  <c r="Q188" i="3"/>
  <c r="P188" i="3"/>
  <c r="M188" i="3"/>
  <c r="L188" i="3"/>
  <c r="K188" i="3"/>
  <c r="J188" i="3"/>
  <c r="I188" i="3"/>
  <c r="G188" i="3"/>
  <c r="AE187" i="3"/>
  <c r="AA187" i="3"/>
  <c r="Z187" i="3"/>
  <c r="X187" i="3"/>
  <c r="W187" i="3"/>
  <c r="V187" i="3"/>
  <c r="U187" i="3"/>
  <c r="Q187" i="3"/>
  <c r="P187" i="3"/>
  <c r="M187" i="3"/>
  <c r="L187" i="3"/>
  <c r="K187" i="3"/>
  <c r="J187" i="3"/>
  <c r="I187" i="3"/>
  <c r="G187" i="3"/>
  <c r="AE186" i="3"/>
  <c r="AA186" i="3"/>
  <c r="Z186" i="3"/>
  <c r="X186" i="3"/>
  <c r="W186" i="3"/>
  <c r="V186" i="3"/>
  <c r="U186" i="3"/>
  <c r="Q186" i="3"/>
  <c r="P186" i="3"/>
  <c r="M186" i="3"/>
  <c r="L186" i="3"/>
  <c r="K186" i="3"/>
  <c r="J186" i="3"/>
  <c r="I186" i="3"/>
  <c r="G186" i="3"/>
  <c r="AE185" i="3"/>
  <c r="AA185" i="3"/>
  <c r="Z185" i="3"/>
  <c r="X185" i="3"/>
  <c r="W185" i="3"/>
  <c r="V185" i="3"/>
  <c r="U185" i="3"/>
  <c r="Q185" i="3"/>
  <c r="P185" i="3"/>
  <c r="M185" i="3"/>
  <c r="L185" i="3"/>
  <c r="K185" i="3"/>
  <c r="J185" i="3"/>
  <c r="I185" i="3"/>
  <c r="G185" i="3"/>
  <c r="AE184" i="3"/>
  <c r="AA184" i="3"/>
  <c r="Z184" i="3"/>
  <c r="X184" i="3"/>
  <c r="W184" i="3"/>
  <c r="V184" i="3"/>
  <c r="U184" i="3"/>
  <c r="Q184" i="3"/>
  <c r="P184" i="3"/>
  <c r="M184" i="3"/>
  <c r="L184" i="3"/>
  <c r="K184" i="3"/>
  <c r="J184" i="3"/>
  <c r="I184" i="3"/>
  <c r="G184" i="3"/>
  <c r="AE183" i="3"/>
  <c r="AA183" i="3"/>
  <c r="Z183" i="3"/>
  <c r="X183" i="3"/>
  <c r="W183" i="3"/>
  <c r="V183" i="3"/>
  <c r="U183" i="3"/>
  <c r="Q183" i="3"/>
  <c r="P183" i="3"/>
  <c r="M183" i="3"/>
  <c r="L183" i="3"/>
  <c r="K183" i="3"/>
  <c r="J183" i="3"/>
  <c r="I183" i="3"/>
  <c r="G183" i="3"/>
  <c r="AE182" i="3"/>
  <c r="AA182" i="3"/>
  <c r="Z182" i="3"/>
  <c r="X182" i="3"/>
  <c r="W182" i="3"/>
  <c r="V182" i="3"/>
  <c r="U182" i="3"/>
  <c r="Q182" i="3"/>
  <c r="P182" i="3"/>
  <c r="M182" i="3"/>
  <c r="L182" i="3"/>
  <c r="K182" i="3"/>
  <c r="J182" i="3"/>
  <c r="I182" i="3"/>
  <c r="G182" i="3"/>
  <c r="AE181" i="3"/>
  <c r="AA181" i="3"/>
  <c r="Z181" i="3"/>
  <c r="X181" i="3"/>
  <c r="W181" i="3"/>
  <c r="V181" i="3"/>
  <c r="U181" i="3"/>
  <c r="Q181" i="3"/>
  <c r="P181" i="3"/>
  <c r="M181" i="3"/>
  <c r="L181" i="3"/>
  <c r="K181" i="3"/>
  <c r="J181" i="3"/>
  <c r="I181" i="3"/>
  <c r="G181" i="3"/>
  <c r="AE180" i="3"/>
  <c r="AA180" i="3"/>
  <c r="Z180" i="3"/>
  <c r="X180" i="3"/>
  <c r="W180" i="3"/>
  <c r="V180" i="3"/>
  <c r="U180" i="3"/>
  <c r="Q180" i="3"/>
  <c r="P180" i="3"/>
  <c r="M180" i="3"/>
  <c r="L180" i="3"/>
  <c r="K180" i="3"/>
  <c r="J180" i="3"/>
  <c r="I180" i="3"/>
  <c r="G180" i="3"/>
  <c r="AE179" i="3"/>
  <c r="AA179" i="3"/>
  <c r="Z179" i="3"/>
  <c r="X179" i="3"/>
  <c r="W179" i="3"/>
  <c r="V179" i="3"/>
  <c r="U179" i="3"/>
  <c r="Q179" i="3"/>
  <c r="P179" i="3"/>
  <c r="M179" i="3"/>
  <c r="L179" i="3"/>
  <c r="K179" i="3"/>
  <c r="J179" i="3"/>
  <c r="I179" i="3"/>
  <c r="G179" i="3"/>
  <c r="AE178" i="3"/>
  <c r="AA178" i="3"/>
  <c r="Z178" i="3"/>
  <c r="X178" i="3"/>
  <c r="W178" i="3"/>
  <c r="V178" i="3"/>
  <c r="U178" i="3"/>
  <c r="Q178" i="3"/>
  <c r="P178" i="3"/>
  <c r="M178" i="3"/>
  <c r="L178" i="3"/>
  <c r="K178" i="3"/>
  <c r="J178" i="3"/>
  <c r="I178" i="3"/>
  <c r="G178" i="3"/>
  <c r="AE177" i="3"/>
  <c r="AA177" i="3"/>
  <c r="Z177" i="3"/>
  <c r="X177" i="3"/>
  <c r="W177" i="3"/>
  <c r="V177" i="3"/>
  <c r="U177" i="3"/>
  <c r="Q177" i="3"/>
  <c r="P177" i="3"/>
  <c r="M177" i="3"/>
  <c r="L177" i="3"/>
  <c r="K177" i="3"/>
  <c r="J177" i="3"/>
  <c r="I177" i="3"/>
  <c r="G177" i="3"/>
  <c r="AE176" i="3"/>
  <c r="AA176" i="3"/>
  <c r="Z176" i="3"/>
  <c r="X176" i="3"/>
  <c r="W176" i="3"/>
  <c r="V176" i="3"/>
  <c r="U176" i="3"/>
  <c r="Q176" i="3"/>
  <c r="P176" i="3"/>
  <c r="M176" i="3"/>
  <c r="L176" i="3"/>
  <c r="K176" i="3"/>
  <c r="J176" i="3"/>
  <c r="I176" i="3"/>
  <c r="G176" i="3"/>
  <c r="AE175" i="3"/>
  <c r="AA175" i="3"/>
  <c r="Z175" i="3"/>
  <c r="X175" i="3"/>
  <c r="W175" i="3"/>
  <c r="V175" i="3"/>
  <c r="U175" i="3"/>
  <c r="Q175" i="3"/>
  <c r="P175" i="3"/>
  <c r="M175" i="3"/>
  <c r="L175" i="3"/>
  <c r="K175" i="3"/>
  <c r="J175" i="3"/>
  <c r="I175" i="3"/>
  <c r="G175" i="3"/>
  <c r="AE174" i="3"/>
  <c r="AA174" i="3"/>
  <c r="Z174" i="3"/>
  <c r="X174" i="3"/>
  <c r="W174" i="3"/>
  <c r="V174" i="3"/>
  <c r="U174" i="3"/>
  <c r="Q174" i="3"/>
  <c r="P174" i="3"/>
  <c r="M174" i="3"/>
  <c r="L174" i="3"/>
  <c r="K174" i="3"/>
  <c r="J174" i="3"/>
  <c r="I174" i="3"/>
  <c r="G174" i="3"/>
  <c r="AE173" i="3"/>
  <c r="AA173" i="3"/>
  <c r="Z173" i="3"/>
  <c r="X173" i="3"/>
  <c r="W173" i="3"/>
  <c r="V173" i="3"/>
  <c r="U173" i="3"/>
  <c r="Q173" i="3"/>
  <c r="P173" i="3"/>
  <c r="M173" i="3"/>
  <c r="L173" i="3"/>
  <c r="K173" i="3"/>
  <c r="J173" i="3"/>
  <c r="I173" i="3"/>
  <c r="G173" i="3"/>
  <c r="AE172" i="3"/>
  <c r="AA172" i="3"/>
  <c r="Z172" i="3"/>
  <c r="X172" i="3"/>
  <c r="W172" i="3"/>
  <c r="V172" i="3"/>
  <c r="U172" i="3"/>
  <c r="Q172" i="3"/>
  <c r="P172" i="3"/>
  <c r="M172" i="3"/>
  <c r="L172" i="3"/>
  <c r="K172" i="3"/>
  <c r="J172" i="3"/>
  <c r="I172" i="3"/>
  <c r="G172" i="3"/>
  <c r="AE171" i="3"/>
  <c r="AA171" i="3"/>
  <c r="Z171" i="3"/>
  <c r="X171" i="3"/>
  <c r="W171" i="3"/>
  <c r="V171" i="3"/>
  <c r="U171" i="3"/>
  <c r="Q171" i="3"/>
  <c r="P171" i="3"/>
  <c r="M171" i="3"/>
  <c r="L171" i="3"/>
  <c r="K171" i="3"/>
  <c r="J171" i="3"/>
  <c r="I171" i="3"/>
  <c r="G171" i="3"/>
  <c r="AE170" i="3"/>
  <c r="AA170" i="3"/>
  <c r="Z170" i="3"/>
  <c r="X170" i="3"/>
  <c r="W170" i="3"/>
  <c r="V170" i="3"/>
  <c r="U170" i="3"/>
  <c r="Q170" i="3"/>
  <c r="P170" i="3"/>
  <c r="M170" i="3"/>
  <c r="L170" i="3"/>
  <c r="K170" i="3"/>
  <c r="J170" i="3"/>
  <c r="I170" i="3"/>
  <c r="G170" i="3"/>
  <c r="AE169" i="3"/>
  <c r="AA169" i="3"/>
  <c r="Z169" i="3"/>
  <c r="X169" i="3"/>
  <c r="W169" i="3"/>
  <c r="V169" i="3"/>
  <c r="U169" i="3"/>
  <c r="Q169" i="3"/>
  <c r="P169" i="3"/>
  <c r="M169" i="3"/>
  <c r="L169" i="3"/>
  <c r="K169" i="3"/>
  <c r="J169" i="3"/>
  <c r="I169" i="3"/>
  <c r="G169" i="3"/>
  <c r="AE168" i="3"/>
  <c r="AA168" i="3"/>
  <c r="Z168" i="3"/>
  <c r="X168" i="3"/>
  <c r="W168" i="3"/>
  <c r="V168" i="3"/>
  <c r="U168" i="3"/>
  <c r="Q168" i="3"/>
  <c r="P168" i="3"/>
  <c r="M168" i="3"/>
  <c r="L168" i="3"/>
  <c r="K168" i="3"/>
  <c r="J168" i="3"/>
  <c r="I168" i="3"/>
  <c r="G168" i="3"/>
  <c r="AE167" i="3"/>
  <c r="AA167" i="3"/>
  <c r="Z167" i="3"/>
  <c r="X167" i="3"/>
  <c r="W167" i="3"/>
  <c r="V167" i="3"/>
  <c r="U167" i="3"/>
  <c r="Q167" i="3"/>
  <c r="P167" i="3"/>
  <c r="M167" i="3"/>
  <c r="L167" i="3"/>
  <c r="K167" i="3"/>
  <c r="J167" i="3"/>
  <c r="I167" i="3"/>
  <c r="G167" i="3"/>
  <c r="AE166" i="3"/>
  <c r="AA166" i="3"/>
  <c r="Z166" i="3"/>
  <c r="X166" i="3"/>
  <c r="W166" i="3"/>
  <c r="V166" i="3"/>
  <c r="U166" i="3"/>
  <c r="Q166" i="3"/>
  <c r="P166" i="3"/>
  <c r="M166" i="3"/>
  <c r="L166" i="3"/>
  <c r="K166" i="3"/>
  <c r="J166" i="3"/>
  <c r="I166" i="3"/>
  <c r="G166" i="3"/>
  <c r="AE165" i="3"/>
  <c r="AA165" i="3"/>
  <c r="Z165" i="3"/>
  <c r="X165" i="3"/>
  <c r="W165" i="3"/>
  <c r="V165" i="3"/>
  <c r="U165" i="3"/>
  <c r="Q165" i="3"/>
  <c r="P165" i="3"/>
  <c r="M165" i="3"/>
  <c r="L165" i="3"/>
  <c r="K165" i="3"/>
  <c r="J165" i="3"/>
  <c r="I165" i="3"/>
  <c r="G165" i="3"/>
  <c r="AE164" i="3"/>
  <c r="AA164" i="3"/>
  <c r="Z164" i="3"/>
  <c r="X164" i="3"/>
  <c r="W164" i="3"/>
  <c r="V164" i="3"/>
  <c r="U164" i="3"/>
  <c r="Q164" i="3"/>
  <c r="P164" i="3"/>
  <c r="M164" i="3"/>
  <c r="L164" i="3"/>
  <c r="K164" i="3"/>
  <c r="J164" i="3"/>
  <c r="I164" i="3"/>
  <c r="G164" i="3"/>
  <c r="AE163" i="3"/>
  <c r="AA163" i="3"/>
  <c r="Z163" i="3"/>
  <c r="X163" i="3"/>
  <c r="W163" i="3"/>
  <c r="V163" i="3"/>
  <c r="U163" i="3"/>
  <c r="Q163" i="3"/>
  <c r="P163" i="3"/>
  <c r="M163" i="3"/>
  <c r="L163" i="3"/>
  <c r="K163" i="3"/>
  <c r="J163" i="3"/>
  <c r="I163" i="3"/>
  <c r="G163" i="3"/>
  <c r="AE162" i="3"/>
  <c r="AA162" i="3"/>
  <c r="Z162" i="3"/>
  <c r="X162" i="3"/>
  <c r="W162" i="3"/>
  <c r="V162" i="3"/>
  <c r="U162" i="3"/>
  <c r="Q162" i="3"/>
  <c r="P162" i="3"/>
  <c r="M162" i="3"/>
  <c r="L162" i="3"/>
  <c r="K162" i="3"/>
  <c r="J162" i="3"/>
  <c r="I162" i="3"/>
  <c r="G162" i="3"/>
  <c r="AE161" i="3"/>
  <c r="AA161" i="3"/>
  <c r="Z161" i="3"/>
  <c r="X161" i="3"/>
  <c r="W161" i="3"/>
  <c r="V161" i="3"/>
  <c r="U161" i="3"/>
  <c r="Q161" i="3"/>
  <c r="P161" i="3"/>
  <c r="M161" i="3"/>
  <c r="L161" i="3"/>
  <c r="K161" i="3"/>
  <c r="J161" i="3"/>
  <c r="I161" i="3"/>
  <c r="G161" i="3"/>
  <c r="AE160" i="3"/>
  <c r="AA160" i="3"/>
  <c r="Z160" i="3"/>
  <c r="X160" i="3"/>
  <c r="W160" i="3"/>
  <c r="V160" i="3"/>
  <c r="U160" i="3"/>
  <c r="Q160" i="3"/>
  <c r="P160" i="3"/>
  <c r="M160" i="3"/>
  <c r="L160" i="3"/>
  <c r="K160" i="3"/>
  <c r="J160" i="3"/>
  <c r="I160" i="3"/>
  <c r="G160" i="3"/>
  <c r="AE159" i="3"/>
  <c r="AA159" i="3"/>
  <c r="Z159" i="3"/>
  <c r="X159" i="3"/>
  <c r="W159" i="3"/>
  <c r="V159" i="3"/>
  <c r="U159" i="3"/>
  <c r="Q159" i="3"/>
  <c r="P159" i="3"/>
  <c r="M159" i="3"/>
  <c r="L159" i="3"/>
  <c r="K159" i="3"/>
  <c r="J159" i="3"/>
  <c r="I159" i="3"/>
  <c r="G159" i="3"/>
  <c r="AE158" i="3"/>
  <c r="AA158" i="3"/>
  <c r="Z158" i="3"/>
  <c r="X158" i="3"/>
  <c r="W158" i="3"/>
  <c r="V158" i="3"/>
  <c r="U158" i="3"/>
  <c r="Q158" i="3"/>
  <c r="P158" i="3"/>
  <c r="M158" i="3"/>
  <c r="L158" i="3"/>
  <c r="K158" i="3"/>
  <c r="J158" i="3"/>
  <c r="I158" i="3"/>
  <c r="G158" i="3"/>
  <c r="AE157" i="3"/>
  <c r="AA157" i="3"/>
  <c r="Z157" i="3"/>
  <c r="X157" i="3"/>
  <c r="W157" i="3"/>
  <c r="V157" i="3"/>
  <c r="U157" i="3"/>
  <c r="Q157" i="3"/>
  <c r="P157" i="3"/>
  <c r="M157" i="3"/>
  <c r="L157" i="3"/>
  <c r="K157" i="3"/>
  <c r="J157" i="3"/>
  <c r="I157" i="3"/>
  <c r="G157" i="3"/>
  <c r="AE156" i="3"/>
  <c r="AA156" i="3"/>
  <c r="Z156" i="3"/>
  <c r="X156" i="3"/>
  <c r="W156" i="3"/>
  <c r="V156" i="3"/>
  <c r="U156" i="3"/>
  <c r="Q156" i="3"/>
  <c r="P156" i="3"/>
  <c r="M156" i="3"/>
  <c r="L156" i="3"/>
  <c r="K156" i="3"/>
  <c r="J156" i="3"/>
  <c r="I156" i="3"/>
  <c r="G156" i="3"/>
  <c r="AE155" i="3"/>
  <c r="AA155" i="3"/>
  <c r="Z155" i="3"/>
  <c r="X155" i="3"/>
  <c r="W155" i="3"/>
  <c r="V155" i="3"/>
  <c r="U155" i="3"/>
  <c r="Q155" i="3"/>
  <c r="P155" i="3"/>
  <c r="M155" i="3"/>
  <c r="L155" i="3"/>
  <c r="K155" i="3"/>
  <c r="J155" i="3"/>
  <c r="I155" i="3"/>
  <c r="G155" i="3"/>
  <c r="AE154" i="3"/>
  <c r="AA154" i="3"/>
  <c r="Z154" i="3"/>
  <c r="X154" i="3"/>
  <c r="W154" i="3"/>
  <c r="V154" i="3"/>
  <c r="U154" i="3"/>
  <c r="Q154" i="3"/>
  <c r="P154" i="3"/>
  <c r="M154" i="3"/>
  <c r="L154" i="3"/>
  <c r="K154" i="3"/>
  <c r="J154" i="3"/>
  <c r="I154" i="3"/>
  <c r="G154" i="3"/>
  <c r="AE153" i="3"/>
  <c r="AA153" i="3"/>
  <c r="Z153" i="3"/>
  <c r="X153" i="3"/>
  <c r="W153" i="3"/>
  <c r="V153" i="3"/>
  <c r="U153" i="3"/>
  <c r="Q153" i="3"/>
  <c r="P153" i="3"/>
  <c r="M153" i="3"/>
  <c r="L153" i="3"/>
  <c r="K153" i="3"/>
  <c r="J153" i="3"/>
  <c r="I153" i="3"/>
  <c r="G153" i="3"/>
  <c r="AE152" i="3"/>
  <c r="AA152" i="3"/>
  <c r="Z152" i="3"/>
  <c r="X152" i="3"/>
  <c r="W152" i="3"/>
  <c r="V152" i="3"/>
  <c r="U152" i="3"/>
  <c r="Q152" i="3"/>
  <c r="P152" i="3"/>
  <c r="M152" i="3"/>
  <c r="L152" i="3"/>
  <c r="K152" i="3"/>
  <c r="J152" i="3"/>
  <c r="I152" i="3"/>
  <c r="G152" i="3"/>
  <c r="AE151" i="3"/>
  <c r="AA151" i="3"/>
  <c r="Z151" i="3"/>
  <c r="X151" i="3"/>
  <c r="W151" i="3"/>
  <c r="V151" i="3"/>
  <c r="U151" i="3"/>
  <c r="Q151" i="3"/>
  <c r="P151" i="3"/>
  <c r="M151" i="3"/>
  <c r="L151" i="3"/>
  <c r="K151" i="3"/>
  <c r="J151" i="3"/>
  <c r="I151" i="3"/>
  <c r="G151" i="3"/>
  <c r="AE150" i="3"/>
  <c r="AA150" i="3"/>
  <c r="Z150" i="3"/>
  <c r="X150" i="3"/>
  <c r="W150" i="3"/>
  <c r="V150" i="3"/>
  <c r="U150" i="3"/>
  <c r="Q150" i="3"/>
  <c r="P150" i="3"/>
  <c r="M150" i="3"/>
  <c r="L150" i="3"/>
  <c r="K150" i="3"/>
  <c r="J150" i="3"/>
  <c r="I150" i="3"/>
  <c r="G150" i="3"/>
  <c r="AE149" i="3"/>
  <c r="AA149" i="3"/>
  <c r="Z149" i="3"/>
  <c r="X149" i="3"/>
  <c r="W149" i="3"/>
  <c r="V149" i="3"/>
  <c r="U149" i="3"/>
  <c r="Q149" i="3"/>
  <c r="P149" i="3"/>
  <c r="M149" i="3"/>
  <c r="L149" i="3"/>
  <c r="K149" i="3"/>
  <c r="J149" i="3"/>
  <c r="I149" i="3"/>
  <c r="G149" i="3"/>
  <c r="AE148" i="3"/>
  <c r="AA148" i="3"/>
  <c r="Z148" i="3"/>
  <c r="X148" i="3"/>
  <c r="W148" i="3"/>
  <c r="V148" i="3"/>
  <c r="U148" i="3"/>
  <c r="Q148" i="3"/>
  <c r="P148" i="3"/>
  <c r="M148" i="3"/>
  <c r="L148" i="3"/>
  <c r="K148" i="3"/>
  <c r="J148" i="3"/>
  <c r="I148" i="3"/>
  <c r="G148" i="3"/>
  <c r="AE147" i="3"/>
  <c r="AA147" i="3"/>
  <c r="Z147" i="3"/>
  <c r="X147" i="3"/>
  <c r="W147" i="3"/>
  <c r="V147" i="3"/>
  <c r="U147" i="3"/>
  <c r="Q147" i="3"/>
  <c r="P147" i="3"/>
  <c r="M147" i="3"/>
  <c r="L147" i="3"/>
  <c r="K147" i="3"/>
  <c r="J147" i="3"/>
  <c r="I147" i="3"/>
  <c r="G147" i="3"/>
  <c r="AE146" i="3"/>
  <c r="AA146" i="3"/>
  <c r="Z146" i="3"/>
  <c r="X146" i="3"/>
  <c r="W146" i="3"/>
  <c r="V146" i="3"/>
  <c r="U146" i="3"/>
  <c r="Q146" i="3"/>
  <c r="P146" i="3"/>
  <c r="M146" i="3"/>
  <c r="L146" i="3"/>
  <c r="K146" i="3"/>
  <c r="J146" i="3"/>
  <c r="I146" i="3"/>
  <c r="G146" i="3"/>
  <c r="AE145" i="3"/>
  <c r="AA145" i="3"/>
  <c r="Z145" i="3"/>
  <c r="X145" i="3"/>
  <c r="W145" i="3"/>
  <c r="V145" i="3"/>
  <c r="U145" i="3"/>
  <c r="Q145" i="3"/>
  <c r="P145" i="3"/>
  <c r="M145" i="3"/>
  <c r="L145" i="3"/>
  <c r="K145" i="3"/>
  <c r="J145" i="3"/>
  <c r="I145" i="3"/>
  <c r="G145" i="3"/>
  <c r="AE144" i="3"/>
  <c r="AA144" i="3"/>
  <c r="Z144" i="3"/>
  <c r="X144" i="3"/>
  <c r="W144" i="3"/>
  <c r="V144" i="3"/>
  <c r="U144" i="3"/>
  <c r="Q144" i="3"/>
  <c r="P144" i="3"/>
  <c r="M144" i="3"/>
  <c r="L144" i="3"/>
  <c r="K144" i="3"/>
  <c r="J144" i="3"/>
  <c r="I144" i="3"/>
  <c r="G144" i="3"/>
  <c r="AE143" i="3"/>
  <c r="AA143" i="3"/>
  <c r="Z143" i="3"/>
  <c r="X143" i="3"/>
  <c r="W143" i="3"/>
  <c r="V143" i="3"/>
  <c r="U143" i="3"/>
  <c r="Q143" i="3"/>
  <c r="P143" i="3"/>
  <c r="M143" i="3"/>
  <c r="L143" i="3"/>
  <c r="K143" i="3"/>
  <c r="J143" i="3"/>
  <c r="I143" i="3"/>
  <c r="G143" i="3"/>
  <c r="AE142" i="3"/>
  <c r="AA142" i="3"/>
  <c r="Z142" i="3"/>
  <c r="X142" i="3"/>
  <c r="W142" i="3"/>
  <c r="V142" i="3"/>
  <c r="U142" i="3"/>
  <c r="Q142" i="3"/>
  <c r="P142" i="3"/>
  <c r="M142" i="3"/>
  <c r="L142" i="3"/>
  <c r="K142" i="3"/>
  <c r="J142" i="3"/>
  <c r="I142" i="3"/>
  <c r="G142" i="3"/>
  <c r="AE141" i="3"/>
  <c r="AA141" i="3"/>
  <c r="Z141" i="3"/>
  <c r="X141" i="3"/>
  <c r="W141" i="3"/>
  <c r="V141" i="3"/>
  <c r="U141" i="3"/>
  <c r="Q141" i="3"/>
  <c r="P141" i="3"/>
  <c r="M141" i="3"/>
  <c r="L141" i="3"/>
  <c r="K141" i="3"/>
  <c r="J141" i="3"/>
  <c r="I141" i="3"/>
  <c r="G141" i="3"/>
  <c r="AE140" i="3"/>
  <c r="AA140" i="3"/>
  <c r="Z140" i="3"/>
  <c r="X140" i="3"/>
  <c r="W140" i="3"/>
  <c r="V140" i="3"/>
  <c r="U140" i="3"/>
  <c r="Q140" i="3"/>
  <c r="P140" i="3"/>
  <c r="M140" i="3"/>
  <c r="L140" i="3"/>
  <c r="K140" i="3"/>
  <c r="J140" i="3"/>
  <c r="I140" i="3"/>
  <c r="G140" i="3"/>
  <c r="AE139" i="3"/>
  <c r="AA139" i="3"/>
  <c r="Z139" i="3"/>
  <c r="X139" i="3"/>
  <c r="W139" i="3"/>
  <c r="V139" i="3"/>
  <c r="U139" i="3"/>
  <c r="Q139" i="3"/>
  <c r="P139" i="3"/>
  <c r="M139" i="3"/>
  <c r="L139" i="3"/>
  <c r="K139" i="3"/>
  <c r="J139" i="3"/>
  <c r="I139" i="3"/>
  <c r="G139" i="3"/>
  <c r="AE138" i="3"/>
  <c r="AA138" i="3"/>
  <c r="Z138" i="3"/>
  <c r="X138" i="3"/>
  <c r="W138" i="3"/>
  <c r="V138" i="3"/>
  <c r="U138" i="3"/>
  <c r="Q138" i="3"/>
  <c r="P138" i="3"/>
  <c r="M138" i="3"/>
  <c r="L138" i="3"/>
  <c r="K138" i="3"/>
  <c r="J138" i="3"/>
  <c r="I138" i="3"/>
  <c r="G138" i="3"/>
  <c r="AE137" i="3"/>
  <c r="AA137" i="3"/>
  <c r="Z137" i="3"/>
  <c r="X137" i="3"/>
  <c r="W137" i="3"/>
  <c r="V137" i="3"/>
  <c r="U137" i="3"/>
  <c r="Q137" i="3"/>
  <c r="P137" i="3"/>
  <c r="M137" i="3"/>
  <c r="L137" i="3"/>
  <c r="K137" i="3"/>
  <c r="J137" i="3"/>
  <c r="I137" i="3"/>
  <c r="G137" i="3"/>
  <c r="AE136" i="3"/>
  <c r="AA136" i="3"/>
  <c r="Z136" i="3"/>
  <c r="X136" i="3"/>
  <c r="W136" i="3"/>
  <c r="V136" i="3"/>
  <c r="U136" i="3"/>
  <c r="Q136" i="3"/>
  <c r="P136" i="3"/>
  <c r="M136" i="3"/>
  <c r="L136" i="3"/>
  <c r="K136" i="3"/>
  <c r="J136" i="3"/>
  <c r="I136" i="3"/>
  <c r="G136" i="3"/>
  <c r="AE135" i="3"/>
  <c r="AA135" i="3"/>
  <c r="Z135" i="3"/>
  <c r="X135" i="3"/>
  <c r="W135" i="3"/>
  <c r="V135" i="3"/>
  <c r="U135" i="3"/>
  <c r="Q135" i="3"/>
  <c r="P135" i="3"/>
  <c r="M135" i="3"/>
  <c r="L135" i="3"/>
  <c r="K135" i="3"/>
  <c r="J135" i="3"/>
  <c r="I135" i="3"/>
  <c r="G135" i="3"/>
  <c r="AE134" i="3"/>
  <c r="AA134" i="3"/>
  <c r="Z134" i="3"/>
  <c r="X134" i="3"/>
  <c r="W134" i="3"/>
  <c r="V134" i="3"/>
  <c r="U134" i="3"/>
  <c r="Q134" i="3"/>
  <c r="P134" i="3"/>
  <c r="M134" i="3"/>
  <c r="L134" i="3"/>
  <c r="K134" i="3"/>
  <c r="J134" i="3"/>
  <c r="I134" i="3"/>
  <c r="G134" i="3"/>
  <c r="AE133" i="3"/>
  <c r="AA133" i="3"/>
  <c r="Z133" i="3"/>
  <c r="X133" i="3"/>
  <c r="W133" i="3"/>
  <c r="V133" i="3"/>
  <c r="U133" i="3"/>
  <c r="Q133" i="3"/>
  <c r="P133" i="3"/>
  <c r="M133" i="3"/>
  <c r="L133" i="3"/>
  <c r="K133" i="3"/>
  <c r="J133" i="3"/>
  <c r="I133" i="3"/>
  <c r="G133" i="3"/>
  <c r="AE132" i="3"/>
  <c r="AA132" i="3"/>
  <c r="Z132" i="3"/>
  <c r="X132" i="3"/>
  <c r="W132" i="3"/>
  <c r="V132" i="3"/>
  <c r="U132" i="3"/>
  <c r="Q132" i="3"/>
  <c r="P132" i="3"/>
  <c r="M132" i="3"/>
  <c r="L132" i="3"/>
  <c r="K132" i="3"/>
  <c r="J132" i="3"/>
  <c r="I132" i="3"/>
  <c r="G132" i="3"/>
  <c r="AE131" i="3"/>
  <c r="AA131" i="3"/>
  <c r="Z131" i="3"/>
  <c r="X131" i="3"/>
  <c r="W131" i="3"/>
  <c r="V131" i="3"/>
  <c r="U131" i="3"/>
  <c r="Q131" i="3"/>
  <c r="P131" i="3"/>
  <c r="M131" i="3"/>
  <c r="L131" i="3"/>
  <c r="K131" i="3"/>
  <c r="J131" i="3"/>
  <c r="I131" i="3"/>
  <c r="G131" i="3"/>
  <c r="AE130" i="3"/>
  <c r="AA130" i="3"/>
  <c r="Z130" i="3"/>
  <c r="X130" i="3"/>
  <c r="W130" i="3"/>
  <c r="V130" i="3"/>
  <c r="U130" i="3"/>
  <c r="Q130" i="3"/>
  <c r="P130" i="3"/>
  <c r="M130" i="3"/>
  <c r="L130" i="3"/>
  <c r="K130" i="3"/>
  <c r="J130" i="3"/>
  <c r="I130" i="3"/>
  <c r="G130" i="3"/>
  <c r="AE129" i="3"/>
  <c r="AA129" i="3"/>
  <c r="Z129" i="3"/>
  <c r="X129" i="3"/>
  <c r="W129" i="3"/>
  <c r="V129" i="3"/>
  <c r="U129" i="3"/>
  <c r="Q129" i="3"/>
  <c r="P129" i="3"/>
  <c r="M129" i="3"/>
  <c r="L129" i="3"/>
  <c r="K129" i="3"/>
  <c r="J129" i="3"/>
  <c r="I129" i="3"/>
  <c r="G129" i="3"/>
  <c r="AE128" i="3"/>
  <c r="AA128" i="3"/>
  <c r="Z128" i="3"/>
  <c r="X128" i="3"/>
  <c r="W128" i="3"/>
  <c r="V128" i="3"/>
  <c r="U128" i="3"/>
  <c r="Q128" i="3"/>
  <c r="P128" i="3"/>
  <c r="M128" i="3"/>
  <c r="L128" i="3"/>
  <c r="K128" i="3"/>
  <c r="J128" i="3"/>
  <c r="I128" i="3"/>
  <c r="G128" i="3"/>
  <c r="AE127" i="3"/>
  <c r="AA127" i="3"/>
  <c r="Z127" i="3"/>
  <c r="X127" i="3"/>
  <c r="W127" i="3"/>
  <c r="V127" i="3"/>
  <c r="U127" i="3"/>
  <c r="Q127" i="3"/>
  <c r="P127" i="3"/>
  <c r="M127" i="3"/>
  <c r="L127" i="3"/>
  <c r="K127" i="3"/>
  <c r="J127" i="3"/>
  <c r="I127" i="3"/>
  <c r="G127" i="3"/>
  <c r="AE126" i="3"/>
  <c r="AA126" i="3"/>
  <c r="Z126" i="3"/>
  <c r="X126" i="3"/>
  <c r="W126" i="3"/>
  <c r="V126" i="3"/>
  <c r="U126" i="3"/>
  <c r="Q126" i="3"/>
  <c r="P126" i="3"/>
  <c r="M126" i="3"/>
  <c r="L126" i="3"/>
  <c r="K126" i="3"/>
  <c r="J126" i="3"/>
  <c r="I126" i="3"/>
  <c r="G126" i="3"/>
  <c r="AE125" i="3"/>
  <c r="AA125" i="3"/>
  <c r="Z125" i="3"/>
  <c r="X125" i="3"/>
  <c r="W125" i="3"/>
  <c r="V125" i="3"/>
  <c r="U125" i="3"/>
  <c r="Q125" i="3"/>
  <c r="P125" i="3"/>
  <c r="M125" i="3"/>
  <c r="L125" i="3"/>
  <c r="K125" i="3"/>
  <c r="J125" i="3"/>
  <c r="I125" i="3"/>
  <c r="G125" i="3"/>
  <c r="AE124" i="3"/>
  <c r="AA124" i="3"/>
  <c r="Z124" i="3"/>
  <c r="X124" i="3"/>
  <c r="W124" i="3"/>
  <c r="V124" i="3"/>
  <c r="U124" i="3"/>
  <c r="Q124" i="3"/>
  <c r="P124" i="3"/>
  <c r="M124" i="3"/>
  <c r="L124" i="3"/>
  <c r="K124" i="3"/>
  <c r="J124" i="3"/>
  <c r="I124" i="3"/>
  <c r="G124" i="3"/>
  <c r="AE123" i="3"/>
  <c r="AA123" i="3"/>
  <c r="Z123" i="3"/>
  <c r="X123" i="3"/>
  <c r="W123" i="3"/>
  <c r="V123" i="3"/>
  <c r="U123" i="3"/>
  <c r="Q123" i="3"/>
  <c r="P123" i="3"/>
  <c r="M123" i="3"/>
  <c r="L123" i="3"/>
  <c r="K123" i="3"/>
  <c r="J123" i="3"/>
  <c r="I123" i="3"/>
  <c r="G123" i="3"/>
  <c r="AE122" i="3"/>
  <c r="AA122" i="3"/>
  <c r="Z122" i="3"/>
  <c r="X122" i="3"/>
  <c r="W122" i="3"/>
  <c r="V122" i="3"/>
  <c r="U122" i="3"/>
  <c r="Q122" i="3"/>
  <c r="P122" i="3"/>
  <c r="M122" i="3"/>
  <c r="L122" i="3"/>
  <c r="K122" i="3"/>
  <c r="J122" i="3"/>
  <c r="I122" i="3"/>
  <c r="G122" i="3"/>
  <c r="AE121" i="3"/>
  <c r="AA121" i="3"/>
  <c r="Z121" i="3"/>
  <c r="X121" i="3"/>
  <c r="W121" i="3"/>
  <c r="V121" i="3"/>
  <c r="U121" i="3"/>
  <c r="Q121" i="3"/>
  <c r="P121" i="3"/>
  <c r="M121" i="3"/>
  <c r="L121" i="3"/>
  <c r="K121" i="3"/>
  <c r="J121" i="3"/>
  <c r="I121" i="3"/>
  <c r="G121" i="3"/>
  <c r="AE120" i="3"/>
  <c r="AA120" i="3"/>
  <c r="Z120" i="3"/>
  <c r="X120" i="3"/>
  <c r="W120" i="3"/>
  <c r="V120" i="3"/>
  <c r="U120" i="3"/>
  <c r="Q120" i="3"/>
  <c r="P120" i="3"/>
  <c r="M120" i="3"/>
  <c r="L120" i="3"/>
  <c r="K120" i="3"/>
  <c r="J120" i="3"/>
  <c r="I120" i="3"/>
  <c r="G120" i="3"/>
  <c r="AE119" i="3"/>
  <c r="AA119" i="3"/>
  <c r="Z119" i="3"/>
  <c r="X119" i="3"/>
  <c r="W119" i="3"/>
  <c r="V119" i="3"/>
  <c r="U119" i="3"/>
  <c r="Q119" i="3"/>
  <c r="P119" i="3"/>
  <c r="M119" i="3"/>
  <c r="L119" i="3"/>
  <c r="K119" i="3"/>
  <c r="J119" i="3"/>
  <c r="I119" i="3"/>
  <c r="G119" i="3"/>
  <c r="AE118" i="3"/>
  <c r="AA118" i="3"/>
  <c r="Z118" i="3"/>
  <c r="X118" i="3"/>
  <c r="W118" i="3"/>
  <c r="V118" i="3"/>
  <c r="U118" i="3"/>
  <c r="Q118" i="3"/>
  <c r="P118" i="3"/>
  <c r="M118" i="3"/>
  <c r="L118" i="3"/>
  <c r="K118" i="3"/>
  <c r="J118" i="3"/>
  <c r="I118" i="3"/>
  <c r="G118" i="3"/>
  <c r="AE117" i="3"/>
  <c r="AA117" i="3"/>
  <c r="Z117" i="3"/>
  <c r="X117" i="3"/>
  <c r="W117" i="3"/>
  <c r="V117" i="3"/>
  <c r="U117" i="3"/>
  <c r="Q117" i="3"/>
  <c r="P117" i="3"/>
  <c r="M117" i="3"/>
  <c r="L117" i="3"/>
  <c r="K117" i="3"/>
  <c r="J117" i="3"/>
  <c r="I117" i="3"/>
  <c r="G117" i="3"/>
  <c r="AE116" i="3"/>
  <c r="AA116" i="3"/>
  <c r="Z116" i="3"/>
  <c r="X116" i="3"/>
  <c r="W116" i="3"/>
  <c r="V116" i="3"/>
  <c r="U116" i="3"/>
  <c r="Q116" i="3"/>
  <c r="P116" i="3"/>
  <c r="M116" i="3"/>
  <c r="L116" i="3"/>
  <c r="K116" i="3"/>
  <c r="J116" i="3"/>
  <c r="I116" i="3"/>
  <c r="G116" i="3"/>
  <c r="AE115" i="3"/>
  <c r="AA115" i="3"/>
  <c r="Z115" i="3"/>
  <c r="X115" i="3"/>
  <c r="W115" i="3"/>
  <c r="V115" i="3"/>
  <c r="U115" i="3"/>
  <c r="Q115" i="3"/>
  <c r="P115" i="3"/>
  <c r="M115" i="3"/>
  <c r="L115" i="3"/>
  <c r="K115" i="3"/>
  <c r="J115" i="3"/>
  <c r="I115" i="3"/>
  <c r="G115" i="3"/>
  <c r="AE114" i="3"/>
  <c r="AA114" i="3"/>
  <c r="Z114" i="3"/>
  <c r="X114" i="3"/>
  <c r="W114" i="3"/>
  <c r="V114" i="3"/>
  <c r="U114" i="3"/>
  <c r="Q114" i="3"/>
  <c r="P114" i="3"/>
  <c r="M114" i="3"/>
  <c r="L114" i="3"/>
  <c r="K114" i="3"/>
  <c r="J114" i="3"/>
  <c r="I114" i="3"/>
  <c r="G114" i="3"/>
  <c r="AE113" i="3"/>
  <c r="AA113" i="3"/>
  <c r="Z113" i="3"/>
  <c r="X113" i="3"/>
  <c r="W113" i="3"/>
  <c r="V113" i="3"/>
  <c r="U113" i="3"/>
  <c r="Q113" i="3"/>
  <c r="P113" i="3"/>
  <c r="M113" i="3"/>
  <c r="L113" i="3"/>
  <c r="K113" i="3"/>
  <c r="J113" i="3"/>
  <c r="I113" i="3"/>
  <c r="G113" i="3"/>
  <c r="AE112" i="3"/>
  <c r="AA112" i="3"/>
  <c r="Z112" i="3"/>
  <c r="X112" i="3"/>
  <c r="W112" i="3"/>
  <c r="V112" i="3"/>
  <c r="U112" i="3"/>
  <c r="Q112" i="3"/>
  <c r="P112" i="3"/>
  <c r="M112" i="3"/>
  <c r="L112" i="3"/>
  <c r="K112" i="3"/>
  <c r="J112" i="3"/>
  <c r="I112" i="3"/>
  <c r="G112" i="3"/>
  <c r="AE111" i="3"/>
  <c r="AA111" i="3"/>
  <c r="Z111" i="3"/>
  <c r="X111" i="3"/>
  <c r="W111" i="3"/>
  <c r="V111" i="3"/>
  <c r="U111" i="3"/>
  <c r="Q111" i="3"/>
  <c r="P111" i="3"/>
  <c r="M111" i="3"/>
  <c r="L111" i="3"/>
  <c r="K111" i="3"/>
  <c r="J111" i="3"/>
  <c r="I111" i="3"/>
  <c r="G111" i="3"/>
  <c r="AE110" i="3"/>
  <c r="AA110" i="3"/>
  <c r="Z110" i="3"/>
  <c r="X110" i="3"/>
  <c r="W110" i="3"/>
  <c r="V110" i="3"/>
  <c r="U110" i="3"/>
  <c r="Q110" i="3"/>
  <c r="P110" i="3"/>
  <c r="M110" i="3"/>
  <c r="L110" i="3"/>
  <c r="K110" i="3"/>
  <c r="J110" i="3"/>
  <c r="I110" i="3"/>
  <c r="G110" i="3"/>
  <c r="AE109" i="3"/>
  <c r="AA109" i="3"/>
  <c r="Z109" i="3"/>
  <c r="X109" i="3"/>
  <c r="W109" i="3"/>
  <c r="V109" i="3"/>
  <c r="U109" i="3"/>
  <c r="Q109" i="3"/>
  <c r="P109" i="3"/>
  <c r="M109" i="3"/>
  <c r="L109" i="3"/>
  <c r="K109" i="3"/>
  <c r="J109" i="3"/>
  <c r="I109" i="3"/>
  <c r="G109" i="3"/>
  <c r="AE108" i="3"/>
  <c r="AA108" i="3"/>
  <c r="Z108" i="3"/>
  <c r="X108" i="3"/>
  <c r="W108" i="3"/>
  <c r="V108" i="3"/>
  <c r="U108" i="3"/>
  <c r="Q108" i="3"/>
  <c r="P108" i="3"/>
  <c r="M108" i="3"/>
  <c r="L108" i="3"/>
  <c r="K108" i="3"/>
  <c r="J108" i="3"/>
  <c r="I108" i="3"/>
  <c r="G108" i="3"/>
  <c r="AE107" i="3"/>
  <c r="AA107" i="3"/>
  <c r="Z107" i="3"/>
  <c r="X107" i="3"/>
  <c r="W107" i="3"/>
  <c r="V107" i="3"/>
  <c r="U107" i="3"/>
  <c r="Q107" i="3"/>
  <c r="P107" i="3"/>
  <c r="M107" i="3"/>
  <c r="L107" i="3"/>
  <c r="K107" i="3"/>
  <c r="J107" i="3"/>
  <c r="I107" i="3"/>
  <c r="G107" i="3"/>
  <c r="AE106" i="3"/>
  <c r="AA106" i="3"/>
  <c r="Z106" i="3"/>
  <c r="X106" i="3"/>
  <c r="W106" i="3"/>
  <c r="V106" i="3"/>
  <c r="U106" i="3"/>
  <c r="Q106" i="3"/>
  <c r="P106" i="3"/>
  <c r="M106" i="3"/>
  <c r="L106" i="3"/>
  <c r="K106" i="3"/>
  <c r="J106" i="3"/>
  <c r="I106" i="3"/>
  <c r="G106" i="3"/>
  <c r="AE105" i="3"/>
  <c r="AA105" i="3"/>
  <c r="Z105" i="3"/>
  <c r="X105" i="3"/>
  <c r="W105" i="3"/>
  <c r="V105" i="3"/>
  <c r="U105" i="3"/>
  <c r="Q105" i="3"/>
  <c r="P105" i="3"/>
  <c r="M105" i="3"/>
  <c r="L105" i="3"/>
  <c r="K105" i="3"/>
  <c r="J105" i="3"/>
  <c r="I105" i="3"/>
  <c r="G105" i="3"/>
  <c r="AE104" i="3"/>
  <c r="AA104" i="3"/>
  <c r="Z104" i="3"/>
  <c r="X104" i="3"/>
  <c r="W104" i="3"/>
  <c r="V104" i="3"/>
  <c r="U104" i="3"/>
  <c r="Q104" i="3"/>
  <c r="P104" i="3"/>
  <c r="M104" i="3"/>
  <c r="L104" i="3"/>
  <c r="K104" i="3"/>
  <c r="J104" i="3"/>
  <c r="I104" i="3"/>
  <c r="G104" i="3"/>
  <c r="AE103" i="3"/>
  <c r="AA103" i="3"/>
  <c r="Z103" i="3"/>
  <c r="X103" i="3"/>
  <c r="W103" i="3"/>
  <c r="V103" i="3"/>
  <c r="U103" i="3"/>
  <c r="Q103" i="3"/>
  <c r="P103" i="3"/>
  <c r="M103" i="3"/>
  <c r="L103" i="3"/>
  <c r="K103" i="3"/>
  <c r="J103" i="3"/>
  <c r="I103" i="3"/>
  <c r="G103" i="3"/>
  <c r="AE102" i="3"/>
  <c r="AA102" i="3"/>
  <c r="Z102" i="3"/>
  <c r="X102" i="3"/>
  <c r="W102" i="3"/>
  <c r="V102" i="3"/>
  <c r="U102" i="3"/>
  <c r="Q102" i="3"/>
  <c r="P102" i="3"/>
  <c r="M102" i="3"/>
  <c r="L102" i="3"/>
  <c r="K102" i="3"/>
  <c r="J102" i="3"/>
  <c r="I102" i="3"/>
  <c r="G102" i="3"/>
  <c r="AE101" i="3"/>
  <c r="AA101" i="3"/>
  <c r="Z101" i="3"/>
  <c r="X101" i="3"/>
  <c r="W101" i="3"/>
  <c r="V101" i="3"/>
  <c r="U101" i="3"/>
  <c r="Q101" i="3"/>
  <c r="P101" i="3"/>
  <c r="M101" i="3"/>
  <c r="L101" i="3"/>
  <c r="K101" i="3"/>
  <c r="J101" i="3"/>
  <c r="I101" i="3"/>
  <c r="G101" i="3"/>
  <c r="AE100" i="3"/>
  <c r="AA100" i="3"/>
  <c r="Z100" i="3"/>
  <c r="X100" i="3"/>
  <c r="W100" i="3"/>
  <c r="V100" i="3"/>
  <c r="U100" i="3"/>
  <c r="Q100" i="3"/>
  <c r="P100" i="3"/>
  <c r="M100" i="3"/>
  <c r="L100" i="3"/>
  <c r="K100" i="3"/>
  <c r="J100" i="3"/>
  <c r="I100" i="3"/>
  <c r="G100" i="3"/>
  <c r="AE99" i="3"/>
  <c r="AA99" i="3"/>
  <c r="Z99" i="3"/>
  <c r="X99" i="3"/>
  <c r="W99" i="3"/>
  <c r="V99" i="3"/>
  <c r="U99" i="3"/>
  <c r="Q99" i="3"/>
  <c r="P99" i="3"/>
  <c r="M99" i="3"/>
  <c r="L99" i="3"/>
  <c r="K99" i="3"/>
  <c r="J99" i="3"/>
  <c r="I99" i="3"/>
  <c r="G99" i="3"/>
  <c r="AE98" i="3"/>
  <c r="AA98" i="3"/>
  <c r="Z98" i="3"/>
  <c r="X98" i="3"/>
  <c r="W98" i="3"/>
  <c r="V98" i="3"/>
  <c r="U98" i="3"/>
  <c r="Q98" i="3"/>
  <c r="P98" i="3"/>
  <c r="M98" i="3"/>
  <c r="L98" i="3"/>
  <c r="K98" i="3"/>
  <c r="J98" i="3"/>
  <c r="I98" i="3"/>
  <c r="G98" i="3"/>
  <c r="AE97" i="3"/>
  <c r="AA97" i="3"/>
  <c r="Z97" i="3"/>
  <c r="X97" i="3"/>
  <c r="W97" i="3"/>
  <c r="V97" i="3"/>
  <c r="U97" i="3"/>
  <c r="Q97" i="3"/>
  <c r="P97" i="3"/>
  <c r="M97" i="3"/>
  <c r="L97" i="3"/>
  <c r="K97" i="3"/>
  <c r="J97" i="3"/>
  <c r="I97" i="3"/>
  <c r="G97" i="3"/>
  <c r="AE96" i="3"/>
  <c r="AA96" i="3"/>
  <c r="Z96" i="3"/>
  <c r="X96" i="3"/>
  <c r="W96" i="3"/>
  <c r="V96" i="3"/>
  <c r="U96" i="3"/>
  <c r="Q96" i="3"/>
  <c r="P96" i="3"/>
  <c r="M96" i="3"/>
  <c r="L96" i="3"/>
  <c r="K96" i="3"/>
  <c r="J96" i="3"/>
  <c r="I96" i="3"/>
  <c r="G96" i="3"/>
  <c r="AE95" i="3"/>
  <c r="AA95" i="3"/>
  <c r="Z95" i="3"/>
  <c r="X95" i="3"/>
  <c r="W95" i="3"/>
  <c r="V95" i="3"/>
  <c r="U95" i="3"/>
  <c r="Q95" i="3"/>
  <c r="P95" i="3"/>
  <c r="M95" i="3"/>
  <c r="L95" i="3"/>
  <c r="K95" i="3"/>
  <c r="J95" i="3"/>
  <c r="I95" i="3"/>
  <c r="G95" i="3"/>
  <c r="AE94" i="3"/>
  <c r="AA94" i="3"/>
  <c r="Z94" i="3"/>
  <c r="X94" i="3"/>
  <c r="W94" i="3"/>
  <c r="V94" i="3"/>
  <c r="U94" i="3"/>
  <c r="Q94" i="3"/>
  <c r="P94" i="3"/>
  <c r="M94" i="3"/>
  <c r="L94" i="3"/>
  <c r="K94" i="3"/>
  <c r="J94" i="3"/>
  <c r="I94" i="3"/>
  <c r="G94" i="3"/>
  <c r="AE93" i="3"/>
  <c r="AA93" i="3"/>
  <c r="Z93" i="3"/>
  <c r="X93" i="3"/>
  <c r="W93" i="3"/>
  <c r="V93" i="3"/>
  <c r="U93" i="3"/>
  <c r="Q93" i="3"/>
  <c r="P93" i="3"/>
  <c r="M93" i="3"/>
  <c r="L93" i="3"/>
  <c r="K93" i="3"/>
  <c r="J93" i="3"/>
  <c r="I93" i="3"/>
  <c r="G93" i="3"/>
  <c r="AE92" i="3"/>
  <c r="AA92" i="3"/>
  <c r="Z92" i="3"/>
  <c r="X92" i="3"/>
  <c r="W92" i="3"/>
  <c r="V92" i="3"/>
  <c r="U92" i="3"/>
  <c r="Q92" i="3"/>
  <c r="P92" i="3"/>
  <c r="M92" i="3"/>
  <c r="L92" i="3"/>
  <c r="K92" i="3"/>
  <c r="J92" i="3"/>
  <c r="I92" i="3"/>
  <c r="G92" i="3"/>
  <c r="AE91" i="3"/>
  <c r="AA91" i="3"/>
  <c r="Z91" i="3"/>
  <c r="X91" i="3"/>
  <c r="W91" i="3"/>
  <c r="V91" i="3"/>
  <c r="U91" i="3"/>
  <c r="Q91" i="3"/>
  <c r="P91" i="3"/>
  <c r="M91" i="3"/>
  <c r="L91" i="3"/>
  <c r="K91" i="3"/>
  <c r="J91" i="3"/>
  <c r="I91" i="3"/>
  <c r="G91" i="3"/>
  <c r="AE90" i="3"/>
  <c r="AA90" i="3"/>
  <c r="Z90" i="3"/>
  <c r="X90" i="3"/>
  <c r="W90" i="3"/>
  <c r="V90" i="3"/>
  <c r="U90" i="3"/>
  <c r="Q90" i="3"/>
  <c r="P90" i="3"/>
  <c r="M90" i="3"/>
  <c r="L90" i="3"/>
  <c r="K90" i="3"/>
  <c r="J90" i="3"/>
  <c r="I90" i="3"/>
  <c r="G90" i="3"/>
  <c r="AE89" i="3"/>
  <c r="AA89" i="3"/>
  <c r="Z89" i="3"/>
  <c r="X89" i="3"/>
  <c r="W89" i="3"/>
  <c r="V89" i="3"/>
  <c r="U89" i="3"/>
  <c r="Q89" i="3"/>
  <c r="P89" i="3"/>
  <c r="M89" i="3"/>
  <c r="L89" i="3"/>
  <c r="K89" i="3"/>
  <c r="J89" i="3"/>
  <c r="I89" i="3"/>
  <c r="G89" i="3"/>
  <c r="AE88" i="3"/>
  <c r="AA88" i="3"/>
  <c r="Z88" i="3"/>
  <c r="X88" i="3"/>
  <c r="W88" i="3"/>
  <c r="V88" i="3"/>
  <c r="U88" i="3"/>
  <c r="Q88" i="3"/>
  <c r="P88" i="3"/>
  <c r="M88" i="3"/>
  <c r="L88" i="3"/>
  <c r="K88" i="3"/>
  <c r="J88" i="3"/>
  <c r="I88" i="3"/>
  <c r="G88" i="3"/>
  <c r="AE87" i="3"/>
  <c r="AA87" i="3"/>
  <c r="Z87" i="3"/>
  <c r="X87" i="3"/>
  <c r="W87" i="3"/>
  <c r="V87" i="3"/>
  <c r="U87" i="3"/>
  <c r="Q87" i="3"/>
  <c r="P87" i="3"/>
  <c r="M87" i="3"/>
  <c r="L87" i="3"/>
  <c r="K87" i="3"/>
  <c r="J87" i="3"/>
  <c r="I87" i="3"/>
  <c r="G87" i="3"/>
  <c r="AE86" i="3"/>
  <c r="AA86" i="3"/>
  <c r="Z86" i="3"/>
  <c r="X86" i="3"/>
  <c r="W86" i="3"/>
  <c r="V86" i="3"/>
  <c r="U86" i="3"/>
  <c r="Q86" i="3"/>
  <c r="P86" i="3"/>
  <c r="M86" i="3"/>
  <c r="L86" i="3"/>
  <c r="K86" i="3"/>
  <c r="J86" i="3"/>
  <c r="I86" i="3"/>
  <c r="G86" i="3"/>
  <c r="AE85" i="3"/>
  <c r="AA85" i="3"/>
  <c r="Z85" i="3"/>
  <c r="X85" i="3"/>
  <c r="W85" i="3"/>
  <c r="V85" i="3"/>
  <c r="U85" i="3"/>
  <c r="Q85" i="3"/>
  <c r="P85" i="3"/>
  <c r="M85" i="3"/>
  <c r="L85" i="3"/>
  <c r="K85" i="3"/>
  <c r="J85" i="3"/>
  <c r="I85" i="3"/>
  <c r="G85" i="3"/>
  <c r="AE84" i="3"/>
  <c r="AA84" i="3"/>
  <c r="Z84" i="3"/>
  <c r="X84" i="3"/>
  <c r="W84" i="3"/>
  <c r="V84" i="3"/>
  <c r="U84" i="3"/>
  <c r="Q84" i="3"/>
  <c r="P84" i="3"/>
  <c r="M84" i="3"/>
  <c r="L84" i="3"/>
  <c r="K84" i="3"/>
  <c r="J84" i="3"/>
  <c r="I84" i="3"/>
  <c r="G84" i="3"/>
  <c r="AE83" i="3"/>
  <c r="AA83" i="3"/>
  <c r="Z83" i="3"/>
  <c r="X83" i="3"/>
  <c r="W83" i="3"/>
  <c r="V83" i="3"/>
  <c r="U83" i="3"/>
  <c r="Q83" i="3"/>
  <c r="P83" i="3"/>
  <c r="M83" i="3"/>
  <c r="L83" i="3"/>
  <c r="K83" i="3"/>
  <c r="J83" i="3"/>
  <c r="I83" i="3"/>
  <c r="G83" i="3"/>
  <c r="AE82" i="3"/>
  <c r="AA82" i="3"/>
  <c r="Z82" i="3"/>
  <c r="X82" i="3"/>
  <c r="W82" i="3"/>
  <c r="V82" i="3"/>
  <c r="U82" i="3"/>
  <c r="Q82" i="3"/>
  <c r="P82" i="3"/>
  <c r="M82" i="3"/>
  <c r="L82" i="3"/>
  <c r="K82" i="3"/>
  <c r="J82" i="3"/>
  <c r="I82" i="3"/>
  <c r="G82" i="3"/>
  <c r="AE81" i="3"/>
  <c r="AA81" i="3"/>
  <c r="Z81" i="3"/>
  <c r="X81" i="3"/>
  <c r="W81" i="3"/>
  <c r="V81" i="3"/>
  <c r="U81" i="3"/>
  <c r="Q81" i="3"/>
  <c r="P81" i="3"/>
  <c r="M81" i="3"/>
  <c r="L81" i="3"/>
  <c r="K81" i="3"/>
  <c r="J81" i="3"/>
  <c r="I81" i="3"/>
  <c r="G81" i="3"/>
  <c r="AE80" i="3"/>
  <c r="AA80" i="3"/>
  <c r="Z80" i="3"/>
  <c r="X80" i="3"/>
  <c r="W80" i="3"/>
  <c r="V80" i="3"/>
  <c r="U80" i="3"/>
  <c r="Q80" i="3"/>
  <c r="P80" i="3"/>
  <c r="M80" i="3"/>
  <c r="L80" i="3"/>
  <c r="K80" i="3"/>
  <c r="J80" i="3"/>
  <c r="I80" i="3"/>
  <c r="G80" i="3"/>
  <c r="AE79" i="3"/>
  <c r="AA79" i="3"/>
  <c r="Z79" i="3"/>
  <c r="X79" i="3"/>
  <c r="W79" i="3"/>
  <c r="V79" i="3"/>
  <c r="U79" i="3"/>
  <c r="Q79" i="3"/>
  <c r="P79" i="3"/>
  <c r="M79" i="3"/>
  <c r="L79" i="3"/>
  <c r="K79" i="3"/>
  <c r="J79" i="3"/>
  <c r="I79" i="3"/>
  <c r="G79" i="3"/>
  <c r="AE78" i="3"/>
  <c r="AA78" i="3"/>
  <c r="Z78" i="3"/>
  <c r="X78" i="3"/>
  <c r="W78" i="3"/>
  <c r="V78" i="3"/>
  <c r="U78" i="3"/>
  <c r="Q78" i="3"/>
  <c r="P78" i="3"/>
  <c r="M78" i="3"/>
  <c r="L78" i="3"/>
  <c r="K78" i="3"/>
  <c r="J78" i="3"/>
  <c r="I78" i="3"/>
  <c r="G78" i="3"/>
  <c r="AE77" i="3"/>
  <c r="AA77" i="3"/>
  <c r="Z77" i="3"/>
  <c r="X77" i="3"/>
  <c r="W77" i="3"/>
  <c r="V77" i="3"/>
  <c r="U77" i="3"/>
  <c r="Q77" i="3"/>
  <c r="P77" i="3"/>
  <c r="M77" i="3"/>
  <c r="L77" i="3"/>
  <c r="K77" i="3"/>
  <c r="J77" i="3"/>
  <c r="I77" i="3"/>
  <c r="G77" i="3"/>
  <c r="AE76" i="3"/>
  <c r="AA76" i="3"/>
  <c r="Z76" i="3"/>
  <c r="X76" i="3"/>
  <c r="W76" i="3"/>
  <c r="V76" i="3"/>
  <c r="U76" i="3"/>
  <c r="Q76" i="3"/>
  <c r="P76" i="3"/>
  <c r="M76" i="3"/>
  <c r="L76" i="3"/>
  <c r="K76" i="3"/>
  <c r="J76" i="3"/>
  <c r="I76" i="3"/>
  <c r="G76" i="3"/>
  <c r="AE75" i="3"/>
  <c r="AA75" i="3"/>
  <c r="Z75" i="3"/>
  <c r="X75" i="3"/>
  <c r="W75" i="3"/>
  <c r="V75" i="3"/>
  <c r="U75" i="3"/>
  <c r="Q75" i="3"/>
  <c r="P75" i="3"/>
  <c r="M75" i="3"/>
  <c r="L75" i="3"/>
  <c r="K75" i="3"/>
  <c r="J75" i="3"/>
  <c r="I75" i="3"/>
  <c r="G75" i="3"/>
  <c r="AE74" i="3"/>
  <c r="AA74" i="3"/>
  <c r="Z74" i="3"/>
  <c r="X74" i="3"/>
  <c r="W74" i="3"/>
  <c r="V74" i="3"/>
  <c r="U74" i="3"/>
  <c r="Q74" i="3"/>
  <c r="P74" i="3"/>
  <c r="M74" i="3"/>
  <c r="L74" i="3"/>
  <c r="K74" i="3"/>
  <c r="J74" i="3"/>
  <c r="I74" i="3"/>
  <c r="G74" i="3"/>
  <c r="AE73" i="3"/>
  <c r="AA73" i="3"/>
  <c r="Z73" i="3"/>
  <c r="X73" i="3"/>
  <c r="W73" i="3"/>
  <c r="V73" i="3"/>
  <c r="U73" i="3"/>
  <c r="Q73" i="3"/>
  <c r="P73" i="3"/>
  <c r="M73" i="3"/>
  <c r="L73" i="3"/>
  <c r="K73" i="3"/>
  <c r="J73" i="3"/>
  <c r="I73" i="3"/>
  <c r="G73" i="3"/>
  <c r="AE72" i="3"/>
  <c r="AA72" i="3"/>
  <c r="Z72" i="3"/>
  <c r="X72" i="3"/>
  <c r="W72" i="3"/>
  <c r="V72" i="3"/>
  <c r="U72" i="3"/>
  <c r="Q72" i="3"/>
  <c r="P72" i="3"/>
  <c r="M72" i="3"/>
  <c r="L72" i="3"/>
  <c r="K72" i="3"/>
  <c r="J72" i="3"/>
  <c r="I72" i="3"/>
  <c r="G72" i="3"/>
  <c r="AE71" i="3"/>
  <c r="AA71" i="3"/>
  <c r="Z71" i="3"/>
  <c r="X71" i="3"/>
  <c r="W71" i="3"/>
  <c r="V71" i="3"/>
  <c r="U71" i="3"/>
  <c r="Q71" i="3"/>
  <c r="P71" i="3"/>
  <c r="M71" i="3"/>
  <c r="L71" i="3"/>
  <c r="K71" i="3"/>
  <c r="J71" i="3"/>
  <c r="I71" i="3"/>
  <c r="G71" i="3"/>
  <c r="AE70" i="3"/>
  <c r="AA70" i="3"/>
  <c r="Z70" i="3"/>
  <c r="X70" i="3"/>
  <c r="W70" i="3"/>
  <c r="V70" i="3"/>
  <c r="U70" i="3"/>
  <c r="Q70" i="3"/>
  <c r="P70" i="3"/>
  <c r="M70" i="3"/>
  <c r="L70" i="3"/>
  <c r="K70" i="3"/>
  <c r="J70" i="3"/>
  <c r="I70" i="3"/>
  <c r="G70" i="3"/>
  <c r="AE69" i="3"/>
  <c r="AA69" i="3"/>
  <c r="Z69" i="3"/>
  <c r="X69" i="3"/>
  <c r="W69" i="3"/>
  <c r="V69" i="3"/>
  <c r="U69" i="3"/>
  <c r="Q69" i="3"/>
  <c r="P69" i="3"/>
  <c r="M69" i="3"/>
  <c r="L69" i="3"/>
  <c r="K69" i="3"/>
  <c r="J69" i="3"/>
  <c r="I69" i="3"/>
  <c r="G69" i="3"/>
  <c r="AE68" i="3"/>
  <c r="AA68" i="3"/>
  <c r="Z68" i="3"/>
  <c r="X68" i="3"/>
  <c r="W68" i="3"/>
  <c r="V68" i="3"/>
  <c r="U68" i="3"/>
  <c r="Q68" i="3"/>
  <c r="P68" i="3"/>
  <c r="M68" i="3"/>
  <c r="L68" i="3"/>
  <c r="K68" i="3"/>
  <c r="J68" i="3"/>
  <c r="I68" i="3"/>
  <c r="G68" i="3"/>
  <c r="AE67" i="3"/>
  <c r="AA67" i="3"/>
  <c r="Z67" i="3"/>
  <c r="X67" i="3"/>
  <c r="W67" i="3"/>
  <c r="V67" i="3"/>
  <c r="U67" i="3"/>
  <c r="Q67" i="3"/>
  <c r="P67" i="3"/>
  <c r="M67" i="3"/>
  <c r="L67" i="3"/>
  <c r="K67" i="3"/>
  <c r="J67" i="3"/>
  <c r="I67" i="3"/>
  <c r="G67" i="3"/>
  <c r="AE66" i="3"/>
  <c r="AA66" i="3"/>
  <c r="Z66" i="3"/>
  <c r="X66" i="3"/>
  <c r="W66" i="3"/>
  <c r="V66" i="3"/>
  <c r="U66" i="3"/>
  <c r="Q66" i="3"/>
  <c r="P66" i="3"/>
  <c r="M66" i="3"/>
  <c r="L66" i="3"/>
  <c r="K66" i="3"/>
  <c r="J66" i="3"/>
  <c r="I66" i="3"/>
  <c r="G66" i="3"/>
  <c r="AE65" i="3"/>
  <c r="AA65" i="3"/>
  <c r="Z65" i="3"/>
  <c r="X65" i="3"/>
  <c r="W65" i="3"/>
  <c r="V65" i="3"/>
  <c r="U65" i="3"/>
  <c r="Q65" i="3"/>
  <c r="P65" i="3"/>
  <c r="M65" i="3"/>
  <c r="L65" i="3"/>
  <c r="K65" i="3"/>
  <c r="J65" i="3"/>
  <c r="I65" i="3"/>
  <c r="G65" i="3"/>
  <c r="AE64" i="3"/>
  <c r="AA64" i="3"/>
  <c r="Z64" i="3"/>
  <c r="X64" i="3"/>
  <c r="W64" i="3"/>
  <c r="V64" i="3"/>
  <c r="U64" i="3"/>
  <c r="Q64" i="3"/>
  <c r="P64" i="3"/>
  <c r="M64" i="3"/>
  <c r="L64" i="3"/>
  <c r="K64" i="3"/>
  <c r="J64" i="3"/>
  <c r="I64" i="3"/>
  <c r="G64" i="3"/>
  <c r="AE63" i="3"/>
  <c r="AA63" i="3"/>
  <c r="Z63" i="3"/>
  <c r="X63" i="3"/>
  <c r="W63" i="3"/>
  <c r="V63" i="3"/>
  <c r="U63" i="3"/>
  <c r="Q63" i="3"/>
  <c r="P63" i="3"/>
  <c r="M63" i="3"/>
  <c r="L63" i="3"/>
  <c r="K63" i="3"/>
  <c r="J63" i="3"/>
  <c r="I63" i="3"/>
  <c r="G63" i="3"/>
  <c r="AE62" i="3"/>
  <c r="AA62" i="3"/>
  <c r="Z62" i="3"/>
  <c r="X62" i="3"/>
  <c r="W62" i="3"/>
  <c r="V62" i="3"/>
  <c r="U62" i="3"/>
  <c r="Q62" i="3"/>
  <c r="P62" i="3"/>
  <c r="M62" i="3"/>
  <c r="L62" i="3"/>
  <c r="K62" i="3"/>
  <c r="J62" i="3"/>
  <c r="I62" i="3"/>
  <c r="G62" i="3"/>
  <c r="AE61" i="3"/>
  <c r="AA61" i="3"/>
  <c r="Z61" i="3"/>
  <c r="X61" i="3"/>
  <c r="W61" i="3"/>
  <c r="V61" i="3"/>
  <c r="U61" i="3"/>
  <c r="Q61" i="3"/>
  <c r="P61" i="3"/>
  <c r="M61" i="3"/>
  <c r="L61" i="3"/>
  <c r="K61" i="3"/>
  <c r="J61" i="3"/>
  <c r="I61" i="3"/>
  <c r="G61" i="3"/>
  <c r="AE60" i="3"/>
  <c r="AA60" i="3"/>
  <c r="Z60" i="3"/>
  <c r="X60" i="3"/>
  <c r="W60" i="3"/>
  <c r="V60" i="3"/>
  <c r="U60" i="3"/>
  <c r="Q60" i="3"/>
  <c r="P60" i="3"/>
  <c r="M60" i="3"/>
  <c r="L60" i="3"/>
  <c r="K60" i="3"/>
  <c r="J60" i="3"/>
  <c r="I60" i="3"/>
  <c r="G60" i="3"/>
  <c r="AE59" i="3"/>
  <c r="AA59" i="3"/>
  <c r="Z59" i="3"/>
  <c r="X59" i="3"/>
  <c r="W59" i="3"/>
  <c r="V59" i="3"/>
  <c r="U59" i="3"/>
  <c r="Q59" i="3"/>
  <c r="P59" i="3"/>
  <c r="M59" i="3"/>
  <c r="L59" i="3"/>
  <c r="K59" i="3"/>
  <c r="J59" i="3"/>
  <c r="I59" i="3"/>
  <c r="G59" i="3"/>
  <c r="AE58" i="3"/>
  <c r="AA58" i="3"/>
  <c r="Z58" i="3"/>
  <c r="X58" i="3"/>
  <c r="W58" i="3"/>
  <c r="V58" i="3"/>
  <c r="U58" i="3"/>
  <c r="Q58" i="3"/>
  <c r="P58" i="3"/>
  <c r="M58" i="3"/>
  <c r="L58" i="3"/>
  <c r="K58" i="3"/>
  <c r="J58" i="3"/>
  <c r="I58" i="3"/>
  <c r="G58" i="3"/>
  <c r="AE57" i="3"/>
  <c r="AA57" i="3"/>
  <c r="Z57" i="3"/>
  <c r="X57" i="3"/>
  <c r="W57" i="3"/>
  <c r="V57" i="3"/>
  <c r="U57" i="3"/>
  <c r="Q57" i="3"/>
  <c r="P57" i="3"/>
  <c r="M57" i="3"/>
  <c r="L57" i="3"/>
  <c r="K57" i="3"/>
  <c r="J57" i="3"/>
  <c r="I57" i="3"/>
  <c r="G57" i="3"/>
  <c r="AE56" i="3"/>
  <c r="AA56" i="3"/>
  <c r="Z56" i="3"/>
  <c r="X56" i="3"/>
  <c r="W56" i="3"/>
  <c r="V56" i="3"/>
  <c r="U56" i="3"/>
  <c r="Q56" i="3"/>
  <c r="P56" i="3"/>
  <c r="M56" i="3"/>
  <c r="L56" i="3"/>
  <c r="K56" i="3"/>
  <c r="J56" i="3"/>
  <c r="I56" i="3"/>
  <c r="G56" i="3"/>
  <c r="AE55" i="3"/>
  <c r="AA55" i="3"/>
  <c r="Z55" i="3"/>
  <c r="X55" i="3"/>
  <c r="W55" i="3"/>
  <c r="V55" i="3"/>
  <c r="U55" i="3"/>
  <c r="Q55" i="3"/>
  <c r="P55" i="3"/>
  <c r="M55" i="3"/>
  <c r="L55" i="3"/>
  <c r="K55" i="3"/>
  <c r="J55" i="3"/>
  <c r="I55" i="3"/>
  <c r="G55" i="3"/>
  <c r="AE54" i="3"/>
  <c r="AA54" i="3"/>
  <c r="Z54" i="3"/>
  <c r="X54" i="3"/>
  <c r="W54" i="3"/>
  <c r="V54" i="3"/>
  <c r="U54" i="3"/>
  <c r="Q54" i="3"/>
  <c r="P54" i="3"/>
  <c r="M54" i="3"/>
  <c r="L54" i="3"/>
  <c r="K54" i="3"/>
  <c r="J54" i="3"/>
  <c r="I54" i="3"/>
  <c r="G54" i="3"/>
  <c r="AE53" i="3"/>
  <c r="AA53" i="3"/>
  <c r="Z53" i="3"/>
  <c r="X53" i="3"/>
  <c r="W53" i="3"/>
  <c r="V53" i="3"/>
  <c r="U53" i="3"/>
  <c r="Q53" i="3"/>
  <c r="P53" i="3"/>
  <c r="M53" i="3"/>
  <c r="L53" i="3"/>
  <c r="K53" i="3"/>
  <c r="J53" i="3"/>
  <c r="I53" i="3"/>
  <c r="G53" i="3"/>
  <c r="AE52" i="3"/>
  <c r="AA52" i="3"/>
  <c r="Z52" i="3"/>
  <c r="X52" i="3"/>
  <c r="W52" i="3"/>
  <c r="V52" i="3"/>
  <c r="U52" i="3"/>
  <c r="Q52" i="3"/>
  <c r="P52" i="3"/>
  <c r="M52" i="3"/>
  <c r="L52" i="3"/>
  <c r="K52" i="3"/>
  <c r="J52" i="3"/>
  <c r="I52" i="3"/>
  <c r="G52" i="3"/>
  <c r="AE51" i="3"/>
  <c r="AA51" i="3"/>
  <c r="Z51" i="3"/>
  <c r="X51" i="3"/>
  <c r="W51" i="3"/>
  <c r="V51" i="3"/>
  <c r="U51" i="3"/>
  <c r="Q51" i="3"/>
  <c r="P51" i="3"/>
  <c r="M51" i="3"/>
  <c r="L51" i="3"/>
  <c r="K51" i="3"/>
  <c r="J51" i="3"/>
  <c r="I51" i="3"/>
  <c r="G51" i="3"/>
  <c r="AE50" i="3"/>
  <c r="AA50" i="3"/>
  <c r="Z50" i="3"/>
  <c r="X50" i="3"/>
  <c r="W50" i="3"/>
  <c r="V50" i="3"/>
  <c r="U50" i="3"/>
  <c r="Q50" i="3"/>
  <c r="P50" i="3"/>
  <c r="M50" i="3"/>
  <c r="L50" i="3"/>
  <c r="K50" i="3"/>
  <c r="J50" i="3"/>
  <c r="I50" i="3"/>
  <c r="G50" i="3"/>
  <c r="AE49" i="3"/>
  <c r="AA49" i="3"/>
  <c r="Z49" i="3"/>
  <c r="X49" i="3"/>
  <c r="W49" i="3"/>
  <c r="V49" i="3"/>
  <c r="U49" i="3"/>
  <c r="Q49" i="3"/>
  <c r="P49" i="3"/>
  <c r="M49" i="3"/>
  <c r="L49" i="3"/>
  <c r="K49" i="3"/>
  <c r="J49" i="3"/>
  <c r="I49" i="3"/>
  <c r="G49" i="3"/>
  <c r="AE48" i="3"/>
  <c r="AA48" i="3"/>
  <c r="Z48" i="3"/>
  <c r="X48" i="3"/>
  <c r="W48" i="3"/>
  <c r="V48" i="3"/>
  <c r="U48" i="3"/>
  <c r="Q48" i="3"/>
  <c r="P48" i="3"/>
  <c r="M48" i="3"/>
  <c r="L48" i="3"/>
  <c r="K48" i="3"/>
  <c r="J48" i="3"/>
  <c r="I48" i="3"/>
  <c r="G48" i="3"/>
  <c r="AE47" i="3"/>
  <c r="AA47" i="3"/>
  <c r="Z47" i="3"/>
  <c r="X47" i="3"/>
  <c r="W47" i="3"/>
  <c r="V47" i="3"/>
  <c r="U47" i="3"/>
  <c r="Q47" i="3"/>
  <c r="P47" i="3"/>
  <c r="M47" i="3"/>
  <c r="L47" i="3"/>
  <c r="K47" i="3"/>
  <c r="J47" i="3"/>
  <c r="I47" i="3"/>
  <c r="G47" i="3"/>
  <c r="AE46" i="3"/>
  <c r="AA46" i="3"/>
  <c r="Z46" i="3"/>
  <c r="X46" i="3"/>
  <c r="W46" i="3"/>
  <c r="V46" i="3"/>
  <c r="U46" i="3"/>
  <c r="Q46" i="3"/>
  <c r="P46" i="3"/>
  <c r="M46" i="3"/>
  <c r="L46" i="3"/>
  <c r="K46" i="3"/>
  <c r="J46" i="3"/>
  <c r="I46" i="3"/>
  <c r="G46" i="3"/>
  <c r="AE45" i="3"/>
  <c r="AA45" i="3"/>
  <c r="Z45" i="3"/>
  <c r="X45" i="3"/>
  <c r="W45" i="3"/>
  <c r="V45" i="3"/>
  <c r="U45" i="3"/>
  <c r="Q45" i="3"/>
  <c r="P45" i="3"/>
  <c r="M45" i="3"/>
  <c r="L45" i="3"/>
  <c r="K45" i="3"/>
  <c r="J45" i="3"/>
  <c r="I45" i="3"/>
  <c r="G45" i="3"/>
  <c r="AE44" i="3"/>
  <c r="AA44" i="3"/>
  <c r="Z44" i="3"/>
  <c r="X44" i="3"/>
  <c r="W44" i="3"/>
  <c r="V44" i="3"/>
  <c r="U44" i="3"/>
  <c r="Q44" i="3"/>
  <c r="P44" i="3"/>
  <c r="M44" i="3"/>
  <c r="L44" i="3"/>
  <c r="K44" i="3"/>
  <c r="J44" i="3"/>
  <c r="I44" i="3"/>
  <c r="G44" i="3"/>
  <c r="AE43" i="3"/>
  <c r="AA43" i="3"/>
  <c r="Z43" i="3"/>
  <c r="X43" i="3"/>
  <c r="W43" i="3"/>
  <c r="V43" i="3"/>
  <c r="U43" i="3"/>
  <c r="Q43" i="3"/>
  <c r="P43" i="3"/>
  <c r="M43" i="3"/>
  <c r="L43" i="3"/>
  <c r="K43" i="3"/>
  <c r="J43" i="3"/>
  <c r="I43" i="3"/>
  <c r="G43" i="3"/>
  <c r="AE42" i="3"/>
  <c r="AA42" i="3"/>
  <c r="Z42" i="3"/>
  <c r="X42" i="3"/>
  <c r="W42" i="3"/>
  <c r="V42" i="3"/>
  <c r="U42" i="3"/>
  <c r="Q42" i="3"/>
  <c r="P42" i="3"/>
  <c r="M42" i="3"/>
  <c r="L42" i="3"/>
  <c r="K42" i="3"/>
  <c r="J42" i="3"/>
  <c r="I42" i="3"/>
  <c r="G42" i="3"/>
  <c r="AE41" i="3"/>
  <c r="AA41" i="3"/>
  <c r="Z41" i="3"/>
  <c r="X41" i="3"/>
  <c r="W41" i="3"/>
  <c r="V41" i="3"/>
  <c r="U41" i="3"/>
  <c r="Q41" i="3"/>
  <c r="P41" i="3"/>
  <c r="M41" i="3"/>
  <c r="L41" i="3"/>
  <c r="K41" i="3"/>
  <c r="J41" i="3"/>
  <c r="I41" i="3"/>
  <c r="G41" i="3"/>
  <c r="AE40" i="3"/>
  <c r="AA40" i="3"/>
  <c r="Z40" i="3"/>
  <c r="X40" i="3"/>
  <c r="W40" i="3"/>
  <c r="V40" i="3"/>
  <c r="U40" i="3"/>
  <c r="Q40" i="3"/>
  <c r="P40" i="3"/>
  <c r="M40" i="3"/>
  <c r="L40" i="3"/>
  <c r="K40" i="3"/>
  <c r="J40" i="3"/>
  <c r="I40" i="3"/>
  <c r="G40" i="3"/>
  <c r="AE39" i="3"/>
  <c r="AA39" i="3"/>
  <c r="Z39" i="3"/>
  <c r="X39" i="3"/>
  <c r="W39" i="3"/>
  <c r="V39" i="3"/>
  <c r="U39" i="3"/>
  <c r="Q39" i="3"/>
  <c r="P39" i="3"/>
  <c r="M39" i="3"/>
  <c r="L39" i="3"/>
  <c r="K39" i="3"/>
  <c r="J39" i="3"/>
  <c r="I39" i="3"/>
  <c r="G39" i="3"/>
  <c r="AE38" i="3"/>
  <c r="AA38" i="3"/>
  <c r="Z38" i="3"/>
  <c r="X38" i="3"/>
  <c r="W38" i="3"/>
  <c r="V38" i="3"/>
  <c r="U38" i="3"/>
  <c r="Q38" i="3"/>
  <c r="P38" i="3"/>
  <c r="M38" i="3"/>
  <c r="L38" i="3"/>
  <c r="K38" i="3"/>
  <c r="J38" i="3"/>
  <c r="I38" i="3"/>
  <c r="G38" i="3"/>
  <c r="AE37" i="3"/>
  <c r="AA37" i="3"/>
  <c r="Z37" i="3"/>
  <c r="X37" i="3"/>
  <c r="W37" i="3"/>
  <c r="V37" i="3"/>
  <c r="U37" i="3"/>
  <c r="Q37" i="3"/>
  <c r="P37" i="3"/>
  <c r="M37" i="3"/>
  <c r="L37" i="3"/>
  <c r="K37" i="3"/>
  <c r="J37" i="3"/>
  <c r="I37" i="3"/>
  <c r="G37" i="3"/>
  <c r="AE36" i="3"/>
  <c r="AA36" i="3"/>
  <c r="Z36" i="3"/>
  <c r="X36" i="3"/>
  <c r="W36" i="3"/>
  <c r="V36" i="3"/>
  <c r="U36" i="3"/>
  <c r="Q36" i="3"/>
  <c r="P36" i="3"/>
  <c r="M36" i="3"/>
  <c r="L36" i="3"/>
  <c r="K36" i="3"/>
  <c r="J36" i="3"/>
  <c r="I36" i="3"/>
  <c r="G36" i="3"/>
  <c r="AE35" i="3"/>
  <c r="AA35" i="3"/>
  <c r="Z35" i="3"/>
  <c r="X35" i="3"/>
  <c r="W35" i="3"/>
  <c r="V35" i="3"/>
  <c r="U35" i="3"/>
  <c r="Q35" i="3"/>
  <c r="P35" i="3"/>
  <c r="M35" i="3"/>
  <c r="L35" i="3"/>
  <c r="K35" i="3"/>
  <c r="J35" i="3"/>
  <c r="I35" i="3"/>
  <c r="G35" i="3"/>
  <c r="AE34" i="3"/>
  <c r="AA34" i="3"/>
  <c r="Z34" i="3"/>
  <c r="X34" i="3"/>
  <c r="W34" i="3"/>
  <c r="V34" i="3"/>
  <c r="U34" i="3"/>
  <c r="Q34" i="3"/>
  <c r="P34" i="3"/>
  <c r="M34" i="3"/>
  <c r="L34" i="3"/>
  <c r="K34" i="3"/>
  <c r="J34" i="3"/>
  <c r="I34" i="3"/>
  <c r="G34" i="3"/>
  <c r="AE33" i="3"/>
  <c r="AA33" i="3"/>
  <c r="Z33" i="3"/>
  <c r="X33" i="3"/>
  <c r="W33" i="3"/>
  <c r="V33" i="3"/>
  <c r="U33" i="3"/>
  <c r="Q33" i="3"/>
  <c r="P33" i="3"/>
  <c r="M33" i="3"/>
  <c r="L33" i="3"/>
  <c r="K33" i="3"/>
  <c r="J33" i="3"/>
  <c r="I33" i="3"/>
  <c r="G33" i="3"/>
  <c r="AE32" i="3"/>
  <c r="AA32" i="3"/>
  <c r="Z32" i="3"/>
  <c r="X32" i="3"/>
  <c r="W32" i="3"/>
  <c r="V32" i="3"/>
  <c r="U32" i="3"/>
  <c r="Q32" i="3"/>
  <c r="P32" i="3"/>
  <c r="M32" i="3"/>
  <c r="L32" i="3"/>
  <c r="K32" i="3"/>
  <c r="J32" i="3"/>
  <c r="I32" i="3"/>
  <c r="G32" i="3"/>
  <c r="AE31" i="3"/>
  <c r="AA31" i="3"/>
  <c r="Z31" i="3"/>
  <c r="X31" i="3"/>
  <c r="W31" i="3"/>
  <c r="V31" i="3"/>
  <c r="U31" i="3"/>
  <c r="Q31" i="3"/>
  <c r="P31" i="3"/>
  <c r="M31" i="3"/>
  <c r="L31" i="3"/>
  <c r="K31" i="3"/>
  <c r="J31" i="3"/>
  <c r="I31" i="3"/>
  <c r="G31" i="3"/>
  <c r="AE30" i="3"/>
  <c r="AA30" i="3"/>
  <c r="Z30" i="3"/>
  <c r="X30" i="3"/>
  <c r="W30" i="3"/>
  <c r="V30" i="3"/>
  <c r="U30" i="3"/>
  <c r="Q30" i="3"/>
  <c r="P30" i="3"/>
  <c r="M30" i="3"/>
  <c r="L30" i="3"/>
  <c r="K30" i="3"/>
  <c r="J30" i="3"/>
  <c r="I30" i="3"/>
  <c r="G30" i="3"/>
  <c r="AE29" i="3"/>
  <c r="AA29" i="3"/>
  <c r="Z29" i="3"/>
  <c r="X29" i="3"/>
  <c r="W29" i="3"/>
  <c r="V29" i="3"/>
  <c r="U29" i="3"/>
  <c r="Q29" i="3"/>
  <c r="P29" i="3"/>
  <c r="M29" i="3"/>
  <c r="L29" i="3"/>
  <c r="K29" i="3"/>
  <c r="J29" i="3"/>
  <c r="I29" i="3"/>
  <c r="G29" i="3"/>
  <c r="AE28" i="3"/>
  <c r="AA28" i="3"/>
  <c r="Z28" i="3"/>
  <c r="X28" i="3"/>
  <c r="W28" i="3"/>
  <c r="V28" i="3"/>
  <c r="U28" i="3"/>
  <c r="Q28" i="3"/>
  <c r="P28" i="3"/>
  <c r="M28" i="3"/>
  <c r="L28" i="3"/>
  <c r="K28" i="3"/>
  <c r="J28" i="3"/>
  <c r="I28" i="3"/>
  <c r="G28" i="3"/>
  <c r="AE27" i="3"/>
  <c r="AA27" i="3"/>
  <c r="Z27" i="3"/>
  <c r="X27" i="3"/>
  <c r="W27" i="3"/>
  <c r="V27" i="3"/>
  <c r="U27" i="3"/>
  <c r="Q27" i="3"/>
  <c r="P27" i="3"/>
  <c r="M27" i="3"/>
  <c r="L27" i="3"/>
  <c r="K27" i="3"/>
  <c r="J27" i="3"/>
  <c r="I27" i="3"/>
  <c r="G27" i="3"/>
  <c r="AE26" i="3"/>
  <c r="AA26" i="3"/>
  <c r="Z26" i="3"/>
  <c r="X26" i="3"/>
  <c r="W26" i="3"/>
  <c r="V26" i="3"/>
  <c r="U26" i="3"/>
  <c r="Q26" i="3"/>
  <c r="P26" i="3"/>
  <c r="M26" i="3"/>
  <c r="L26" i="3"/>
  <c r="K26" i="3"/>
  <c r="J26" i="3"/>
  <c r="I26" i="3"/>
  <c r="G26" i="3"/>
  <c r="AE25" i="3"/>
  <c r="AA25" i="3"/>
  <c r="Z25" i="3"/>
  <c r="X25" i="3"/>
  <c r="W25" i="3"/>
  <c r="V25" i="3"/>
  <c r="U25" i="3"/>
  <c r="Q25" i="3"/>
  <c r="P25" i="3"/>
  <c r="M25" i="3"/>
  <c r="L25" i="3"/>
  <c r="K25" i="3"/>
  <c r="J25" i="3"/>
  <c r="I25" i="3"/>
  <c r="G25" i="3"/>
  <c r="AE24" i="3"/>
  <c r="AA24" i="3"/>
  <c r="Z24" i="3"/>
  <c r="X24" i="3"/>
  <c r="W24" i="3"/>
  <c r="V24" i="3"/>
  <c r="U24" i="3"/>
  <c r="Q24" i="3"/>
  <c r="P24" i="3"/>
  <c r="M24" i="3"/>
  <c r="L24" i="3"/>
  <c r="K24" i="3"/>
  <c r="J24" i="3"/>
  <c r="I24" i="3"/>
  <c r="G24" i="3"/>
  <c r="AE23" i="3"/>
  <c r="AA23" i="3"/>
  <c r="Z23" i="3"/>
  <c r="X23" i="3"/>
  <c r="W23" i="3"/>
  <c r="V23" i="3"/>
  <c r="U23" i="3"/>
  <c r="Q23" i="3"/>
  <c r="P23" i="3"/>
  <c r="M23" i="3"/>
  <c r="L23" i="3"/>
  <c r="K23" i="3"/>
  <c r="J23" i="3"/>
  <c r="I23" i="3"/>
  <c r="G23" i="3"/>
  <c r="AE22" i="3"/>
  <c r="AA22" i="3"/>
  <c r="Z22" i="3"/>
  <c r="X22" i="3"/>
  <c r="W22" i="3"/>
  <c r="V22" i="3"/>
  <c r="U22" i="3"/>
  <c r="Q22" i="3"/>
  <c r="P22" i="3"/>
  <c r="M22" i="3"/>
  <c r="L22" i="3"/>
  <c r="K22" i="3"/>
  <c r="J22" i="3"/>
  <c r="I22" i="3"/>
  <c r="G22" i="3"/>
  <c r="AE21" i="3"/>
  <c r="AA21" i="3"/>
  <c r="Z21" i="3"/>
  <c r="X21" i="3"/>
  <c r="W21" i="3"/>
  <c r="V21" i="3"/>
  <c r="U21" i="3"/>
  <c r="Q21" i="3"/>
  <c r="P21" i="3"/>
  <c r="M21" i="3"/>
  <c r="L21" i="3"/>
  <c r="K21" i="3"/>
  <c r="J21" i="3"/>
  <c r="I21" i="3"/>
  <c r="G21" i="3"/>
  <c r="AE20" i="3"/>
  <c r="AA20" i="3"/>
  <c r="Z20" i="3"/>
  <c r="X20" i="3"/>
  <c r="W20" i="3"/>
  <c r="V20" i="3"/>
  <c r="U20" i="3"/>
  <c r="Q20" i="3"/>
  <c r="P20" i="3"/>
  <c r="M20" i="3"/>
  <c r="L20" i="3"/>
  <c r="K20" i="3"/>
  <c r="J20" i="3"/>
  <c r="I20" i="3"/>
  <c r="G20" i="3"/>
  <c r="AE19" i="3"/>
  <c r="AA19" i="3"/>
  <c r="Z19" i="3"/>
  <c r="X19" i="3"/>
  <c r="W19" i="3"/>
  <c r="V19" i="3"/>
  <c r="U19" i="3"/>
  <c r="Q19" i="3"/>
  <c r="P19" i="3"/>
  <c r="M19" i="3"/>
  <c r="L19" i="3"/>
  <c r="K19" i="3"/>
  <c r="J19" i="3"/>
  <c r="I19" i="3"/>
  <c r="G19" i="3"/>
  <c r="AE18" i="3"/>
  <c r="AA18" i="3"/>
  <c r="Z18" i="3"/>
  <c r="X18" i="3"/>
  <c r="W18" i="3"/>
  <c r="V18" i="3"/>
  <c r="U18" i="3"/>
  <c r="Q18" i="3"/>
  <c r="P18" i="3"/>
  <c r="M18" i="3"/>
  <c r="L18" i="3"/>
  <c r="K18" i="3"/>
  <c r="J18" i="3"/>
  <c r="I18" i="3"/>
  <c r="G18" i="3"/>
  <c r="AE17" i="3"/>
  <c r="AA17" i="3"/>
  <c r="Z17" i="3"/>
  <c r="X17" i="3"/>
  <c r="W17" i="3"/>
  <c r="V17" i="3"/>
  <c r="U17" i="3"/>
  <c r="Q17" i="3"/>
  <c r="P17" i="3"/>
  <c r="M17" i="3"/>
  <c r="L17" i="3"/>
  <c r="K17" i="3"/>
  <c r="J17" i="3"/>
  <c r="I17" i="3"/>
  <c r="G17" i="3"/>
  <c r="AE16" i="3"/>
  <c r="AA16" i="3"/>
  <c r="Z16" i="3"/>
  <c r="X16" i="3"/>
  <c r="W16" i="3"/>
  <c r="V16" i="3"/>
  <c r="U16" i="3"/>
  <c r="Q16" i="3"/>
  <c r="P16" i="3"/>
  <c r="M16" i="3"/>
  <c r="L16" i="3"/>
  <c r="K16" i="3"/>
  <c r="J16" i="3"/>
  <c r="I16" i="3"/>
  <c r="G16" i="3"/>
  <c r="AE15" i="3"/>
  <c r="AA15" i="3"/>
  <c r="Z15" i="3"/>
  <c r="X15" i="3"/>
  <c r="W15" i="3"/>
  <c r="V15" i="3"/>
  <c r="U15" i="3"/>
  <c r="Q15" i="3"/>
  <c r="P15" i="3"/>
  <c r="M15" i="3"/>
  <c r="L15" i="3"/>
  <c r="K15" i="3"/>
  <c r="J15" i="3"/>
  <c r="I15" i="3"/>
  <c r="G15" i="3"/>
  <c r="AE14" i="3"/>
  <c r="AA14" i="3"/>
  <c r="Z14" i="3"/>
  <c r="X14" i="3"/>
  <c r="W14" i="3"/>
  <c r="V14" i="3"/>
  <c r="U14" i="3"/>
  <c r="Q14" i="3"/>
  <c r="P14" i="3"/>
  <c r="M14" i="3"/>
  <c r="L14" i="3"/>
  <c r="K14" i="3"/>
  <c r="J14" i="3"/>
  <c r="I14" i="3"/>
  <c r="G14" i="3"/>
  <c r="AE13" i="3"/>
  <c r="AA13" i="3"/>
  <c r="Z13" i="3"/>
  <c r="X13" i="3"/>
  <c r="W13" i="3"/>
  <c r="V13" i="3"/>
  <c r="U13" i="3"/>
  <c r="Q13" i="3"/>
  <c r="P13" i="3"/>
  <c r="M13" i="3"/>
  <c r="L13" i="3"/>
  <c r="K13" i="3"/>
  <c r="J13" i="3"/>
  <c r="I13" i="3"/>
  <c r="G13" i="3"/>
  <c r="AE12" i="3"/>
  <c r="AA12" i="3"/>
  <c r="Z12" i="3"/>
  <c r="X12" i="3"/>
  <c r="W12" i="3"/>
  <c r="V12" i="3"/>
  <c r="U12" i="3"/>
  <c r="Q12" i="3"/>
  <c r="P12" i="3"/>
  <c r="M12" i="3"/>
  <c r="L12" i="3"/>
  <c r="K12" i="3"/>
  <c r="J12" i="3"/>
  <c r="I12" i="3"/>
  <c r="G12" i="3"/>
  <c r="AE11" i="3"/>
  <c r="AA11" i="3"/>
  <c r="Z11" i="3"/>
  <c r="X11" i="3"/>
  <c r="W11" i="3"/>
  <c r="V11" i="3"/>
  <c r="U11" i="3"/>
  <c r="Q11" i="3"/>
  <c r="P11" i="3"/>
  <c r="M11" i="3"/>
  <c r="L11" i="3"/>
  <c r="K11" i="3"/>
  <c r="J11" i="3"/>
  <c r="I11" i="3"/>
  <c r="G11" i="3"/>
  <c r="AE10" i="3"/>
  <c r="AA10" i="3"/>
  <c r="Z10" i="3"/>
  <c r="X10" i="3"/>
  <c r="W10" i="3"/>
  <c r="V10" i="3"/>
  <c r="U10" i="3"/>
  <c r="Q10" i="3"/>
  <c r="P10" i="3"/>
  <c r="M10" i="3"/>
  <c r="L10" i="3"/>
  <c r="K10" i="3"/>
  <c r="J10" i="3"/>
  <c r="I10" i="3"/>
  <c r="G10" i="3"/>
  <c r="AE9" i="3"/>
  <c r="AA9" i="3"/>
  <c r="Z9" i="3"/>
  <c r="X9" i="3"/>
  <c r="W9" i="3"/>
  <c r="V9" i="3"/>
  <c r="U9" i="3"/>
  <c r="Q9" i="3"/>
  <c r="P9" i="3"/>
  <c r="M9" i="3"/>
  <c r="L9" i="3"/>
  <c r="K9" i="3"/>
  <c r="J9" i="3"/>
  <c r="I9" i="3"/>
  <c r="G9" i="3"/>
  <c r="AE8" i="3"/>
  <c r="AA8" i="3"/>
  <c r="Z8" i="3"/>
  <c r="X8" i="3"/>
  <c r="W8" i="3"/>
  <c r="V8" i="3"/>
  <c r="U8" i="3"/>
  <c r="Q8" i="3"/>
  <c r="P8" i="3"/>
  <c r="M8" i="3"/>
  <c r="L8" i="3"/>
  <c r="K8" i="3"/>
  <c r="J8" i="3"/>
  <c r="I8" i="3"/>
  <c r="G8" i="3"/>
  <c r="AE7" i="3"/>
  <c r="AA7" i="3"/>
  <c r="Z7" i="3"/>
  <c r="X7" i="3"/>
  <c r="W7" i="3"/>
  <c r="V7" i="3"/>
  <c r="U7" i="3"/>
  <c r="Q7" i="3"/>
  <c r="P7" i="3"/>
  <c r="M7" i="3"/>
  <c r="L7" i="3"/>
  <c r="K7" i="3"/>
  <c r="J7" i="3"/>
  <c r="I7" i="3"/>
  <c r="G7" i="3"/>
  <c r="AE6" i="3"/>
  <c r="AA6" i="3"/>
  <c r="Z6" i="3"/>
  <c r="X6" i="3"/>
  <c r="W6" i="3"/>
  <c r="V6" i="3"/>
  <c r="U6" i="3"/>
  <c r="Q6" i="3"/>
  <c r="P6" i="3"/>
  <c r="M6" i="3"/>
  <c r="L6" i="3"/>
  <c r="K6" i="3"/>
  <c r="J6" i="3"/>
  <c r="I6" i="3"/>
  <c r="G6" i="3"/>
  <c r="AE5" i="3"/>
  <c r="AA5" i="3"/>
  <c r="Z5" i="3"/>
  <c r="X5" i="3"/>
  <c r="W5" i="3"/>
  <c r="V5" i="3"/>
  <c r="U5" i="3"/>
  <c r="Q5" i="3"/>
  <c r="P5" i="3"/>
  <c r="M5" i="3"/>
  <c r="L5" i="3"/>
  <c r="K5" i="3"/>
  <c r="J5" i="3"/>
  <c r="I5" i="3"/>
  <c r="G5" i="3"/>
  <c r="AE4" i="3"/>
  <c r="AA4" i="3"/>
  <c r="Z4" i="3"/>
  <c r="X4" i="3"/>
  <c r="W4" i="3"/>
  <c r="V4" i="3"/>
  <c r="U4" i="3"/>
  <c r="Q4" i="3"/>
  <c r="P4" i="3"/>
  <c r="M4" i="3"/>
  <c r="L4" i="3"/>
  <c r="K4" i="3"/>
  <c r="J4" i="3"/>
  <c r="I4" i="3"/>
  <c r="G4" i="3"/>
  <c r="AE3" i="3"/>
  <c r="AA3" i="3"/>
  <c r="Z3" i="3"/>
  <c r="X3" i="3"/>
  <c r="W3" i="3"/>
  <c r="V3" i="3"/>
  <c r="U3" i="3"/>
  <c r="Q3" i="3"/>
  <c r="P3" i="3"/>
  <c r="M3" i="3"/>
  <c r="L3" i="3"/>
  <c r="K3" i="3"/>
  <c r="J3" i="3"/>
  <c r="I3" i="3"/>
  <c r="G3" i="3"/>
  <c r="AE2" i="3"/>
  <c r="AA2" i="3"/>
  <c r="Z2" i="3"/>
  <c r="X2" i="3"/>
  <c r="W2" i="3"/>
  <c r="V2" i="3"/>
  <c r="U2" i="3"/>
  <c r="Q2" i="3"/>
  <c r="P2" i="3"/>
  <c r="M2" i="3"/>
  <c r="L2" i="3"/>
  <c r="K2" i="3"/>
  <c r="J2" i="3"/>
  <c r="I2" i="3"/>
  <c r="G2" i="3"/>
  <c r="AE44" i="2"/>
  <c r="AA44" i="2"/>
  <c r="Z44" i="2"/>
  <c r="X44" i="2"/>
  <c r="W44" i="2"/>
  <c r="V44" i="2"/>
  <c r="U44" i="2"/>
  <c r="Q44" i="2"/>
  <c r="P44" i="2"/>
  <c r="N44" i="2"/>
  <c r="M44" i="2"/>
  <c r="L44" i="2"/>
  <c r="I44" i="2"/>
  <c r="H44" i="2"/>
  <c r="G44" i="2"/>
  <c r="AE43" i="2"/>
  <c r="AA43" i="2"/>
  <c r="Z43" i="2"/>
  <c r="X43" i="2"/>
  <c r="W43" i="2"/>
  <c r="V43" i="2"/>
  <c r="U43" i="2"/>
  <c r="Q43" i="2"/>
  <c r="P43" i="2"/>
  <c r="N43" i="2"/>
  <c r="M43" i="2"/>
  <c r="L43" i="2"/>
  <c r="I43" i="2"/>
  <c r="H43" i="2"/>
  <c r="G43" i="2"/>
  <c r="AE42" i="2"/>
  <c r="AA42" i="2"/>
  <c r="Z42" i="2"/>
  <c r="X42" i="2"/>
  <c r="W42" i="2"/>
  <c r="V42" i="2"/>
  <c r="U42" i="2"/>
  <c r="Q42" i="2"/>
  <c r="P42" i="2"/>
  <c r="N42" i="2"/>
  <c r="M42" i="2"/>
  <c r="L42" i="2"/>
  <c r="I42" i="2"/>
  <c r="H42" i="2"/>
  <c r="G42" i="2"/>
  <c r="AE41" i="2"/>
  <c r="AA41" i="2"/>
  <c r="Z41" i="2"/>
  <c r="X41" i="2"/>
  <c r="W41" i="2"/>
  <c r="V41" i="2"/>
  <c r="U41" i="2"/>
  <c r="Q41" i="2"/>
  <c r="P41" i="2"/>
  <c r="N41" i="2"/>
  <c r="M41" i="2"/>
  <c r="L41" i="2"/>
  <c r="I41" i="2"/>
  <c r="H41" i="2"/>
  <c r="G41" i="2"/>
  <c r="AE40" i="2"/>
  <c r="AA40" i="2"/>
  <c r="Z40" i="2"/>
  <c r="X40" i="2"/>
  <c r="W40" i="2"/>
  <c r="V40" i="2"/>
  <c r="U40" i="2"/>
  <c r="Q40" i="2"/>
  <c r="P40" i="2"/>
  <c r="N40" i="2"/>
  <c r="M40" i="2"/>
  <c r="L40" i="2"/>
  <c r="I40" i="2"/>
  <c r="H40" i="2"/>
  <c r="G40" i="2"/>
  <c r="AE39" i="2"/>
  <c r="AA39" i="2"/>
  <c r="Z39" i="2"/>
  <c r="X39" i="2"/>
  <c r="W39" i="2"/>
  <c r="V39" i="2"/>
  <c r="U39" i="2"/>
  <c r="Q39" i="2"/>
  <c r="P39" i="2"/>
  <c r="N39" i="2"/>
  <c r="M39" i="2"/>
  <c r="L39" i="2"/>
  <c r="I39" i="2"/>
  <c r="H39" i="2"/>
  <c r="G39" i="2"/>
  <c r="AE38" i="2"/>
  <c r="AA38" i="2"/>
  <c r="Z38" i="2"/>
  <c r="X38" i="2"/>
  <c r="W38" i="2"/>
  <c r="V38" i="2"/>
  <c r="U38" i="2"/>
  <c r="Q38" i="2"/>
  <c r="P38" i="2"/>
  <c r="N38" i="2"/>
  <c r="M38" i="2"/>
  <c r="L38" i="2"/>
  <c r="I38" i="2"/>
  <c r="H38" i="2"/>
  <c r="G38" i="2"/>
  <c r="AE37" i="2"/>
  <c r="AA37" i="2"/>
  <c r="Z37" i="2"/>
  <c r="X37" i="2"/>
  <c r="W37" i="2"/>
  <c r="V37" i="2"/>
  <c r="U37" i="2"/>
  <c r="Q37" i="2"/>
  <c r="P37" i="2"/>
  <c r="N37" i="2"/>
  <c r="M37" i="2"/>
  <c r="L37" i="2"/>
  <c r="I37" i="2"/>
  <c r="H37" i="2"/>
  <c r="G37" i="2"/>
  <c r="AE36" i="2"/>
  <c r="AA36" i="2"/>
  <c r="Z36" i="2"/>
  <c r="X36" i="2"/>
  <c r="W36" i="2"/>
  <c r="V36" i="2"/>
  <c r="U36" i="2"/>
  <c r="Q36" i="2"/>
  <c r="P36" i="2"/>
  <c r="N36" i="2"/>
  <c r="M36" i="2"/>
  <c r="L36" i="2"/>
  <c r="I36" i="2"/>
  <c r="H36" i="2"/>
  <c r="G36" i="2"/>
  <c r="AE35" i="2"/>
  <c r="AA35" i="2"/>
  <c r="Z35" i="2"/>
  <c r="X35" i="2"/>
  <c r="W35" i="2"/>
  <c r="V35" i="2"/>
  <c r="U35" i="2"/>
  <c r="Q35" i="2"/>
  <c r="P35" i="2"/>
  <c r="N35" i="2"/>
  <c r="M35" i="2"/>
  <c r="L35" i="2"/>
  <c r="I35" i="2"/>
  <c r="H35" i="2"/>
  <c r="G35" i="2"/>
  <c r="AE34" i="2"/>
  <c r="AA34" i="2"/>
  <c r="Z34" i="2"/>
  <c r="X34" i="2"/>
  <c r="W34" i="2"/>
  <c r="V34" i="2"/>
  <c r="U34" i="2"/>
  <c r="Q34" i="2"/>
  <c r="P34" i="2"/>
  <c r="N34" i="2"/>
  <c r="M34" i="2"/>
  <c r="L34" i="2"/>
  <c r="I34" i="2"/>
  <c r="H34" i="2"/>
  <c r="G34" i="2"/>
  <c r="AE33" i="2"/>
  <c r="AA33" i="2"/>
  <c r="Z33" i="2"/>
  <c r="X33" i="2"/>
  <c r="W33" i="2"/>
  <c r="V33" i="2"/>
  <c r="U33" i="2"/>
  <c r="Q33" i="2"/>
  <c r="P33" i="2"/>
  <c r="N33" i="2"/>
  <c r="M33" i="2"/>
  <c r="L33" i="2"/>
  <c r="I33" i="2"/>
  <c r="H33" i="2"/>
  <c r="G33" i="2"/>
  <c r="AE32" i="2"/>
  <c r="AA32" i="2"/>
  <c r="Z32" i="2"/>
  <c r="X32" i="2"/>
  <c r="W32" i="2"/>
  <c r="V32" i="2"/>
  <c r="U32" i="2"/>
  <c r="Q32" i="2"/>
  <c r="P32" i="2"/>
  <c r="N32" i="2"/>
  <c r="M32" i="2"/>
  <c r="L32" i="2"/>
  <c r="I32" i="2"/>
  <c r="H32" i="2"/>
  <c r="G32" i="2"/>
  <c r="AE31" i="2"/>
  <c r="AA31" i="2"/>
  <c r="Z31" i="2"/>
  <c r="X31" i="2"/>
  <c r="W31" i="2"/>
  <c r="V31" i="2"/>
  <c r="U31" i="2"/>
  <c r="Q31" i="2"/>
  <c r="P31" i="2"/>
  <c r="N31" i="2"/>
  <c r="M31" i="2"/>
  <c r="L31" i="2"/>
  <c r="I31" i="2"/>
  <c r="H31" i="2"/>
  <c r="G31" i="2"/>
  <c r="AE30" i="2"/>
  <c r="AA30" i="2"/>
  <c r="Z30" i="2"/>
  <c r="X30" i="2"/>
  <c r="W30" i="2"/>
  <c r="V30" i="2"/>
  <c r="U30" i="2"/>
  <c r="Q30" i="2"/>
  <c r="P30" i="2"/>
  <c r="N30" i="2"/>
  <c r="M30" i="2"/>
  <c r="L30" i="2"/>
  <c r="I30" i="2"/>
  <c r="H30" i="2"/>
  <c r="G30" i="2"/>
  <c r="AE29" i="2"/>
  <c r="AA29" i="2"/>
  <c r="Z29" i="2"/>
  <c r="X29" i="2"/>
  <c r="W29" i="2"/>
  <c r="V29" i="2"/>
  <c r="U29" i="2"/>
  <c r="Q29" i="2"/>
  <c r="P29" i="2"/>
  <c r="N29" i="2"/>
  <c r="M29" i="2"/>
  <c r="L29" i="2"/>
  <c r="I29" i="2"/>
  <c r="H29" i="2"/>
  <c r="G29" i="2"/>
  <c r="AE28" i="2"/>
  <c r="AA28" i="2"/>
  <c r="Z28" i="2"/>
  <c r="X28" i="2"/>
  <c r="W28" i="2"/>
  <c r="V28" i="2"/>
  <c r="U28" i="2"/>
  <c r="Q28" i="2"/>
  <c r="P28" i="2"/>
  <c r="N28" i="2"/>
  <c r="M28" i="2"/>
  <c r="L28" i="2"/>
  <c r="I28" i="2"/>
  <c r="H28" i="2"/>
  <c r="G28" i="2"/>
  <c r="AE27" i="2"/>
  <c r="AA27" i="2"/>
  <c r="Z27" i="2"/>
  <c r="X27" i="2"/>
  <c r="W27" i="2"/>
  <c r="V27" i="2"/>
  <c r="U27" i="2"/>
  <c r="Q27" i="2"/>
  <c r="P27" i="2"/>
  <c r="N27" i="2"/>
  <c r="M27" i="2"/>
  <c r="L27" i="2"/>
  <c r="I27" i="2"/>
  <c r="H27" i="2"/>
  <c r="G27" i="2"/>
  <c r="AE26" i="2"/>
  <c r="AA26" i="2"/>
  <c r="Z26" i="2"/>
  <c r="X26" i="2"/>
  <c r="W26" i="2"/>
  <c r="V26" i="2"/>
  <c r="U26" i="2"/>
  <c r="Q26" i="2"/>
  <c r="P26" i="2"/>
  <c r="N26" i="2"/>
  <c r="M26" i="2"/>
  <c r="L26" i="2"/>
  <c r="I26" i="2"/>
  <c r="H26" i="2"/>
  <c r="G26" i="2"/>
  <c r="AE25" i="2"/>
  <c r="AA25" i="2"/>
  <c r="Z25" i="2"/>
  <c r="X25" i="2"/>
  <c r="W25" i="2"/>
  <c r="V25" i="2"/>
  <c r="U25" i="2"/>
  <c r="Q25" i="2"/>
  <c r="P25" i="2"/>
  <c r="N25" i="2"/>
  <c r="M25" i="2"/>
  <c r="L25" i="2"/>
  <c r="I25" i="2"/>
  <c r="H25" i="2"/>
  <c r="G25" i="2"/>
  <c r="AE24" i="2"/>
  <c r="AA24" i="2"/>
  <c r="Z24" i="2"/>
  <c r="X24" i="2"/>
  <c r="W24" i="2"/>
  <c r="V24" i="2"/>
  <c r="U24" i="2"/>
  <c r="Q24" i="2"/>
  <c r="P24" i="2"/>
  <c r="N24" i="2"/>
  <c r="M24" i="2"/>
  <c r="L24" i="2"/>
  <c r="I24" i="2"/>
  <c r="H24" i="2"/>
  <c r="G24" i="2"/>
  <c r="AE23" i="2"/>
  <c r="AA23" i="2"/>
  <c r="Z23" i="2"/>
  <c r="X23" i="2"/>
  <c r="W23" i="2"/>
  <c r="V23" i="2"/>
  <c r="U23" i="2"/>
  <c r="Q23" i="2"/>
  <c r="P23" i="2"/>
  <c r="N23" i="2"/>
  <c r="M23" i="2"/>
  <c r="L23" i="2"/>
  <c r="I23" i="2"/>
  <c r="H23" i="2"/>
  <c r="G23" i="2"/>
  <c r="AE22" i="2"/>
  <c r="AA22" i="2"/>
  <c r="Z22" i="2"/>
  <c r="X22" i="2"/>
  <c r="W22" i="2"/>
  <c r="V22" i="2"/>
  <c r="U22" i="2"/>
  <c r="Q22" i="2"/>
  <c r="P22" i="2"/>
  <c r="N22" i="2"/>
  <c r="M22" i="2"/>
  <c r="L22" i="2"/>
  <c r="I22" i="2"/>
  <c r="H22" i="2"/>
  <c r="G22" i="2"/>
  <c r="AE21" i="2"/>
  <c r="AA21" i="2"/>
  <c r="Z21" i="2"/>
  <c r="X21" i="2"/>
  <c r="W21" i="2"/>
  <c r="V21" i="2"/>
  <c r="U21" i="2"/>
  <c r="Q21" i="2"/>
  <c r="P21" i="2"/>
  <c r="N21" i="2"/>
  <c r="M21" i="2"/>
  <c r="L21" i="2"/>
  <c r="I21" i="2"/>
  <c r="H21" i="2"/>
  <c r="G21" i="2"/>
  <c r="AE20" i="2"/>
  <c r="AA20" i="2"/>
  <c r="Z20" i="2"/>
  <c r="X20" i="2"/>
  <c r="W20" i="2"/>
  <c r="V20" i="2"/>
  <c r="U20" i="2"/>
  <c r="Q20" i="2"/>
  <c r="P20" i="2"/>
  <c r="N20" i="2"/>
  <c r="M20" i="2"/>
  <c r="L20" i="2"/>
  <c r="I20" i="2"/>
  <c r="H20" i="2"/>
  <c r="G20" i="2"/>
  <c r="AE19" i="2"/>
  <c r="AA19" i="2"/>
  <c r="Z19" i="2"/>
  <c r="X19" i="2"/>
  <c r="W19" i="2"/>
  <c r="V19" i="2"/>
  <c r="U19" i="2"/>
  <c r="Q19" i="2"/>
  <c r="P19" i="2"/>
  <c r="N19" i="2"/>
  <c r="M19" i="2"/>
  <c r="L19" i="2"/>
  <c r="I19" i="2"/>
  <c r="H19" i="2"/>
  <c r="G19" i="2"/>
  <c r="AE18" i="2"/>
  <c r="AA18" i="2"/>
  <c r="Z18" i="2"/>
  <c r="X18" i="2"/>
  <c r="W18" i="2"/>
  <c r="V18" i="2"/>
  <c r="U18" i="2"/>
  <c r="Q18" i="2"/>
  <c r="P18" i="2"/>
  <c r="N18" i="2"/>
  <c r="M18" i="2"/>
  <c r="L18" i="2"/>
  <c r="I18" i="2"/>
  <c r="H18" i="2"/>
  <c r="G18" i="2"/>
  <c r="AE17" i="2"/>
  <c r="AA17" i="2"/>
  <c r="Z17" i="2"/>
  <c r="X17" i="2"/>
  <c r="W17" i="2"/>
  <c r="V17" i="2"/>
  <c r="U17" i="2"/>
  <c r="Q17" i="2"/>
  <c r="P17" i="2"/>
  <c r="N17" i="2"/>
  <c r="M17" i="2"/>
  <c r="L17" i="2"/>
  <c r="I17" i="2"/>
  <c r="H17" i="2"/>
  <c r="G17" i="2"/>
  <c r="AE16" i="2"/>
  <c r="AA16" i="2"/>
  <c r="Z16" i="2"/>
  <c r="X16" i="2"/>
  <c r="W16" i="2"/>
  <c r="V16" i="2"/>
  <c r="U16" i="2"/>
  <c r="Q16" i="2"/>
  <c r="P16" i="2"/>
  <c r="N16" i="2"/>
  <c r="M16" i="2"/>
  <c r="L16" i="2"/>
  <c r="I16" i="2"/>
  <c r="H16" i="2"/>
  <c r="G16" i="2"/>
  <c r="AE15" i="2"/>
  <c r="AA15" i="2"/>
  <c r="Z15" i="2"/>
  <c r="X15" i="2"/>
  <c r="W15" i="2"/>
  <c r="V15" i="2"/>
  <c r="U15" i="2"/>
  <c r="Q15" i="2"/>
  <c r="P15" i="2"/>
  <c r="N15" i="2"/>
  <c r="M15" i="2"/>
  <c r="L15" i="2"/>
  <c r="I15" i="2"/>
  <c r="H15" i="2"/>
  <c r="G15" i="2"/>
  <c r="AE14" i="2"/>
  <c r="AA14" i="2"/>
  <c r="Z14" i="2"/>
  <c r="X14" i="2"/>
  <c r="W14" i="2"/>
  <c r="V14" i="2"/>
  <c r="U14" i="2"/>
  <c r="Q14" i="2"/>
  <c r="P14" i="2"/>
  <c r="N14" i="2"/>
  <c r="M14" i="2"/>
  <c r="L14" i="2"/>
  <c r="I14" i="2"/>
  <c r="H14" i="2"/>
  <c r="G14" i="2"/>
  <c r="AE13" i="2"/>
  <c r="AA13" i="2"/>
  <c r="Z13" i="2"/>
  <c r="X13" i="2"/>
  <c r="W13" i="2"/>
  <c r="V13" i="2"/>
  <c r="U13" i="2"/>
  <c r="Q13" i="2"/>
  <c r="P13" i="2"/>
  <c r="N13" i="2"/>
  <c r="M13" i="2"/>
  <c r="L13" i="2"/>
  <c r="I13" i="2"/>
  <c r="H13" i="2"/>
  <c r="G13" i="2"/>
  <c r="AE12" i="2"/>
  <c r="AA12" i="2"/>
  <c r="Z12" i="2"/>
  <c r="X12" i="2"/>
  <c r="W12" i="2"/>
  <c r="V12" i="2"/>
  <c r="U12" i="2"/>
  <c r="Q12" i="2"/>
  <c r="P12" i="2"/>
  <c r="N12" i="2"/>
  <c r="M12" i="2"/>
  <c r="L12" i="2"/>
  <c r="I12" i="2"/>
  <c r="H12" i="2"/>
  <c r="G12" i="2"/>
  <c r="AE11" i="2"/>
  <c r="AA11" i="2"/>
  <c r="Z11" i="2"/>
  <c r="X11" i="2"/>
  <c r="W11" i="2"/>
  <c r="V11" i="2"/>
  <c r="U11" i="2"/>
  <c r="Q11" i="2"/>
  <c r="P11" i="2"/>
  <c r="N11" i="2"/>
  <c r="M11" i="2"/>
  <c r="L11" i="2"/>
  <c r="I11" i="2"/>
  <c r="H11" i="2"/>
  <c r="G11" i="2"/>
  <c r="AE10" i="2"/>
  <c r="AA10" i="2"/>
  <c r="Z10" i="2"/>
  <c r="X10" i="2"/>
  <c r="W10" i="2"/>
  <c r="V10" i="2"/>
  <c r="U10" i="2"/>
  <c r="Q10" i="2"/>
  <c r="P10" i="2"/>
  <c r="N10" i="2"/>
  <c r="M10" i="2"/>
  <c r="L10" i="2"/>
  <c r="I10" i="2"/>
  <c r="H10" i="2"/>
  <c r="G10" i="2"/>
  <c r="AE9" i="2"/>
  <c r="AA9" i="2"/>
  <c r="Z9" i="2"/>
  <c r="X9" i="2"/>
  <c r="W9" i="2"/>
  <c r="V9" i="2"/>
  <c r="U9" i="2"/>
  <c r="Q9" i="2"/>
  <c r="P9" i="2"/>
  <c r="N9" i="2"/>
  <c r="M9" i="2"/>
  <c r="L9" i="2"/>
  <c r="I9" i="2"/>
  <c r="H9" i="2"/>
  <c r="G9" i="2"/>
  <c r="AE8" i="2"/>
  <c r="AA8" i="2"/>
  <c r="Z8" i="2"/>
  <c r="X8" i="2"/>
  <c r="W8" i="2"/>
  <c r="V8" i="2"/>
  <c r="U8" i="2"/>
  <c r="Q8" i="2"/>
  <c r="P8" i="2"/>
  <c r="N8" i="2"/>
  <c r="M8" i="2"/>
  <c r="L8" i="2"/>
  <c r="I8" i="2"/>
  <c r="H8" i="2"/>
  <c r="G8" i="2"/>
  <c r="AE7" i="2"/>
  <c r="AA7" i="2"/>
  <c r="Z7" i="2"/>
  <c r="X7" i="2"/>
  <c r="W7" i="2"/>
  <c r="V7" i="2"/>
  <c r="U7" i="2"/>
  <c r="Q7" i="2"/>
  <c r="P7" i="2"/>
  <c r="N7" i="2"/>
  <c r="M7" i="2"/>
  <c r="L7" i="2"/>
  <c r="I7" i="2"/>
  <c r="H7" i="2"/>
  <c r="G7" i="2"/>
  <c r="AE6" i="2"/>
  <c r="AA6" i="2"/>
  <c r="Z6" i="2"/>
  <c r="X6" i="2"/>
  <c r="W6" i="2"/>
  <c r="V6" i="2"/>
  <c r="U6" i="2"/>
  <c r="Q6" i="2"/>
  <c r="P6" i="2"/>
  <c r="N6" i="2"/>
  <c r="M6" i="2"/>
  <c r="L6" i="2"/>
  <c r="I6" i="2"/>
  <c r="H6" i="2"/>
  <c r="G6" i="2"/>
  <c r="AE5" i="2"/>
  <c r="AA5" i="2"/>
  <c r="Z5" i="2"/>
  <c r="X5" i="2"/>
  <c r="W5" i="2"/>
  <c r="V5" i="2"/>
  <c r="U5" i="2"/>
  <c r="Q5" i="2"/>
  <c r="P5" i="2"/>
  <c r="N5" i="2"/>
  <c r="M5" i="2"/>
  <c r="L5" i="2"/>
  <c r="I5" i="2"/>
  <c r="H5" i="2"/>
  <c r="G5" i="2"/>
  <c r="AE4" i="2"/>
  <c r="AA4" i="2"/>
  <c r="Z4" i="2"/>
  <c r="X4" i="2"/>
  <c r="W4" i="2"/>
  <c r="V4" i="2"/>
  <c r="U4" i="2"/>
  <c r="Q4" i="2"/>
  <c r="P4" i="2"/>
  <c r="N4" i="2"/>
  <c r="M4" i="2"/>
  <c r="L4" i="2"/>
  <c r="I4" i="2"/>
  <c r="H4" i="2"/>
  <c r="G4" i="2"/>
  <c r="AE3" i="2"/>
  <c r="AA3" i="2"/>
  <c r="Z3" i="2"/>
  <c r="X3" i="2"/>
  <c r="W3" i="2"/>
  <c r="V3" i="2"/>
  <c r="U3" i="2"/>
  <c r="Q3" i="2"/>
  <c r="P3" i="2"/>
  <c r="N3" i="2"/>
  <c r="M3" i="2"/>
  <c r="L3" i="2"/>
  <c r="I3" i="2"/>
  <c r="H3" i="2"/>
  <c r="G3" i="2"/>
  <c r="AE2" i="2"/>
  <c r="AA2" i="2"/>
  <c r="Z2" i="2"/>
  <c r="X2" i="2"/>
  <c r="W2" i="2"/>
  <c r="V2" i="2"/>
  <c r="U2" i="2"/>
  <c r="Q2" i="2"/>
  <c r="P2" i="2"/>
  <c r="N2" i="2"/>
  <c r="M2" i="2"/>
  <c r="L2" i="2"/>
  <c r="I2" i="2"/>
  <c r="H2" i="2"/>
  <c r="G2" i="2"/>
</calcChain>
</file>

<file path=xl/sharedStrings.xml><?xml version="1.0" encoding="utf-8"?>
<sst xmlns="http://schemas.openxmlformats.org/spreadsheetml/2006/main" count="4338" uniqueCount="2327">
  <si>
    <t>IGV Link</t>
  </si>
  <si>
    <t>CHROM</t>
  </si>
  <si>
    <t>POS</t>
  </si>
  <si>
    <t>REF</t>
  </si>
  <si>
    <t>ALT</t>
  </si>
  <si>
    <t>Func</t>
  </si>
  <si>
    <t>T:FUPMS</t>
  </si>
  <si>
    <t>Variant</t>
  </si>
  <si>
    <t>TranscriptID</t>
  </si>
  <si>
    <t>Classification</t>
  </si>
  <si>
    <t>T:COV</t>
  </si>
  <si>
    <t>T:MAF</t>
  </si>
  <si>
    <t>T:LogR</t>
  </si>
  <si>
    <t>N:FHP</t>
  </si>
  <si>
    <t>N:COV</t>
  </si>
  <si>
    <t>N:MAF</t>
  </si>
  <si>
    <t>N:LogR</t>
  </si>
  <si>
    <t>GeneDetail</t>
  </si>
  <si>
    <t>ExonicFunc</t>
  </si>
  <si>
    <t>AAChange</t>
  </si>
  <si>
    <t>ExAC</t>
  </si>
  <si>
    <t>gnomADexome</t>
  </si>
  <si>
    <t>esp6500si</t>
  </si>
  <si>
    <t>1000g2015aug</t>
  </si>
  <si>
    <t>snp150</t>
  </si>
  <si>
    <t>ucsf500normT</t>
  </si>
  <si>
    <t>ucsf500normN</t>
  </si>
  <si>
    <t>cosmic89</t>
  </si>
  <si>
    <t>cbioportal2019jun</t>
  </si>
  <si>
    <t>clinvar2019mar</t>
  </si>
  <si>
    <t>CADD</t>
  </si>
  <si>
    <t>2 mutations/Mb</t>
  </si>
  <si>
    <t>http://localhost:60151/goto?locus=chr17:7578442</t>
  </si>
  <si>
    <t>chr17</t>
  </si>
  <si>
    <t>7578442</t>
  </si>
  <si>
    <t>T</t>
  </si>
  <si>
    <t>C</t>
  </si>
  <si>
    <t>exonic</t>
  </si>
  <si>
    <t>397</t>
  </si>
  <si>
    <t>350</t>
  </si>
  <si>
    <t>nonsynonymous SNV</t>
  </si>
  <si>
    <t>TP53:NM_001126115:exon1:c.92A&gt;G:p.Y31C,TP53:NM_001126116:exon1:c.92A&gt;G:p.Y31C,TP53:NM_001126117:exon1:c.92A&gt;G:p.Y31C,TP53:NM_001276697:exon1:c.11A&gt;G:p.Y4C,TP53:NM_001276698:exon1:c.11A&gt;G:p.Y4C,TP53:NM_001276699:exon1:c.11A&gt;G:p.Y4C,TP53:NM_001126118:exon4:c.371A&gt;G:p.Y124C,TP53:NM_000546:exon5:c.488A&gt;G:p.Y163C,TP53:NM_001126112:exon5:c.488A&gt;G:p.Y163C,TP53:NM_001126113:exon5:c.488A&gt;G:p.Y163C,TP53:NM_001126114:exon5:c.488A&gt;G:p.Y163C,TP53:NM_001276695:exon5:c.371A&gt;G:p.Y124C,TP53:NM_001276696:exon5:c.371A&gt;G:p.Y124C,TP53:NM_001276760:exon5:c.371A&gt;G:p.Y124C,TP53:NM_001276761:exon5:c.371A&gt;G:p.Y124C</t>
  </si>
  <si>
    <t>rs148924904</t>
  </si>
  <si>
    <t>ID=COSM3388214,COSM1649381,COSM129855,COSM129854,COSM129853,COSM129852,COSM10808;OCCURRENCE=2(NS),2(biliary_tract),36(breast),9(central_nervous_system),7(endometrium),15(haematopoietic_and_lymphoid_tissue),17(large_intestine),11(liver),37(lung),13(oesophagus),22(ovary),8(pancreas),5(prostate),1(salivary_gland),3(soft_tissue),7(stomach),8(upper_aerodigestive_tract),11(urinary_tract)</t>
  </si>
  <si>
    <t>99:TP53:Y163C(99)</t>
  </si>
  <si>
    <t>CLINSIG=Pathogenic;CLNDN=Hepatocellular_carcinoma|Pancreatic_adenocarcinoma|Brainstem_glioma|Carcinoma_of_esophagus|Lung_adenocarcinoma|Small_cell_lung_cancer|Squamous_cell_lung_carcinoma|Neoplasm_of_brain|Neoplasm_of_the_breast|Neoplasm_of_the_large_intestine|Squamous_cell_carcinoma_of_the_head_and_neck|Malignant_melanoma_of_skin|Hereditary_cancer-predisposing_syndrome|Li-Fraumeni_syndrome|Ovarian_Serous_Cystadenocarcinoma|Uterine_Carcinosarcoma|not_provided;CLNREVSTAT=criteria_provided,_multiple_submitters,_no_conflicts;CLNDISDB=Human_Phenotype_Ontology:HP:0001402,MedGen:C2239176,OMIM:114550,Orphanet:ORPHA88673,SNOMED_CT:187769009,SNOMED_CT:25370001|Human_Phenotype_Ontology:HP:0006725,MedGen:C0281361|Human_Phenotype_Ontology:HP:0010796,MedGen:C0677865|Human_Phenotype_Ontology:HP:0011459,MedGen:C0152018,Orphanet:ORPHA70482|Human_Phenotype_Ontology:HP:0030078,MeSH:C538231,MedGen:C0152013|Human_Phenotype_Ontology:HP:0030357,MeSH:D055752,MedGen:C0149925,OMIM:182280,Orphanet:ORPHA70573|Human_Phenotype_Ontology:HP:0030359,MedGen:C0149782|Human_Phenotype_Ontology:HP:0030692,MeSH:D001932,MedGen:C0006118,SNOMED_CT:126952004|Human_Phenotype_Ontology:HP:0100013,MeSH:D001943,MedGen:C1458155,Orphanet:ORPHA180250,SNOMED_CT:126926005|Human_Phenotype_Ontology:HP:0100834,MeSH:D015179,MedGen:C0009404,SNOMED_CT:126837005|MeSH:C535575,MedGen:C1168401,OMIM:275355,Orphanet:ORPHA67037|MeSH:C562393,MedGen:C0151779,SNOMED_CT:93655004|MedGen:C0027672,SNOMED_CT:699346009|MedGen:C0085390,Orphanet:ORPHA524,SNOMED_CT:428850001|MedGen:C0279663|MedGen:C0280630|MedGen:CN517202;CLNALLELEID=133271</t>
  </si>
  <si>
    <t>http://localhost:60151/goto?locus=chrX:76938088</t>
  </si>
  <si>
    <t>chrX</t>
  </si>
  <si>
    <t>76938088</t>
  </si>
  <si>
    <t>GTCTC</t>
  </si>
  <si>
    <t>G</t>
  </si>
  <si>
    <t>532</t>
  </si>
  <si>
    <t>425</t>
  </si>
  <si>
    <t>frameshift deletion</t>
  </si>
  <si>
    <t>ATRX:NM_138270:exon8:c.2542_2545del:p.E848fs,ATRX:NM_000489:exon9:c.2656_2659del:p.E886fs</t>
  </si>
  <si>
    <t>ID=COSM250040,COSM1716666;OCCURRENCE=1(bone),2(central_nervous_system),1(soft_tissue)</t>
  </si>
  <si>
    <t>5:ATRX:E886Lfs*18(5)</t>
  </si>
  <si>
    <t>http://localhost:60151/goto?locus=chr15:38643453</t>
  </si>
  <si>
    <t>chr15</t>
  </si>
  <si>
    <t>38643453</t>
  </si>
  <si>
    <t>CTG</t>
  </si>
  <si>
    <t>1162</t>
  </si>
  <si>
    <t>1000</t>
  </si>
  <si>
    <t>SPRED1:NM_152594:exon7:c.924_925del:p.S308fs</t>
  </si>
  <si>
    <t>http://localhost:60151/goto?locus=chr6:160482675</t>
  </si>
  <si>
    <t>chr6</t>
  </si>
  <si>
    <t>160482675</t>
  </si>
  <si>
    <t>1142</t>
  </si>
  <si>
    <t>747</t>
  </si>
  <si>
    <t>stopgain</t>
  </si>
  <si>
    <t>IGF2R:NM_000876:exon24:c.3403C&gt;T:p.Q1135*</t>
  </si>
  <si>
    <t>http://localhost:60151/goto?locus=chr17:48265495</t>
  </si>
  <si>
    <t>48265495</t>
  </si>
  <si>
    <t>TGGGA</t>
  </si>
  <si>
    <t>CGGGG</t>
  </si>
  <si>
    <t>115</t>
  </si>
  <si>
    <t>94</t>
  </si>
  <si>
    <t>nonframeshift substitution</t>
  </si>
  <si>
    <t>COL1A1:NM_000088:exon44:c.3219_3223CCCCG</t>
  </si>
  <si>
    <t>http://localhost:60151/goto?locus=chr10:89720653</t>
  </si>
  <si>
    <t>chr10</t>
  </si>
  <si>
    <t>89720653</t>
  </si>
  <si>
    <t>A</t>
  </si>
  <si>
    <t>174</t>
  </si>
  <si>
    <t>PTEN:NM_000314:exon8:c.804C&gt;A:p.D268E,PTEN:NM_001304718:exon8:c.213C&gt;A:p.D71E,PTEN:NM_001304717:exon9:c.1323C&gt;A:p.D441E</t>
  </si>
  <si>
    <t>rs398123328</t>
  </si>
  <si>
    <t>ID=COSM6194136;OCCURRENCE=1(breast),2(thyroid)</t>
  </si>
  <si>
    <t>http://localhost:60151/goto?locus=chr2:209113112</t>
  </si>
  <si>
    <t>chr2</t>
  </si>
  <si>
    <t>209113112</t>
  </si>
  <si>
    <t>1105</t>
  </si>
  <si>
    <t>786</t>
  </si>
  <si>
    <t>IDH1:NM_001282386:exon4:c.395G&gt;A:p.R132H,IDH1:NM_001282387:exon4:c.395G&gt;A:p.R132H,IDH1:NM_005896:exon4:c.395G&gt;A:p.R132H</t>
  </si>
  <si>
    <t>rs121913500</t>
  </si>
  <si>
    <t>ID=COSM28746;OCCURRENCE=41(bone),4432(central_nervous_system),379(haematopoietic_and_lymphoid_tissue),1(kidney),1(lung),2(pancreas),9(prostate),1(salivary_gland),1(skin),1(stomach),1(upper_aerodigestive_tract),1(urinary_tract)</t>
  </si>
  <si>
    <t>678:IDH1:R132H(678)</t>
  </si>
  <si>
    <t>CLINSIG=Pathogenic/Likely_pathogenic;CLNDN=Hepatocellular_carcinoma|Medulloblastoma|Acute_myeloid_leukemia|Transitional_cell_carcinoma_of_the_bladder|Multiple_myeloma|Astrocytoma|Brainstem_glioma|Lung_adenocarcinoma|Neoplasm_of_brain|Neoplasm_of_the_breast|Neoplasm_of_the_large_intestine|Malignant_melanoma_of_skin|Adenoid_cystic_carcinoma|Glioblastoma|Myelodysplastic_syndrome|Oligodendroglioma|Adenocarcinoma_of_prostate|Glioblastoma_multiforme,_somatic;CLNREVSTAT=no_assertion_criteria_provided;CLNDISDB=Human_Phenotype_Ontology:HP:0001402,MedGen:C2239176,OMIM:114550,Orphanet:ORPHA88673,SNOMED_CT:187769009,SNOMED_CT:25370001|Human_Phenotype_Ontology:HP:0002885,MeSH:D008527,MedGen:C0025149,OMIM:155255,Orphanet:ORPHA616|Human_Phenotype_Ontology:HP:0004808,MeSH:D015470,MedGen:C0023467,OMIM:601626,Orphanet:ORPHA519,SNOMED_CT:17788007|Human_Phenotype_Ontology:HP:0006740,MedGen:C0279680|Human_Phenotype_Ontology:HP:0006775,MeSH:D009101,MedGen:C0026764,OMIM:254500,Orphanet:ORPHA29073,SNOMED_CT:109989006,SNOMED_CT:55921005|Human_Phenotype_Ontology:HP:0009592,MeSH:D001254,MedGen:C0004114,Orphanet:ORPHA94,SNOMED_CT:38713004|Human_Phenotype_Ontology:HP:0010796,MedGen:C0677865|Human_Phenotype_Ontology:HP:0030078,MeSH:C538231,MedGen:C0152013|Human_Phenotype_Ontology:HP:0030692,MeSH:D001932,MedGen:C0006118,SNOMED_CT:126952004|Human_Phenotype_Ontology:HP:0100013,MeSH:D001943,MedGen:C1458155,Orphanet:ORPHA180250,SNOMED_CT:126926005|Human_Phenotype_Ontology:HP:0100834,MeSH:D015179,MedGen:C0009404,SNOMED_CT:126837005|MeSH:C562393,MedGen:C0151779,SNOMED_CT:93655004|MeSH:D003528,MedGen:C0010606|MeSH:D005909,MedGen:C0017636,Orphanet:ORPHA360,SNOMED_CT:63634009|MeSH:D009190,MedGen:C3463824,OMIM:614286,Orphanet:ORPHA52688|MeSH:D009837,MedGen:C0751396,SNOMED_CT:443936004|MedGen:C0007112|MedGen:C4016231;CLNALLELEID=166215</t>
  </si>
  <si>
    <t>http://localhost:60151/goto?locus=chr2:141625834</t>
  </si>
  <si>
    <t>141625834</t>
  </si>
  <si>
    <t>TA</t>
  </si>
  <si>
    <t>splicing</t>
  </si>
  <si>
    <t>132</t>
  </si>
  <si>
    <t>99</t>
  </si>
  <si>
    <t>NM_018557:exon26:c.4170-2-&gt;T</t>
  </si>
  <si>
    <t>rs758437148</t>
  </si>
  <si>
    <t>http://localhost:60151/goto?locus=chr5:98216981</t>
  </si>
  <si>
    <t>chr5</t>
  </si>
  <si>
    <t>98216981</t>
  </si>
  <si>
    <t>54</t>
  </si>
  <si>
    <t>47</t>
  </si>
  <si>
    <t>NM_001270:exon20:c.2964+2T&gt;A</t>
  </si>
  <si>
    <t>rs771067213</t>
  </si>
  <si>
    <t>http://localhost:60151/goto?locus=chr19:15354015</t>
  </si>
  <si>
    <t>chr19</t>
  </si>
  <si>
    <t>15354015</t>
  </si>
  <si>
    <t>GG</t>
  </si>
  <si>
    <t>51</t>
  </si>
  <si>
    <t>frameshift substitution</t>
  </si>
  <si>
    <t>BRD4:NM_058243:exon14:c.2865delinsCC</t>
  </si>
  <si>
    <t>http://localhost:60151/goto?locus=chr1:78435701</t>
  </si>
  <si>
    <t>chr1</t>
  </si>
  <si>
    <t>78435701</t>
  </si>
  <si>
    <t>269</t>
  </si>
  <si>
    <t>221</t>
  </si>
  <si>
    <t>NM_003902:exon2:c.121-2-&gt;T;NM_001303433:exon2:c.121-2-&gt;T</t>
  </si>
  <si>
    <t>rs752631352</t>
  </si>
  <si>
    <t>http://localhost:60151/goto?locus=chr5:110407273</t>
  </si>
  <si>
    <t>110407273</t>
  </si>
  <si>
    <t>CT</t>
  </si>
  <si>
    <t>upstream</t>
  </si>
  <si>
    <t>586</t>
  </si>
  <si>
    <t>dist=117</t>
  </si>
  <si>
    <t>rs370540031</t>
  </si>
  <si>
    <t>http://localhost:60151/goto?locus=chr17:1265304</t>
  </si>
  <si>
    <t>1265304</t>
  </si>
  <si>
    <t>96</t>
  </si>
  <si>
    <t>NM_006761:exon3:c.265-2-&gt;T</t>
  </si>
  <si>
    <t>rs543499657</t>
  </si>
  <si>
    <t>TG</t>
  </si>
  <si>
    <t>frameshift insertion</t>
  </si>
  <si>
    <t>BRD4:NM_058243:exon14:c.2864dupC:p.P955fs</t>
  </si>
  <si>
    <t>http://localhost:60151/goto?locus=chr19:54201810</t>
  </si>
  <si>
    <t>54201810</t>
  </si>
  <si>
    <t>downstream</t>
  </si>
  <si>
    <t>211</t>
  </si>
  <si>
    <t>153</t>
  </si>
  <si>
    <t>dist=85</t>
  </si>
  <si>
    <t>rs879116193</t>
  </si>
  <si>
    <t>http://localhost:60151/goto?locus=chr2:192011485</t>
  </si>
  <si>
    <t>192011485</t>
  </si>
  <si>
    <t>447</t>
  </si>
  <si>
    <t>413</t>
  </si>
  <si>
    <t>NM_003151:exon3:c.129-2-&gt;T;NM_001243835:exon3:c.129-2-&gt;T</t>
  </si>
  <si>
    <t>rs778032891</t>
  </si>
  <si>
    <t>ID=COSM4425759;OCCURRENCE=1(breast),1(large_intestine),1(oesophagus)</t>
  </si>
  <si>
    <t>http://localhost:60151/goto?locus=chrX:66765158</t>
  </si>
  <si>
    <t>66765158</t>
  </si>
  <si>
    <t>TGCAGCAGCAGCA</t>
  </si>
  <si>
    <t>29</t>
  </si>
  <si>
    <t>22</t>
  </si>
  <si>
    <t>nonframeshift deletion</t>
  </si>
  <si>
    <t>AR:NM_000044:exon1:c.171_182del:p.57_61del,AR:NM_001348061:exon1:c.171_182del:p.57_61del,AR:NM_001348063:exon1:c.171_182del:p.57_61del,AR:NM_001348064:exon1:c.171_182del:p.57_61del</t>
  </si>
  <si>
    <t>rs781380725</t>
  </si>
  <si>
    <t>ID=COSM4598225;OCCURRENCE=1(large_intestine),1(upper_aerodigestive_tract)</t>
  </si>
  <si>
    <t>1:AR:Q77_Q80del(1)</t>
  </si>
  <si>
    <t>CLINSIG=Benign;CLNDN=Androgen_resistance_syndrome|Bulbo-spinal_atrophy_X-linked;CLNREVSTAT=criteria_provided,_single_submitter;CLNDISDB=MedGen:C0039585,OMIM:300068,Orphanet:ORPHA754,SNOMED_CT:12313004|MedGen:C1839259,OMIM:313200,Orphanet:ORPHA481;CLNALLELEID=472174</t>
  </si>
  <si>
    <t>http://localhost:60151/goto?locus=chr19:10614345</t>
  </si>
  <si>
    <t>10614345</t>
  </si>
  <si>
    <t>48</t>
  </si>
  <si>
    <t>34</t>
  </si>
  <si>
    <t>dist=291</t>
  </si>
  <si>
    <t>http://localhost:60151/goto?locus=chrX:123184969</t>
  </si>
  <si>
    <t>123184969</t>
  </si>
  <si>
    <t>71</t>
  </si>
  <si>
    <t>NM_001042749:exon12:c.1018-2A&gt;T;NM_001282418:exon12:c.1018-2A&gt;T;NM_006603:exon11:c.1018-2A&gt;T;NM_001042750:exon12:c.1018-2A&gt;T;NM_001042751:exon12:c.1018-2A&gt;T</t>
  </si>
  <si>
    <t>ID=COSM6287848,COSM6287847;OCCURRENCE=1(liver)</t>
  </si>
  <si>
    <t>http://localhost:60151/goto?locus=chr17:41372116</t>
  </si>
  <si>
    <t>41372116</t>
  </si>
  <si>
    <t>122</t>
  </si>
  <si>
    <t>87</t>
  </si>
  <si>
    <t>dist=60</t>
  </si>
  <si>
    <t>http://localhost:60151/goto?locus=chr5:79950708</t>
  </si>
  <si>
    <t>79950708</t>
  </si>
  <si>
    <t>TGCAGCGGCCG</t>
  </si>
  <si>
    <t>CGCAGCGCCCC</t>
  </si>
  <si>
    <t>95</t>
  </si>
  <si>
    <t>41</t>
  </si>
  <si>
    <t>MSH3:NM_002439:exon1:c.162_172CGCAGCGCCCC</t>
  </si>
  <si>
    <t>http://localhost:60151/goto?locus=chr2:61726050</t>
  </si>
  <si>
    <t>61726050</t>
  </si>
  <si>
    <t>180</t>
  </si>
  <si>
    <t>218</t>
  </si>
  <si>
    <t>NM_003400:exon8:c.591-2-&gt;T</t>
  </si>
  <si>
    <t>ID=COSM1615013;OCCURRENCE=2(biliary_tract),1(liver)</t>
  </si>
  <si>
    <t>GT</t>
  </si>
  <si>
    <t>dist=86</t>
  </si>
  <si>
    <t>rs879188576</t>
  </si>
  <si>
    <t>http://localhost:60151/goto?locus=chr2:190670539</t>
  </si>
  <si>
    <t>190670539</t>
  </si>
  <si>
    <t>912</t>
  </si>
  <si>
    <t>719</t>
  </si>
  <si>
    <t>PMS1:NM_001321049:exon4:c.478delA:p.K160fs</t>
  </si>
  <si>
    <t>rs777195467</t>
  </si>
  <si>
    <t>ID=COSN27264530;OCCURRENCE=1(biliary_tract)</t>
  </si>
  <si>
    <t>463</t>
  </si>
  <si>
    <t>dist=116</t>
  </si>
  <si>
    <t>rs368718795</t>
  </si>
  <si>
    <t>ID=COSN27531215,COSN27594805,COSN28947671,COSN23042980,COSN27382008,COSN28850388;OCCURRENCE=4(biliary_tract),1(haematopoietic_and_lymphoid_tissue),1(large_intestine)</t>
  </si>
  <si>
    <t>http://localhost:60151/goto?locus=chr14:71275773</t>
  </si>
  <si>
    <t>chr14</t>
  </si>
  <si>
    <t>71275773</t>
  </si>
  <si>
    <t>GCCT</t>
  </si>
  <si>
    <t>76</t>
  </si>
  <si>
    <t>66</t>
  </si>
  <si>
    <t>MAP3K9:NM_001284230:exon1:c.113_115del:p.38_39del,MAP3K9:NM_033141:exon1:c.113_115del:p.38_39del</t>
  </si>
  <si>
    <t>rs397840789</t>
  </si>
  <si>
    <t>ID=COSM111673;OCCURRENCE=1(NS),6(large_intestine),1(ovary),1(prostate),2(salivary_gland),1(upper_aerodigestive_tract)</t>
  </si>
  <si>
    <t>24:MAP3K9:E38del(24)</t>
  </si>
  <si>
    <t>http://localhost:60151/goto?locus=chr11:95825374</t>
  </si>
  <si>
    <t>chr11</t>
  </si>
  <si>
    <t>95825374</t>
  </si>
  <si>
    <t>TTGCTGCTGCTGC</t>
  </si>
  <si>
    <t>626</t>
  </si>
  <si>
    <t>265</t>
  </si>
  <si>
    <t>MAML2:NM_032427:exon2:c.1809_1820del:p.603_607del</t>
  </si>
  <si>
    <t>rs751380626</t>
  </si>
  <si>
    <t>ID=COSM5970445;OCCURRENCE=1(upper_aerodigestive_tract)</t>
  </si>
  <si>
    <t>2:MAML2:Q618_Q621del(2)</t>
  </si>
  <si>
    <t>dist=59</t>
  </si>
  <si>
    <t>CTT</t>
  </si>
  <si>
    <t>http://localhost:60151/goto?locus=chr22:21343965</t>
  </si>
  <si>
    <t>chr22</t>
  </si>
  <si>
    <t>21343965</t>
  </si>
  <si>
    <t>GGAGGAGGTGAGGGGCGTGGGGAGCCAGGGCGCAGGTA</t>
  </si>
  <si>
    <t>89</t>
  </si>
  <si>
    <t>72</t>
  </si>
  <si>
    <t>LZTR1:NM_006767:exon7:c.646_651del:p.216_217del</t>
  </si>
  <si>
    <t>rs541944601</t>
  </si>
  <si>
    <t>ID=COSM4589981;OCCURRENCE=6(oesophagus),2(pancreas),1(thyroid),22(upper_aerodigestive_tract)</t>
  </si>
  <si>
    <t>25:LZTR1:X217_splice(25)</t>
  </si>
  <si>
    <t>CLINSIG=Likely_benign;CLNDN=not_specified;CLNREVSTAT=criteria_provided,_multiple_submitters,_no_conflicts;CLNDISDB=MedGen:CN169374;CLNALLELEID=215596</t>
  </si>
  <si>
    <t>http://localhost:60151/goto?locus=chr1:150551491</t>
  </si>
  <si>
    <t>150551491</t>
  </si>
  <si>
    <t>GTCC</t>
  </si>
  <si>
    <t>602</t>
  </si>
  <si>
    <t>.</t>
  </si>
  <si>
    <t>MCL1:NM_021960:exon1:c.513_515del:p.171_172del,MCL1:NM_182763:exon1:c.513_515del:p.171_172del</t>
  </si>
  <si>
    <t>rs759789515</t>
  </si>
  <si>
    <t>ID=COSM1724575;OCCURRENCE=4(NS),1(bone),2(large_intestine),1(pancreas),1(skin),1(soft_tissue)</t>
  </si>
  <si>
    <t>7:MCL1:E171del(7)</t>
  </si>
  <si>
    <t>http://localhost:60151/goto?locus=chr17:29562737</t>
  </si>
  <si>
    <t>29562737</t>
  </si>
  <si>
    <t>ACT</t>
  </si>
  <si>
    <t>1209</t>
  </si>
  <si>
    <t>NF1:NM_000267:exon28:c.3818_3819del:p.T1273fs,NF1:NM_001042492:exon28:c.3818_3819del:p.T1273fs</t>
  </si>
  <si>
    <t>ID=COSM132826,COSM6916391;OCCURRENCE=1(central_nervous_system),1(lung),2(soft_tissue)</t>
  </si>
  <si>
    <t>4:NF1:F1275Pfs*8(4)</t>
  </si>
  <si>
    <t>CLINSIG=Pathogenic;CLNDN=Neurofibromatosis,_type_1;CLNREVSTAT=criteria_provided,_multiple_submitters,_no_conflicts;CLNDISDB=MedGen:C0027831,OMIM:162200,Orphanet:ORPHA636,SNOMED_CT:92824003;CLNALLELEID=466588</t>
  </si>
  <si>
    <t>http://localhost:60151/goto?locus=chrX:76939665</t>
  </si>
  <si>
    <t>76939665</t>
  </si>
  <si>
    <t>CTCAA</t>
  </si>
  <si>
    <t>495</t>
  </si>
  <si>
    <t>ATRX:NM_138270:exon8:c.965_968del:p.I322fs,ATRX:NM_000489:exon9:c.1079_1082del:p.I360fs</t>
  </si>
  <si>
    <t>ID=COSM1735832,COSM1735833;OCCURRENCE=2(central_nervous_system)</t>
  </si>
  <si>
    <t>4:ATRX:I360Rfs*6(4)</t>
  </si>
  <si>
    <t>http://localhost:60151/goto?locus=chr9:139404184</t>
  </si>
  <si>
    <t>chr9</t>
  </si>
  <si>
    <t>139404184</t>
  </si>
  <si>
    <t>CCT</t>
  </si>
  <si>
    <t>197</t>
  </si>
  <si>
    <t>NOTCH1:NM_017617:exon18:c.2968_2969del:p.S990fs</t>
  </si>
  <si>
    <t>ID=COSM6916282,COSM6916281;OCCURRENCE=2(prostate)</t>
  </si>
  <si>
    <t>1:NOTCH1:S990Lfs*34(1)</t>
  </si>
  <si>
    <t>http://localhost:60151/goto?locus=chr16:72991712</t>
  </si>
  <si>
    <t>chr16</t>
  </si>
  <si>
    <t>72991712</t>
  </si>
  <si>
    <t>GCCA</t>
  </si>
  <si>
    <t>827</t>
  </si>
  <si>
    <t>ZFHX3:NM_006885:exon2:c.2330_2332del:p.777_778del</t>
  </si>
  <si>
    <t>rs768134461</t>
  </si>
  <si>
    <t>ID=COSM1724858;OCCURRENCE=3(large_intestine),1(pancreas),1(skin)</t>
  </si>
  <si>
    <t>5:ZFHX3:V777del(5)</t>
  </si>
  <si>
    <t>http://localhost:60151/goto?locus=chr7:41729740</t>
  </si>
  <si>
    <t>chr7</t>
  </si>
  <si>
    <t>41729740</t>
  </si>
  <si>
    <t>TTTC</t>
  </si>
  <si>
    <t>816</t>
  </si>
  <si>
    <t>INHBA:NM_002192:exon3:c.786_788del:p.262_263del</t>
  </si>
  <si>
    <t>rs775084418</t>
  </si>
  <si>
    <t>ID=COSM5019023;OCCURRENCE=3(NS),1(soft_tissue),1(upper_aerodigestive_tract)</t>
  </si>
  <si>
    <t>4:INHBA:K263del(4)</t>
  </si>
  <si>
    <t>http://localhost:60151/goto?locus=chr10:114917782</t>
  </si>
  <si>
    <t>114917782</t>
  </si>
  <si>
    <t>AAAG</t>
  </si>
  <si>
    <t>613</t>
  </si>
  <si>
    <t>TCF7L2:NM_001349870:exon8:c.844_846del:p.282_282del,TCF7L2:NM_001349871:exon8:c.724_726del:p.242_242del,TCF7L2:NM_001198530:exon10:c.1102_1104del:p.368_368del,TCF7L2:NM_001146284:exon11:c.1192_1194del:p.398_398del,TCF7L2:NM_001146285:exon11:c.1204_1206del:p.402_402del,TCF7L2:NM_001146286:exon11:c.1204_1206del:p.402_402del,TCF7L2:NM_001198525:exon11:c.1219_1221del:p.407_407del,TCF7L2:NM_001198526:exon11:c.1204_1206del:p.402_402del,TCF7L2:NM_001198527:exon11:c.1192_1194del:p.398_398del,TCF7L2:NM_001198528:exon11:c.1204_1206del:p.402_402del,TCF7L2:NM_001198529:exon11:c.1204_1206del:p.402_402del,TCF7L2:NM_030756:exon11:c.1204_1206del:p.402_402del,TCF7L2:NM_001146274:exon12:c.1273_1275del:p.425_425del,TCF7L2:NM_001146283:exon12:c.1345_1347del:p.449_449del,TCF7L2:NM_001198531:exon12:c.1273_1275del:p.425_425del</t>
  </si>
  <si>
    <t>rs773947352</t>
  </si>
  <si>
    <t>ID=COSM7259551,COSM1345845,COSM1345846,COSM1345844,COSM5159777;OCCURRENCE=2(large_intestine)</t>
  </si>
  <si>
    <t>1:TCF7L2:K428del(1)</t>
  </si>
  <si>
    <t>http://localhost:60151/goto?locus=chr19:36212143</t>
  </si>
  <si>
    <t>36212143</t>
  </si>
  <si>
    <t>365</t>
  </si>
  <si>
    <t>KMT2B:NM_014727:exon3:c.1894T&gt;C:p.S632P</t>
  </si>
  <si>
    <t>rs749721720</t>
  </si>
  <si>
    <t>ID=COSM6408820,COSM6408819;OCCURRENCE=2(thyroid)</t>
  </si>
  <si>
    <t>http://localhost:60151/goto?locus=chr1:16262471</t>
  </si>
  <si>
    <t>16262471</t>
  </si>
  <si>
    <t>237</t>
  </si>
  <si>
    <t>SPEN:NM_015001:exon11:c.9736A&gt;C:p.T3246P</t>
  </si>
  <si>
    <t>rs769360962</t>
  </si>
  <si>
    <t>ID=COSM4142939;OCCURRENCE=4(thyroid)</t>
  </si>
  <si>
    <t>3:SPEN:T3246P(3)</t>
  </si>
  <si>
    <t>CLINSIG=Benign;CLNDN=not_specified;CLNREVSTAT=criteria_provided,_single_submitter;CLNDISDB=MedGen:CN169374;CLNALLELEID=389329</t>
  </si>
  <si>
    <t>http://localhost:60151/goto?locus=chr16:72822448</t>
  </si>
  <si>
    <t>72822448</t>
  </si>
  <si>
    <t>TCTC</t>
  </si>
  <si>
    <t>1223</t>
  </si>
  <si>
    <t>ZFHX3:NM_001164766:exon9:c.6982_6984del:p.2328_2328del,ZFHX3:NM_006885:exon10:c.9724_9726del:p.3242_3242del</t>
  </si>
  <si>
    <t>rs754195783</t>
  </si>
  <si>
    <t>http://localhost:60151/goto?locus=chr4:106196299</t>
  </si>
  <si>
    <t>chr4</t>
  </si>
  <si>
    <t>106196299</t>
  </si>
  <si>
    <t>CCAG</t>
  </si>
  <si>
    <t>1060</t>
  </si>
  <si>
    <t>TET2:NM_001127208:exon11:c.4633_4635del:p.1545_1545del</t>
  </si>
  <si>
    <t>http://localhost:60151/goto?locus=chr16:72991696</t>
  </si>
  <si>
    <t>72991696</t>
  </si>
  <si>
    <t>TGCC</t>
  </si>
  <si>
    <t>ZFHX3:NM_006885:exon2:c.2346_2348del:p.782_783del</t>
  </si>
  <si>
    <t>http://localhost:60151/goto?locus=chr20:46279836</t>
  </si>
  <si>
    <t>chr20</t>
  </si>
  <si>
    <t>46279836</t>
  </si>
  <si>
    <t>ACAGCAG</t>
  </si>
  <si>
    <t>259</t>
  </si>
  <si>
    <t>NCOA3:NM_001174087:exon20:c.3760_3765del:p.1254_1255del,NCOA3:NM_001174088:exon20:c.3736_3741del:p.1246_1247del,NCOA3:NM_006534:exon20:c.3751_3756del:p.1251_1252del,NCOA3:NM_181659:exon20:c.3763_3768del:p.1255_1256del</t>
  </si>
  <si>
    <t>rs779510744</t>
  </si>
  <si>
    <t>http://localhost:60151/goto?locus=chr17:16068343</t>
  </si>
  <si>
    <t>16068343</t>
  </si>
  <si>
    <t>752</t>
  </si>
  <si>
    <t>675</t>
  </si>
  <si>
    <t>NCOR1:NM_001190438:exon2:c.241C&gt;T:p.R81*,NCOR1:NM_001190440:exon4:c.568C&gt;T:p.R190*,NCOR1:NM_006311:exon5:c.568C&gt;T:p.R190*</t>
  </si>
  <si>
    <t>rs78230791</t>
  </si>
  <si>
    <t>ID=COSM4590772,COSM4129609;OCCURRENCE=2(thyroid),23(upper_aerodigestive_tract)</t>
  </si>
  <si>
    <t>14:NCOR1:R190*(14)</t>
  </si>
  <si>
    <t>http://localhost:60151/goto?locus=chr19:54649670</t>
  </si>
  <si>
    <t>54649670</t>
  </si>
  <si>
    <t>326</t>
  </si>
  <si>
    <t>CNOT3:NM_014516:exon9:c.729delT:p.P243fs</t>
  </si>
  <si>
    <t>ID=COSM1396208,COSM1396209;OCCURRENCE=3(NS),1(large_intestine),1(skin)</t>
  </si>
  <si>
    <t>5:CNOT3:S245Afs*90(5)</t>
  </si>
  <si>
    <t>http://localhost:60151/goto?locus=chr3:69788824</t>
  </si>
  <si>
    <t>chr3</t>
  </si>
  <si>
    <t>69788824</t>
  </si>
  <si>
    <t>567</t>
  </si>
  <si>
    <t>357</t>
  </si>
  <si>
    <t>MITF:NM_198159:exon1:c.76G&gt;T:p.E26*</t>
  </si>
  <si>
    <t>http://localhost:60151/goto?locus=chr19:36214632</t>
  </si>
  <si>
    <t>36214632</t>
  </si>
  <si>
    <t>AG</t>
  </si>
  <si>
    <t>229</t>
  </si>
  <si>
    <t>184</t>
  </si>
  <si>
    <t>NM_014727:exon8:c.3059-1-&gt;G</t>
  </si>
  <si>
    <t>rs11373774</t>
  </si>
  <si>
    <t>http://localhost:60151/goto?locus=chr14:75513828</t>
  </si>
  <si>
    <t>75513828</t>
  </si>
  <si>
    <t>1283</t>
  </si>
  <si>
    <t>1099</t>
  </si>
  <si>
    <t>MLH3:NM_001040108:exon2:c.2531C&gt;T:p.P844L,MLH3:NM_014381:exon2:c.2531C&gt;T:p.P844L</t>
  </si>
  <si>
    <t>rs175080</t>
  </si>
  <si>
    <t>ID=COSM3754114,COSM3754113;OCCURRENCE=3(haematopoietic_and_lymphoid_tissue),1(large_intestine),2(lung)</t>
  </si>
  <si>
    <t>CLINSIG=Benign/Likely_benign;CLNDN=Lynch_syndrome|not_specified;CLNREVSTAT=criteria_provided,_multiple_submitters,_no_conflicts;CLNDISDB=MedGen:C1333990,Orphanet:ORPHA144,SNOMED_CT:315058005|MedGen:CN169374;CLNALLELEID=255064</t>
  </si>
  <si>
    <t>http://localhost:60151/goto?locus=chr17:41244435</t>
  </si>
  <si>
    <t>41244435</t>
  </si>
  <si>
    <t>963</t>
  </si>
  <si>
    <t>1077</t>
  </si>
  <si>
    <t>BRCA1:NM_007297:exon9:c.2972A&gt;G:p.E991G,BRCA1:NM_007294:exon10:c.3113A&gt;G:p.E1038G,BRCA1:NM_007300:exon10:c.3113A&gt;G:p.E1038G</t>
  </si>
  <si>
    <t>rs16941</t>
  </si>
  <si>
    <t>ID=COSM3755563,COSM3755562;OCCURRENCE=1(breast),3(haematopoietic_and_lymphoid_tissue),1(large_intestine),1(thymus)</t>
  </si>
  <si>
    <t>11:BRCA1:E1038G(11)</t>
  </si>
  <si>
    <t>CLINSIG=Benign;CLNDN=Hereditary_breast_and_ovarian_cancer_syndrome|Familial_cancer_of_breast|Hereditary_cancer-predisposing_syndrome|Breast-ovarian_cancer,_familial_1|Pancreatic_cancer_4|FANCONI_ANEMIA,_COMPLEMENTATION_GROUP_S|not_specified|not_provided;CLNREVSTAT=reviewed_by_expert_panel;CLNDISDB=MeSH:D061325,MedGen:C0677776,Orphanet:ORPHA145|MedGen:C0006142,OMIM:114480,Orphanet:ORPHA227535,SNOMED_CT:254843006|MedGen:C0027672,SNOMED_CT:699346009|MedGen:C2676676,OMIM:604370|MedGen:C3280442,OMIM:614320|MedGen:C4554406,OMIM:617883|MedGen:CN169374|MedGen:CN517202;CLNALLELEID=50254</t>
  </si>
  <si>
    <t>http://localhost:60151/goto?locus=chr3:47125385</t>
  </si>
  <si>
    <t>47125385</t>
  </si>
  <si>
    <t>1380</t>
  </si>
  <si>
    <t>1034</t>
  </si>
  <si>
    <t>SETD2:NM_001349370:exon11:c.5753C&gt;T:p.P1918L,SETD2:NM_014159:exon12:c.5885C&gt;T:p.P1962L</t>
  </si>
  <si>
    <t>rs4082155</t>
  </si>
  <si>
    <t>ID=COSM149375,COSM149376;OCCURRENCE=1(haematopoietic_and_lymphoid_tissue),1(large_intestine),5(prostate),15(soft_tissue),1(stomach)</t>
  </si>
  <si>
    <t>17:SETD2:P1962L(17)</t>
  </si>
  <si>
    <t>CLINSIG=Benign;CLNDN=not_specified|not_provided;CLNREVSTAT=criteria_provided,_single_submitter;CLNDISDB=MedGen:CN169374|MedGen:CN517202;CLNALLELEID=138941</t>
  </si>
  <si>
    <t>http://localhost:60151/goto?locus=chr17:41244936</t>
  </si>
  <si>
    <t>41244936</t>
  </si>
  <si>
    <t>980</t>
  </si>
  <si>
    <t>1025</t>
  </si>
  <si>
    <t>BRCA1:NM_007297:exon9:c.2471C&gt;T:p.P824L,BRCA1:NM_007294:exon10:c.2612C&gt;T:p.P871L,BRCA1:NM_007300:exon10:c.2612C&gt;T:p.P871L</t>
  </si>
  <si>
    <t>rs799917</t>
  </si>
  <si>
    <t>ID=COSM148278,COSM3755564;OCCURRENCE=1(breast),3(haematopoietic_and_lymphoid_tissue),4(large_intestine),2(lung),1(peritoneum),3(prostate),1(skin),14(soft_tissue),1(stomach)</t>
  </si>
  <si>
    <t>22:BRCA1:P871L(22)</t>
  </si>
  <si>
    <t>CLINSIG=Benign;CLNDN=Hereditary_breast_and_ovarian_cancer_syndrome|Familial_cancer_of_breast|Hereditary_cancer-predisposing_syndrome|Breast-ovarian_cancer,_familial_1|not_specified|not_provided;CLNREVSTAT=reviewed_by_expert_panel;CLNDISDB=MeSH:D061325,MedGen:C0677776,Orphanet:ORPHA145|MedGen:C0006142,OMIM:114480,Orphanet:ORPHA227535,SNOMED_CT:254843006|MedGen:C0027672,SNOMED_CT:699346009|MedGen:C2676676,OMIM:604370|MedGen:CN169374|MedGen:CN517202;CLNALLELEID=50251</t>
  </si>
  <si>
    <t>http://localhost:60151/goto?locus=chr4:106155751</t>
  </si>
  <si>
    <t>106155751</t>
  </si>
  <si>
    <t>1078</t>
  </si>
  <si>
    <t>1022</t>
  </si>
  <si>
    <t>TET2:NM_001127208:exon3:c.652G&gt;A:p.V218M,TET2:NM_017628:exon3:c.652G&gt;A:p.V218M</t>
  </si>
  <si>
    <t>rs6843141</t>
  </si>
  <si>
    <t>ID=COSM4416140,COSM4416139;OCCURRENCE=1(breast),12(haematopoietic_and_lymphoid_tissue),1(lung)</t>
  </si>
  <si>
    <t>3:TET2:V218M(3)</t>
  </si>
  <si>
    <t>CLINSIG=not_provided;CLNDN=not_specified;CLNREVSTAT=no_assertion_provided;CLNDISDB=MedGen:CN169374;CLNALLELEID=139060</t>
  </si>
  <si>
    <t>http://localhost:60151/goto?locus=chr17:16068396</t>
  </si>
  <si>
    <t>16068396</t>
  </si>
  <si>
    <t>1048</t>
  </si>
  <si>
    <t>NCOR1:NM_001190438:exon2:c.188C&gt;T:p.S63L,NCOR1:NM_001190440:exon4:c.515C&gt;T:p.S172L,NCOR1:NM_006311:exon5:c.515C&gt;T:p.S172L</t>
  </si>
  <si>
    <t>rs150910818</t>
  </si>
  <si>
    <t>ID=COSM1630066,COSM4590747,COSM5712777;OCCURRENCE=6(central_nervous_system),1(kidney),4(large_intestine),1(liver),3(thyroid),23(upper_aerodigestive_tract)</t>
  </si>
  <si>
    <t>15:NCOR1:S172L(15)</t>
  </si>
  <si>
    <t>http://localhost:60151/goto?locus=chr17:41244000</t>
  </si>
  <si>
    <t>41244000</t>
  </si>
  <si>
    <t>943</t>
  </si>
  <si>
    <t>975</t>
  </si>
  <si>
    <t>BRCA1:NM_007297:exon9:c.3407A&gt;G:p.K1136R,BRCA1:NM_007294:exon10:c.3548A&gt;G:p.K1183R,BRCA1:NM_007300:exon10:c.3548A&gt;G:p.K1183R</t>
  </si>
  <si>
    <t>rs16942</t>
  </si>
  <si>
    <t>ID=COSM148277,COSM3755561;OCCURRENCE=1(breast),3(haematopoietic_and_lymphoid_tissue),4(large_intestine),2(lung),2(prostate),14(soft_tissue),1(stomach),1(thyroid)</t>
  </si>
  <si>
    <t>10:BRCA1:K1183R(10)</t>
  </si>
  <si>
    <t>CLINSIG=Benign;CLNDN=Hereditary_breast_and_ovarian_cancer_syndrome|Familial_cancer_of_breast|Hereditary_cancer-predisposing_syndrome|Breast-ovarian_cancer,_familial_1|not_specified|not_provided;CLNREVSTAT=reviewed_by_expert_panel;CLNDISDB=MeSH:D061325,MedGen:C0677776,Orphanet:ORPHA145|MedGen:C0006142,OMIM:114480,Orphanet:ORPHA227535,SNOMED_CT:254843006|MedGen:C0027672,SNOMED_CT:699346009|MedGen:C2676676,OMIM:604370|MedGen:CN169374|MedGen:CN517202;CLNALLELEID=50257</t>
  </si>
  <si>
    <t>http://localhost:60151/goto?locus=chr4:55593464</t>
  </si>
  <si>
    <t>55593464</t>
  </si>
  <si>
    <t>1164</t>
  </si>
  <si>
    <t>950</t>
  </si>
  <si>
    <t>KIT:NM_000222:exon10:c.1621A&gt;C:p.M541L,KIT:NM_001093772:exon10:c.1609A&gt;C:p.M537L</t>
  </si>
  <si>
    <t>rs3822214</t>
  </si>
  <si>
    <t>ID=COSM28026;OCCURRENCE=7(breast),22(haematopoietic_and_lymphoid_tissue),1(large_intestine),1(lung),1(pancreas),2(skin),3(soft_tissue),1(stomach)</t>
  </si>
  <si>
    <t>12:KIT:M541L(12)</t>
  </si>
  <si>
    <t>CLINSIG=Benign/Likely_benign;CLNDN=Chronic_myelogenous_leukemia|Partial_albinism|Mastocytosis|Gastrointestinal_stroma_tumor|not_specified|not_provided;CLNREVSTAT=criteria_provided,_multiple_submitters,_no_conflicts;CLNDISDB=Human_Phenotype_Ontology:HP:0005506,MeSH:D015464,MedGen:C0023473,OMIM:608232,Orphanet:ORPHA521|Human_Phenotype_Ontology:HP:0007443,MedGen:C0080024,OMIM:172800,Orphanet:ORPHA2884,SNOMED_CT:6479008|Human_Phenotype_Ontology:HP:0100495,MedGen:C0024899,OMIM:154800,Orphanet:ORPHA98292|Human_Phenotype_Ontology:HP:0100723,MeSH:D046152,MedGen:C0238198,OMIM:606764,Orphanet:ORPHA44890|MedGen:CN169374|MedGen:CN517202;CLNALLELEID=50038</t>
  </si>
  <si>
    <t>http://localhost:60151/goto?locus=chr4:187630590</t>
  </si>
  <si>
    <t>187630590</t>
  </si>
  <si>
    <t>1265</t>
  </si>
  <si>
    <t>944</t>
  </si>
  <si>
    <t>FAT1:NM_005245:exon2:c.392C&gt;T:p.A131V</t>
  </si>
  <si>
    <t>rs3733415</t>
  </si>
  <si>
    <t>ID=COSM4416273,COSM4416272;OCCURRENCE=1(breast),3(haematopoietic_and_lymphoid_tissue),2(large_intestine)</t>
  </si>
  <si>
    <t>5:FAT1:A131V(5)</t>
  </si>
  <si>
    <t>http://localhost:60151/goto?locus=chr3:37053568</t>
  </si>
  <si>
    <t>37053568</t>
  </si>
  <si>
    <t>1415</t>
  </si>
  <si>
    <t>931</t>
  </si>
  <si>
    <t>MLH1:NM_000249:exon8:c.655A&gt;G:p.I219V,MLH1:NM_001167617:exon8:c.361A&gt;G:p.I121V,MLH1:NM_001258271:exon8:c.655A&gt;G:p.I219V</t>
  </si>
  <si>
    <t>rs1799977</t>
  </si>
  <si>
    <t>ID=COSM1131469;OCCURRENCE=1(bone),8(large_intestine),5(prostate),1(salivary_gland),12(soft_tissue)</t>
  </si>
  <si>
    <t>18:MLH1:I219V(18)</t>
  </si>
  <si>
    <t>CLINSIG=Benign;CLNDN=Hereditary_cancer-predisposing_syndrome|Lynch_syndrome|Lynch_syndrome_II|Lynch_syndrome_I|not_specified|not_provided;CLNREVSTAT=reviewed_by_expert_panel;CLNDISDB=MedGen:C0027672,SNOMED_CT:699346009|MedGen:C1333990,Orphanet:ORPHA144,SNOMED_CT:315058005|MedGen:C1333991,OMIM:609310|MedGen:C2936783,OMIM:120435|MedGen:CN169374|MedGen:CN517202;CLNALLELEID=45219</t>
  </si>
  <si>
    <t>http://localhost:60151/goto?locus=chr4:187628398</t>
  </si>
  <si>
    <t>187628398</t>
  </si>
  <si>
    <t>1180</t>
  </si>
  <si>
    <t>917</t>
  </si>
  <si>
    <t>FAT1:NM_005245:exon2:c.2584G&gt;C:p.V862L</t>
  </si>
  <si>
    <t>rs1877731</t>
  </si>
  <si>
    <t>ID=COSM4003036,COSM4003037;OCCURRENCE=1(breast),5(haematopoietic_and_lymphoid_tissue)</t>
  </si>
  <si>
    <t>28:FAT1:V862L(28)</t>
  </si>
  <si>
    <t>http://localhost:60151/goto?locus=chr3:142281612</t>
  </si>
  <si>
    <t>142281612</t>
  </si>
  <si>
    <t>972</t>
  </si>
  <si>
    <t>916</t>
  </si>
  <si>
    <t>ATR:NM_001184:exon4:c.632T&gt;C:p.M211T</t>
  </si>
  <si>
    <t>rs2227928</t>
  </si>
  <si>
    <t>ID=COSM149487;OCCURRENCE=1(biliary_tract),1(haematopoietic_and_lymphoid_tissue),3(large_intestine),4(prostate),20(soft_tissue),1(stomach)</t>
  </si>
  <si>
    <t>8:ATR:M211T(8)</t>
  </si>
  <si>
    <t>CLINSIG=Benign/Likely_benign;CLNDN=Seckel_syndrome|not_specified;CLNREVSTAT=criteria_provided,_multiple_submitters,_no_conflicts;CLNDISDB=MedGen:C0265202,Orphanet:ORPHA808,SNOMED_CT:57917004|MedGen:CN169374;CLNALLELEID=99571</t>
  </si>
  <si>
    <t>http://localhost:60151/goto?locus=chr5:112176756</t>
  </si>
  <si>
    <t>112176756</t>
  </si>
  <si>
    <t>1054</t>
  </si>
  <si>
    <t>910</t>
  </si>
  <si>
    <t>APC:NM_001127511:exon14:c.5411T&gt;A:p.V1804D,APC:NM_000038:exon16:c.5465T&gt;A:p.V1822D,APC:NM_001127510:exon17:c.5465T&gt;A:p.V1822D</t>
  </si>
  <si>
    <t>rs459552</t>
  </si>
  <si>
    <t>ID=COSM3760871;OCCURRENCE=41(large_intestine),1(lung)</t>
  </si>
  <si>
    <t>15:APC:V1822D(15)</t>
  </si>
  <si>
    <t>CLINSIG=Benign;CLNDN=Hereditary_cancer-predisposing_syndrome|Familial_adenomatous_polyposis_1|Familial_colorectal_cancer|not_specified|APC-Associated_Polyposis_Disorders|not_provided;CLNREVSTAT=criteria_provided,_multiple_submitters,_no_conflicts;CLNDISDB=MedGen:C0027672,SNOMED_CT:699346009|MedGen:C2713442,OMIM:175100|MedGen:CN029768|MedGen:CN169374|MedGen:CN239210|MedGen:CN517202;CLNALLELEID=33882</t>
  </si>
  <si>
    <t>http://localhost:60151/goto?locus=chr14:62207557</t>
  </si>
  <si>
    <t>62207557</t>
  </si>
  <si>
    <t>1357</t>
  </si>
  <si>
    <t>907</t>
  </si>
  <si>
    <t>HIF1A:NM_001243084:exon12:c.1816C&gt;T:p.P606S,HIF1A:NM_001530:exon12:c.1744C&gt;T:p.P582S,HIF1A:NM_181054:exon12:c.1744C&gt;T:p.P582S</t>
  </si>
  <si>
    <t>rs11549465</t>
  </si>
  <si>
    <t>ID=COSM5762337,COSM5019750;OCCURRENCE=2(haematopoietic_and_lymphoid_tissue),4(soft_tissue)</t>
  </si>
  <si>
    <t>2:HIF1A:P582S(2)</t>
  </si>
  <si>
    <t>http://localhost:60151/goto?locus=chr5:56177743</t>
  </si>
  <si>
    <t>56177743</t>
  </si>
  <si>
    <t>973</t>
  </si>
  <si>
    <t>902</t>
  </si>
  <si>
    <t>MAP3K1:NM_005921:exon14:c.2716G&gt;A:p.V906I</t>
  </si>
  <si>
    <t>rs832582</t>
  </si>
  <si>
    <t>ID=COSM4416191,COSM4416190;OCCURRENCE=2(breast),1(haematopoietic_and_lymphoid_tissue),1(large_intestine),2(lung)</t>
  </si>
  <si>
    <t>14:MAP3K1:V906I(14)</t>
  </si>
  <si>
    <t>CLINSIG=Benign;CLNDN=46,XY_sex_reversal,_type_6;CLNREVSTAT=criteria_provided,_single_submitter;CLNDISDB=MedGen:C3151064,OMIM:613762;CLNALLELEID=508805</t>
  </si>
  <si>
    <t>http://localhost:60151/goto?locus=chr4:187629140</t>
  </si>
  <si>
    <t>187629140</t>
  </si>
  <si>
    <t>889</t>
  </si>
  <si>
    <t>FAT1:NM_005245:exon2:c.1842C&gt;G:p.F614L</t>
  </si>
  <si>
    <t>rs367863</t>
  </si>
  <si>
    <t>ID=COSM4003038,COSM4003039;OCCURRENCE=1(breast),5(haematopoietic_and_lymphoid_tissue),3(lung)</t>
  </si>
  <si>
    <t>13:FAT1:F614L(13)</t>
  </si>
  <si>
    <t>http://localhost:60151/goto?locus=chr5:80168937</t>
  </si>
  <si>
    <t>80168937</t>
  </si>
  <si>
    <t>1012</t>
  </si>
  <si>
    <t>886</t>
  </si>
  <si>
    <t>MSH3:NM_002439:exon23:c.3133G&gt;A:p.A1045T</t>
  </si>
  <si>
    <t>rs26279</t>
  </si>
  <si>
    <t>ID=COSM4416274,COSM4416275;OCCURRENCE=1(haematopoietic_and_lymphoid_tissue),35(large_intestine)</t>
  </si>
  <si>
    <t>2:MSH3:A1045T(2)</t>
  </si>
  <si>
    <t>http://localhost:60151/goto?locus=chr4:187525020</t>
  </si>
  <si>
    <t>187525020</t>
  </si>
  <si>
    <t>1347</t>
  </si>
  <si>
    <t>852</t>
  </si>
  <si>
    <t>FAT1:NM_005245:exon19:c.10660T&gt;G:p.S3554A</t>
  </si>
  <si>
    <t>rs2637777</t>
  </si>
  <si>
    <t>ID=COSM4984958,COSM4984957;OCCURRENCE=1(breast),1(haematopoietic_and_lymphoid_tissue),2(pancreas),14(soft_tissue)</t>
  </si>
  <si>
    <t>16:FAT1:S3554A(16)</t>
  </si>
  <si>
    <t>http://localhost:60151/goto?locus=chr17:41223094</t>
  </si>
  <si>
    <t>41223094</t>
  </si>
  <si>
    <t>1072</t>
  </si>
  <si>
    <t>821</t>
  </si>
  <si>
    <t>BRCA1:NM_007297:exon14:c.4696A&gt;G:p.S1566G,BRCA1:NM_007298:exon14:c.1525A&gt;G:p.S509G,BRCA1:NM_007294:exon15:c.4837A&gt;G:p.S1613G,BRCA1:NM_007299:exon15:c.1525A&gt;G:p.S509G,BRCA1:NM_007300:exon16:c.4900A&gt;G:p.S1634G</t>
  </si>
  <si>
    <t>rs1799966</t>
  </si>
  <si>
    <t>ID=COSM3755560,COSM3755559;OCCURRENCE=1(breast),3(haematopoietic_and_lymphoid_tissue),2(large_intestine),2(lung),1(thymus),1(urinary_tract)</t>
  </si>
  <si>
    <t>18:BRCA1:S1613G(18)</t>
  </si>
  <si>
    <t>CLINSIG=Benign;CLNDN=Hereditary_breast_and_ovarian_cancer_syndrome|Familial_cancer_of_breast|Hereditary_cancer-predisposing_syndrome|Breast-ovarian_cancer,_familial_1|not_specified|not_provided;CLNREVSTAT=reviewed_by_expert_panel;CLNDISDB=MeSH:D061325,MedGen:C0677776,Orphanet:ORPHA145|MedGen:C0006142,OMIM:114480,Orphanet:ORPHA227535,SNOMED_CT:254843006|MedGen:C0027672,SNOMED_CT:699346009|MedGen:C2676676,OMIM:604370|MedGen:CN169374|MedGen:CN517202;CLNALLELEID=50266</t>
  </si>
  <si>
    <t>http://localhost:60151/goto?locus=chr17:16068377</t>
  </si>
  <si>
    <t>16068377</t>
  </si>
  <si>
    <t>899</t>
  </si>
  <si>
    <t>804</t>
  </si>
  <si>
    <t>NCOR1:NM_001190438:exon2:c.207G&gt;C:p.K69N,NCOR1:NM_001190440:exon4:c.534G&gt;C:p.K178N,NCOR1:NM_006311:exon5:c.534G&gt;C:p.K178N</t>
  </si>
  <si>
    <t>rs200020868</t>
  </si>
  <si>
    <t>ID=COSM4591234,COSM5574217,COSM4591233;OCCURRENCE=2(haematopoietic_and_lymphoid_tissue),1(large_intestine),2(skin),23(upper_aerodigestive_tract)</t>
  </si>
  <si>
    <t>14:NCOR1:K178N(14)</t>
  </si>
  <si>
    <t>http://localhost:60151/goto?locus=chr7:50436033</t>
  </si>
  <si>
    <t>50436033</t>
  </si>
  <si>
    <t>870</t>
  </si>
  <si>
    <t>802</t>
  </si>
  <si>
    <t>IKZF1:NM_001291845:exon4:c.490A&gt;G:p.R164G</t>
  </si>
  <si>
    <t>rs10899750</t>
  </si>
  <si>
    <t>ID=COSN26961935,COSN26961928,COSN26961929,COSN26961603,COSN26961609,COSN26961606,COSN26961610,COSN26961630,COSN26961937,COSN26961642,COSN26961650,COSN26961645,COSN26961668,COSN26961927,COSN26961633,COSN26961920,COSN26961918,COSN26961939,COSN26961627,COSN26961647,COSN26961648,COSN26961934,COSN26961639,COSN26961636,COSN26961923,COSN26961612,COSN26961620,COSN26961631,COSN26961618,COSN26961643,COSN26961635,COSN26961655,COSN26961613,COSN26961622,COSN26961662,COSN26961931,COSN26961925,COSN26961632,COSN26961649,COSN26961932,COSN26961619,COSN26961924,COSN26961659,COSN26961921,COSN26961638,COSN26961657,COSN26961628,COSN26961614,COSN26961640,COSN26961607,COSN26961653,COSN26961926,COSN26961930,COSN26961654,COSN26961665,COSN26961660,COSN26634105,COSN26961666,COSN26961625,COSN26961664,COSN26961608,COSN26961641,COSN26961626,COSN26961652,COSN26961658,COSN26961634,COSN26961623,COSN26961942,COSN26961605,COSN26961922,COSN26961624,COSN26961617,COSN26961667,COSN26961651,COSN26961656,COSN26961615,COSN26961616,COSN26961938,COSN26961940,COSN26961629,COSN26961936,COSN26728748,COSN26961637,COSN26961919,COSN26961661,COSN26961644,COSN26961663,COSN26961611,COSN26961604,COSN26961933,COSN26961941,COSN26961621,COSN26961646;OCCURRENCE=1(breast),91(haematopoietic_and_lymphoid_tissue),1(liver)</t>
  </si>
  <si>
    <t>http://localhost:60151/goto?locus=chr13:28624294</t>
  </si>
  <si>
    <t>chr13</t>
  </si>
  <si>
    <t>28624294</t>
  </si>
  <si>
    <t>848</t>
  </si>
  <si>
    <t>800</t>
  </si>
  <si>
    <t>FLT3:NM_004119:exon6:c.680C&gt;T:p.T227M</t>
  </si>
  <si>
    <t>rs1933437</t>
  </si>
  <si>
    <t>ID=COSM5019176;OCCURRENCE=68(haematopoietic_and_lymphoid_tissue),1(large_intestine),18(soft_tissue)</t>
  </si>
  <si>
    <t>14:FLT3:T227M(14)</t>
  </si>
  <si>
    <t>CLINSIG=not_provided;CLNDN=not_specified;CLNREVSTAT=no_assertion_provided;CLNDISDB=MedGen:CN169374;CLNALLELEID=138186</t>
  </si>
  <si>
    <t>http://localhost:60151/goto?locus=chr17:16097870</t>
  </si>
  <si>
    <t>16097870</t>
  </si>
  <si>
    <t>1030</t>
  </si>
  <si>
    <t>772</t>
  </si>
  <si>
    <t>NCOR1:NM_001190438:exon1:c.14G&gt;T:p.G5V,NCOR1:NM_001190440:exon1:c.14G&gt;T:p.G5V,NCOR1:NM_006311:exon2:c.14G&gt;T:p.G5V</t>
  </si>
  <si>
    <t>rs76145228</t>
  </si>
  <si>
    <t>ID=COSM5427042,COSM3733523,COSM4592605;OCCURRENCE=5(breast),3(haematopoietic_and_lymphoid_tissue),1(large_intestine),1(lung),2(pancreas),1(thyroid),17(upper_aerodigestive_tract),2(urinary_tract)</t>
  </si>
  <si>
    <t>14:NCOR1:G5V(14)</t>
  </si>
  <si>
    <t>http://localhost:60151/goto?locus=chr1:16256007</t>
  </si>
  <si>
    <t>16256007</t>
  </si>
  <si>
    <t>970</t>
  </si>
  <si>
    <t>764</t>
  </si>
  <si>
    <t>SPEN:NM_015001:exon11:c.3272T&gt;C:p.L1091P</t>
  </si>
  <si>
    <t>rs848209</t>
  </si>
  <si>
    <t>ID=COSM4142934;OCCURRENCE=1(biliary_tract),3(haematopoietic_and_lymphoid_tissue),1(lung),1(thyroid),1(urinary_tract)</t>
  </si>
  <si>
    <t>13:SPEN:L1091P(13)</t>
  </si>
  <si>
    <t>http://localhost:60151/goto?locus=chr6:152708310</t>
  </si>
  <si>
    <t>152708310</t>
  </si>
  <si>
    <t>911</t>
  </si>
  <si>
    <t>750</t>
  </si>
  <si>
    <t>SYNE1:NM_033071:exon54:c.8405C&gt;T:p.A2802V,SYNE1:NM_182961:exon54:c.8384C&gt;T:p.A2795V</t>
  </si>
  <si>
    <t>rs214950</t>
  </si>
  <si>
    <t>ID=COSM3761575,COSM3761573,COSM3761572,COSM3761576,COSM3761574;OCCURRENCE=1(breast),1(haematopoietic_and_lymphoid_tissue),4(large_intestine)</t>
  </si>
  <si>
    <t>1:SYNE1:A2795V(1)</t>
  </si>
  <si>
    <t>CLINSIG=Benign;CLNDN=Cerebellar_ataxia|Emery-Dreifuss_muscular_dystrophy|not_specified;CLNREVSTAT=criteria_provided,_multiple_submitters,_no_conflicts;CLNDISDB=Human_Phenotype_Ontology:HP:0001251,MedGen:C0007758,SNOMED_CT:85102008|MedGen:C0410189,Orphanet:ORPHA261,SNOMED_CT:111508004|MedGen:CN169374;CLNALLELEID=135898</t>
  </si>
  <si>
    <t>http://localhost:60151/goto?locus=chr20:31022959</t>
  </si>
  <si>
    <t>31022959</t>
  </si>
  <si>
    <t>1387</t>
  </si>
  <si>
    <t>748</t>
  </si>
  <si>
    <t>ASXL1:NM_015338:exon12:c.2444T&gt;C:p.L815P</t>
  </si>
  <si>
    <t>rs6058694</t>
  </si>
  <si>
    <t>ID=COSM6494657,COSM6494658;OCCURRENCE=97(haematopoietic_and_lymphoid_tissue)</t>
  </si>
  <si>
    <t>14:ASXL1:L815P(14)</t>
  </si>
  <si>
    <t>CLINSIG=not_provided;CLNDN=not_specified;CLNREVSTAT=no_assertion_provided;CLNDISDB=MedGen:CN169374;CLNALLELEID=137338</t>
  </si>
  <si>
    <t>http://localhost:60151/goto?locus=chr4:187627792</t>
  </si>
  <si>
    <t>187627792</t>
  </si>
  <si>
    <t>874</t>
  </si>
  <si>
    <t>721</t>
  </si>
  <si>
    <t>FAT1:NM_005245:exon2:c.3190A&gt;G:p.R1064G</t>
  </si>
  <si>
    <t>rs11939575</t>
  </si>
  <si>
    <t>ID=COSM4003035,COSM4003034;OCCURRENCE=1(breast),5(haematopoietic_and_lymphoid_tissue)</t>
  </si>
  <si>
    <t>14:FAT1:R1064G(14)</t>
  </si>
  <si>
    <t>http://localhost:60151/goto?locus=chr6:117622233</t>
  </si>
  <si>
    <t>117622233</t>
  </si>
  <si>
    <t>937</t>
  </si>
  <si>
    <t>693</t>
  </si>
  <si>
    <t>ROS1:NM_002944:exon42:c.6637G&gt;A:p.D2213N</t>
  </si>
  <si>
    <t>rs529038</t>
  </si>
  <si>
    <t>ID=COSM150170,COSM3736400,COSM3736401;OCCURRENCE=5(haematopoietic_and_lymphoid_tissue),2(large_intestine),2(skin),10(soft_tissue),1(stomach)</t>
  </si>
  <si>
    <t>5:ROS1:D2213N(5)</t>
  </si>
  <si>
    <t>http://localhost:60151/goto?locus=chr17:37855834</t>
  </si>
  <si>
    <t>37855834</t>
  </si>
  <si>
    <t>935</t>
  </si>
  <si>
    <t>689</t>
  </si>
  <si>
    <t>ERBB2:NM_001289936:exon5:c.22C&gt;A:p.P8T</t>
  </si>
  <si>
    <t>rs4252596</t>
  </si>
  <si>
    <t>ID=COSM4986139;OCCURRENCE=5(central_nervous_system),2(soft_tissue)</t>
  </si>
  <si>
    <t>CLINSIG=not_provided;CLNDN=not_specified;CLNREVSTAT=no_assertion_provided;CLNDISDB=MedGen:CN169374;CLNALLELEID=139258</t>
  </si>
  <si>
    <t>http://localhost:60151/goto?locus=chr20:54961541</t>
  </si>
  <si>
    <t>54961541</t>
  </si>
  <si>
    <t>1111</t>
  </si>
  <si>
    <t>683</t>
  </si>
  <si>
    <t>AURKA:NM_003600:exon3:c.91T&gt;A:p.F31I,AURKA:NM_198435:exon3:c.91T&gt;A:p.F31I,AURKA:NM_198437:exon3:c.91T&gt;A:p.F31I,AURKA:NM_001323303:exon4:c.91T&gt;A:p.F31I,AURKA:NM_001323304:exon4:c.91T&gt;A:p.F31I,AURKA:NM_198434:exon4:c.91T&gt;A:p.F31I,AURKA:NM_198436:exon4:c.91T&gt;A:p.F31I,AURKA:NM_001323305:exon5:c.91T&gt;A:p.F31I,AURKA:NM_198433:exon5:c.91T&gt;A:p.F31I</t>
  </si>
  <si>
    <t>rs2273535</t>
  </si>
  <si>
    <t>ID=COSM3736282;OCCURRENCE=1(skin),8(soft_tissue)</t>
  </si>
  <si>
    <t>9:AURKA:F31I(9)</t>
  </si>
  <si>
    <t>CLINSIG=risk_factor;CLNDN=Colon_cancer,_susceptibility_to;CLNREVSTAT=no_assertion_criteria_provided;CLNDISDB=.;CLNALLELEID=21681</t>
  </si>
  <si>
    <t>http://localhost:60151/goto?locus=chr7:148525904</t>
  </si>
  <si>
    <t>148525904</t>
  </si>
  <si>
    <t>1161</t>
  </si>
  <si>
    <t>676</t>
  </si>
  <si>
    <t>EZH2:NM_152998:exon5:c.436G&gt;C:p.D146H,EZH2:NM_001203247:exon6:c.553G&gt;C:p.D185H,EZH2:NM_001203248:exon6:c.526G&gt;C:p.D176H,EZH2:NM_001203249:exon6:c.526G&gt;C:p.D176H,EZH2:NM_004456:exon6:c.553G&gt;C:p.D185H</t>
  </si>
  <si>
    <t>rs2302427</t>
  </si>
  <si>
    <t>ID=COSM3762470,COSM3762469;OCCURRENCE=1(central_nervous_system),12(haematopoietic_and_lymphoid_tissue),1(large_intestine),1(lung),3(soft_tissue),1(thyroid)</t>
  </si>
  <si>
    <t>4:EZH2:D185H(4)</t>
  </si>
  <si>
    <t>CLINSIG=Benign;CLNDN=Weaver_syndrome|not_specified;CLNREVSTAT=criteria_provided,_multiple_submitters,_no_conflicts;CLNDISDB=MedGen:C0265210,OMIM:277590,SNOMED_CT:63119004|MedGen:CN169374;CLNALLELEID=137963</t>
  </si>
  <si>
    <t>http://localhost:60151/goto?locus=chr8:90990479</t>
  </si>
  <si>
    <t>chr8</t>
  </si>
  <si>
    <t>90990479</t>
  </si>
  <si>
    <t>957</t>
  </si>
  <si>
    <t>NBN:NM_002485:exon5:c.553G&gt;C:p.E185Q,NBN:NM_001024688:exon6:c.307G&gt;C:p.E103Q</t>
  </si>
  <si>
    <t>rs1805794</t>
  </si>
  <si>
    <t>ID=COSM3763443;OCCURRENCE=1(haematopoietic_and_lymphoid_tissue),1(large_intestine),2(lung),1(pancreas),1(thyroid)</t>
  </si>
  <si>
    <t>10:NBN:E185Q(10)</t>
  </si>
  <si>
    <t>CLINSIG=Benign;CLNDN=Hereditary_cancer-predisposing_syndrome|Microcephaly,_normal_intelligence_and_immunodeficiency|not_specified;CLNREVSTAT=criteria_provided,_multiple_submitters,_no_conflicts;CLNDISDB=MedGen:C0027672,SNOMED_CT:699346009|MedGen:C0398791,OMIM:251260,Orphanet:ORPHA647,SNOMED_CT:234638009|MedGen:CN169374;CLNALLELEID=138615</t>
  </si>
  <si>
    <t>http://localhost:60151/goto?locus=chr17:16068340</t>
  </si>
  <si>
    <t>16068340</t>
  </si>
  <si>
    <t>673</t>
  </si>
  <si>
    <t>NCOR1:NM_001190438:exon2:c.244G&gt;A:p.E82K,NCOR1:NM_001190440:exon4:c.571G&gt;A:p.E191K,NCOR1:NM_006311:exon5:c.571G&gt;A:p.E191K</t>
  </si>
  <si>
    <t>rs76780359</t>
  </si>
  <si>
    <t>ID=COSM4129608,COSM4591259,COSM5895138;OCCURRENCE=1(skin),2(thyroid),23(upper_aerodigestive_tract)</t>
  </si>
  <si>
    <t>13:NCOR1:E191K(13)</t>
  </si>
  <si>
    <t>http://localhost:60151/goto?locus=chr13:73349359</t>
  </si>
  <si>
    <t>73349359</t>
  </si>
  <si>
    <t>803</t>
  </si>
  <si>
    <t>672</t>
  </si>
  <si>
    <t>DIS3:NM_001322348:exon5:c.608C&gt;G:p.T203R,DIS3:NM_001128226:exon6:c.887C&gt;G:p.T296R,DIS3:NM_014953:exon6:c.977C&gt;G:p.T326R,DIS3:NM_001322349:exon7:c.491C&gt;G:p.T164R</t>
  </si>
  <si>
    <t>rs7332388</t>
  </si>
  <si>
    <t>ID=COSM6494249;OCCURRENCE=72(haematopoietic_and_lymphoid_tissue)</t>
  </si>
  <si>
    <t>8:DIS3:T326R(8)</t>
  </si>
  <si>
    <t>http://localhost:60151/goto?locus=chr1:16259813</t>
  </si>
  <si>
    <t>16259813</t>
  </si>
  <si>
    <t>667</t>
  </si>
  <si>
    <t>SPEN:NM_015001:exon11:c.7078A&gt;G:p.N2360D</t>
  </si>
  <si>
    <t>rs848210</t>
  </si>
  <si>
    <t>ID=COSM4142938;OCCURRENCE=3(haematopoietic_and_lymphoid_tissue),2(lung),1(thyroid)</t>
  </si>
  <si>
    <t>27:SPEN:N2360D(27)</t>
  </si>
  <si>
    <t>http://localhost:60151/goto?locus=chr2:29416481</t>
  </si>
  <si>
    <t>29416481</t>
  </si>
  <si>
    <t>1201</t>
  </si>
  <si>
    <t>665</t>
  </si>
  <si>
    <t>ALK:NM_004304:exon29:c.4472A&gt;G:p.K1491R</t>
  </si>
  <si>
    <t>rs1881420</t>
  </si>
  <si>
    <t>ID=COSM1130802,COSM5618206;OCCURRENCE=2(breast),1(lung),3(prostate),8(soft_tissue)</t>
  </si>
  <si>
    <t>9:ALK:K1491R(9)</t>
  </si>
  <si>
    <t>CLINSIG=Benign;CLNDN=Hereditary_cancer-predisposing_syndrome|Neuroblastoma_3|not_specified|Neuroblastoma_Susceptibility|not_provided;CLNREVSTAT=criteria_provided,_multiple_submitters,_no_conflicts;CLNDISDB=MedGen:C0027672,SNOMED_CT:699346009|MedGen:C2751681,OMIM:613014|MedGen:CN169374|MedGen:CN239480|MedGen:CN517202;CLNALLELEID=137213</t>
  </si>
  <si>
    <t>http://localhost:60151/goto?locus=chr4:55972974</t>
  </si>
  <si>
    <t>55972974</t>
  </si>
  <si>
    <t>766</t>
  </si>
  <si>
    <t>660</t>
  </si>
  <si>
    <t>KDR:NM_002253:exon11:c.1416A&gt;T:p.Q472H</t>
  </si>
  <si>
    <t>rs1870377</t>
  </si>
  <si>
    <t>ID=COSM149673;OCCURRENCE=1(autonomic_ganglia),2(biliary_tract),1(breast),1(female_genital_tract_(site_indeterminate)),3(haematopoietic_and_lymphoid_tissue),4(large_intestine),2(ovary),1(skin),15(soft_tissue),1(stomach)</t>
  </si>
  <si>
    <t>6:KDR:Q472H(6)</t>
  </si>
  <si>
    <t>CLINSIG=not_provided;CLNDN=not_specified;CLNREVSTAT=no_assertion_provided;CLNDISDB=MedGen:CN169374;CLNALLELEID=138342</t>
  </si>
  <si>
    <t>http://localhost:60151/goto?locus=chr6:117622188</t>
  </si>
  <si>
    <t>117622188</t>
  </si>
  <si>
    <t>849</t>
  </si>
  <si>
    <t>647</t>
  </si>
  <si>
    <t>ROS1:NM_002944:exon42:c.6682A&gt;C:p.K2228Q</t>
  </si>
  <si>
    <t>rs529156</t>
  </si>
  <si>
    <t>ID=COSM150169,COSM3761458,COSM3761459;OCCURRENCE=4(haematopoietic_and_lymphoid_tissue),1(large_intestine),1(lung),10(soft_tissue),1(stomach)</t>
  </si>
  <si>
    <t>5:ROS1:K2228Q(5)</t>
  </si>
  <si>
    <t>http://localhost:60151/goto?locus=chr12:49426460</t>
  </si>
  <si>
    <t>chr12</t>
  </si>
  <si>
    <t>49426460</t>
  </si>
  <si>
    <t>876</t>
  </si>
  <si>
    <t>643</t>
  </si>
  <si>
    <t>KMT2D:NM_003482:exon39:c.12028T&gt;C:p.S4010P</t>
  </si>
  <si>
    <t>rs80132640</t>
  </si>
  <si>
    <t>ID=COSM5020054,COSM5020053;OCCURRENCE=6(haematopoietic_and_lymphoid_tissue),1(soft_tissue)</t>
  </si>
  <si>
    <t>1:KMT2D:S4010P(1)</t>
  </si>
  <si>
    <t>CLINSIG=Benign/Likely_benign;CLNDN=Kabuki_syndrome|not_specified|not_provided;CLNREVSTAT=criteria_provided,_multiple_submitters,_no_conflicts;CLNDISDB=MedGen:C0796004,Orphanet:ORPHA2322,SNOMED_CT:313426007|MedGen:CN169374|MedGen:CN517202;CLNALLELEID=100054</t>
  </si>
  <si>
    <t>http://localhost:60151/goto?locus=chr6:117622184</t>
  </si>
  <si>
    <t>117622184</t>
  </si>
  <si>
    <t>833</t>
  </si>
  <si>
    <t>637</t>
  </si>
  <si>
    <t>ROS1:NM_002944:exon42:c.6686C&gt;G:p.S2229C</t>
  </si>
  <si>
    <t>rs619203</t>
  </si>
  <si>
    <t>ID=COSM3761456,COSM150168,COSM3761457;OCCURRENCE=4(haematopoietic_and_lymphoid_tissue),1(large_intestine),1(lung),10(soft_tissue),1(stomach)</t>
  </si>
  <si>
    <t>5:ROS1:S2229C(5)</t>
  </si>
  <si>
    <t>http://localhost:60151/goto?locus=chr5:56177848</t>
  </si>
  <si>
    <t>56177848</t>
  </si>
  <si>
    <t>TCAA</t>
  </si>
  <si>
    <t>636</t>
  </si>
  <si>
    <t>MAP3K1:NM_005921:exon14:c.2822_2824del:p.941_942del</t>
  </si>
  <si>
    <t>rs10552703</t>
  </si>
  <si>
    <t>ID=COSM4594439,COSM4594440;OCCURRENCE=5(central_nervous_system),1(upper_aerodigestive_tract)</t>
  </si>
  <si>
    <t>CLINSIG=Benign;CLNDN=46,XY_sex_reversal,_type_6|not_specified;CLNREVSTAT=criteria_provided,_multiple_submitters,_no_conflicts;CLNDISDB=MedGen:C3151064,OMIM:613762|MedGen:CN169374;CLNALLELEID=428439</t>
  </si>
  <si>
    <t>http://localhost:60151/goto?locus=chr5:35871190</t>
  </si>
  <si>
    <t>35871190</t>
  </si>
  <si>
    <t>982</t>
  </si>
  <si>
    <t>629</t>
  </si>
  <si>
    <t>IL7R:NM_002185:exon4:c.412G&gt;A:p.V138I</t>
  </si>
  <si>
    <t>rs1494555</t>
  </si>
  <si>
    <t>ID=COSM149814;OCCURRENCE=1(haematopoietic_and_lymphoid_tissue),2(large_intestine),1(pancreas),18(soft_tissue),1(stomach),1(thyroid)</t>
  </si>
  <si>
    <t>16:IL7R:V138I(16)</t>
  </si>
  <si>
    <t>CLINSIG=Benign;CLNDN=Severe_combined_immunodeficiency,_autosomal_recessive,_T_cell-negative,_B_cell-positive,_NK_cell-positive|not_specified|Severe_Combined_Immune_Deficiency;CLNREVSTAT=criteria_provided,_multiple_submitters,_no_conflicts;CLNDISDB=MedGen:C1837028,OMIM:608971|MedGen:CN169374|MedGen:CN239264;CLNALLELEID=29879</t>
  </si>
  <si>
    <t>http://localhost:60151/goto?locus=chr2:234590970</t>
  </si>
  <si>
    <t>234590970</t>
  </si>
  <si>
    <t>949</t>
  </si>
  <si>
    <t>600</t>
  </si>
  <si>
    <t>UGT1A7:NM_019077:exon1:c.387T&gt;G:p.N129K</t>
  </si>
  <si>
    <t>rs17868323</t>
  </si>
  <si>
    <t>ID=COSM3758046;OCCURRENCE=1(breast),1(haematopoietic_and_lymphoid_tissue),1(large_intestine),19(upper_aerodigestive_tract)</t>
  </si>
  <si>
    <t>CLINSIG=Benign;CLNDN=not_specified;CLNREVSTAT=criteria_provided,_single_submitter;CLNDISDB=MedGen:CN169374;CLNALLELEID=434020</t>
  </si>
  <si>
    <t>http://localhost:60151/goto?locus=chr21:42852497</t>
  </si>
  <si>
    <t>chr21</t>
  </si>
  <si>
    <t>42852497</t>
  </si>
  <si>
    <t>847</t>
  </si>
  <si>
    <t>598</t>
  </si>
  <si>
    <t>TMPRSS2:NM_001135099:exon6:c.589G&gt;A:p.V197M,TMPRSS2:NM_005656:exon6:c.478G&gt;A:p.V160M</t>
  </si>
  <si>
    <t>rs12329760</t>
  </si>
  <si>
    <t>ID=COSM3758884,COSM149228,COSM3758885;OCCURRENCE=1(haematopoietic_and_lymphoid_tissue),1(large_intestine),2(lung),21(soft_tissue),1(stomach)</t>
  </si>
  <si>
    <t>8:TMPRSS2:V160M(8)</t>
  </si>
  <si>
    <t>http://localhost:60151/goto?locus=chr5:80149981</t>
  </si>
  <si>
    <t>80149981</t>
  </si>
  <si>
    <t>580</t>
  </si>
  <si>
    <t>596</t>
  </si>
  <si>
    <t>MSH3:NM_002439:exon21:c.2846A&gt;G:p.Q949R</t>
  </si>
  <si>
    <t>rs184967</t>
  </si>
  <si>
    <t>ID=COSM4160036;OCCURRENCE=42(large_intestine),1(liver),1(thyroid)</t>
  </si>
  <si>
    <t>1:MSH3:Q949R(1)</t>
  </si>
  <si>
    <t>http://localhost:60151/goto?locus=chr12:57865321</t>
  </si>
  <si>
    <t>57865321</t>
  </si>
  <si>
    <t>731</t>
  </si>
  <si>
    <t>583</t>
  </si>
  <si>
    <t>GLI1:NM_001160045:exon10:c.2414G&gt;A:p.G805D,GLI1:NM_001167609:exon11:c.2675G&gt;A:p.G892D,GLI1:NM_005269:exon12:c.2798G&gt;A:p.G933D</t>
  </si>
  <si>
    <t>rs2228224</t>
  </si>
  <si>
    <t>ID=COSM3998895;OCCURRENCE=1(breast),76(haematopoietic_and_lymphoid_tissue),1(liver)</t>
  </si>
  <si>
    <t>http://localhost:60151/goto?locus=chr6:152665261</t>
  </si>
  <si>
    <t>152665261</t>
  </si>
  <si>
    <t>1044</t>
  </si>
  <si>
    <t>576</t>
  </si>
  <si>
    <t>SYNE1:NM_033071:exon73:c.11967G&gt;T:p.E3989D,SYNE1:NM_182961:exon74:c.12180G&gt;T:p.E4060D</t>
  </si>
  <si>
    <t>rs4645434</t>
  </si>
  <si>
    <t>ID=COSM1441465,COSM136573,COSM42924,COSM3748318,COSM3748319;OCCURRENCE=1(central_nervous_system),1(haematopoietic_and_lymphoid_tissue),2(large_intestine),1(skin),1(urinary_tract)</t>
  </si>
  <si>
    <t>6:SYNE1:E4060D(6)</t>
  </si>
  <si>
    <t>CLINSIG=Benign;CLNDN=Cerebellar_ataxia|Emery-Dreifuss_muscular_dystrophy|not_specified;CLNREVSTAT=criteria_provided,_multiple_submitters,_no_conflicts;CLNDISDB=Human_Phenotype_Ontology:HP:0001251,MedGen:C0007758,SNOMED_CT:85102008|MedGen:C0410189,Orphanet:ORPHA261,SNOMED_CT:111508004|MedGen:CN169374;CLNALLELEID=135844</t>
  </si>
  <si>
    <t>http://localhost:60151/goto?locus=chr6:161807855</t>
  </si>
  <si>
    <t>161807855</t>
  </si>
  <si>
    <t>795</t>
  </si>
  <si>
    <t>565</t>
  </si>
  <si>
    <t>PRKN:NM_013988:exon7:c.691G&gt;C:p.V231L,PRKN:NM_013987:exon9:c.1054G&gt;C:p.V352L,PRKN:NM_004562:exon10:c.1138G&gt;C:p.V380L</t>
  </si>
  <si>
    <t>rs1801582</t>
  </si>
  <si>
    <t>ID=COSM4985458;OCCURRENCE=6(soft_tissue)</t>
  </si>
  <si>
    <t>6:PRKN:V380L(6)</t>
  </si>
  <si>
    <t>CLINSIG=Benign/Likely_benign;CLNDN=Parkinson_Disease,_Juvenile|Parkinson_disease_2|not_specified;CLNREVSTAT=criteria_provided,_multiple_submitters,_no_conflicts;CLNDISDB=MedGen:C0752105|MedGen:C1868675,OMIM:600116|MedGen:CN169374;CLNALLELEID=49645</t>
  </si>
  <si>
    <t>http://localhost:60151/goto?locus=chr11:108175462</t>
  </si>
  <si>
    <t>108175462</t>
  </si>
  <si>
    <t>564</t>
  </si>
  <si>
    <t>ATM:NM_000051:exon37:c.5557G&gt;A:p.D1853N</t>
  </si>
  <si>
    <t>rs1801516</t>
  </si>
  <si>
    <t>ID=COSM3736031,COSM41596;OCCURRENCE=9(breast),22(haematopoietic_and_lymphoid_tissue),1(large_intestine),1(lung),1(prostate),2(skin),10(soft_tissue)</t>
  </si>
  <si>
    <t>7:ATM:D1853N(7)</t>
  </si>
  <si>
    <t>CLINSIG=Benign/Likely_benign;CLNDN=Ataxia-telangiectasia_syndrome|Hereditary_cancer-predisposing_syndrome|not_specified|not_provided;CLNREVSTAT=criteria_provided,_multiple_submitters,_no_conflicts;CLNDISDB=MedGen:C0004135,OMIM:208900,Orphanet:ORPHA100,SNOMED_CT:68504005|MedGen:C0027672,SNOMED_CT:699346009|MedGen:CN169374|MedGen:CN517202;CLNALLELEID=133907</t>
  </si>
  <si>
    <t>http://localhost:60151/goto?locus=chr5:35861068</t>
  </si>
  <si>
    <t>35861068</t>
  </si>
  <si>
    <t>661</t>
  </si>
  <si>
    <t>549</t>
  </si>
  <si>
    <t>IL7R:NM_002185:exon2:c.197T&gt;C:p.I66T</t>
  </si>
  <si>
    <t>rs1494558</t>
  </si>
  <si>
    <t>ID=COSM149813;OCCURRENCE=1(haematopoietic_and_lymphoid_tissue),2(large_intestine),2(lung),18(soft_tissue),1(stomach),3(urinary_tract)</t>
  </si>
  <si>
    <t>15:IL7R:I66T(15)</t>
  </si>
  <si>
    <t>CLINSIG=Benign;CLNDN=Severe_combined_immunodeficiency,_autosomal_recessive,_T_cell-negative,_B_cell-positive,_NK_cell-positive|not_specified|Severe_Combined_Immune_Deficiency;CLNREVSTAT=criteria_provided,_multiple_submitters,_no_conflicts;CLNDISDB=MedGen:C1837028,OMIM:608971|MedGen:CN169374|MedGen:CN239264;CLNALLELEID=29878</t>
  </si>
  <si>
    <t>http://localhost:60151/goto?locus=chr18:42529996</t>
  </si>
  <si>
    <t>chr18</t>
  </si>
  <si>
    <t>42529996</t>
  </si>
  <si>
    <t>781</t>
  </si>
  <si>
    <t>486</t>
  </si>
  <si>
    <t>SETBP1:NM_015559:exon4:c.691G&gt;C:p.V231L</t>
  </si>
  <si>
    <t>rs11082414</t>
  </si>
  <si>
    <t>ID=COSM6494525;OCCURRENCE=35(haematopoietic_and_lymphoid_tissue)</t>
  </si>
  <si>
    <t>14:SETBP1:V231L(14)</t>
  </si>
  <si>
    <t>CLINSIG=Benign;CLNDN=Schinzel-Giedion_syndrome|not_specified|not_provided;CLNREVSTAT=criteria_provided,_multiple_submitters,_no_conflicts;CLNDISDB=MedGen:C0265227,OMIM:269150,SNOMED_CT:18899000|MedGen:CN169374|MedGen:CN517202;CLNALLELEID=169420</t>
  </si>
  <si>
    <t>http://localhost:60151/goto?locus=chr12:57865821</t>
  </si>
  <si>
    <t>57865821</t>
  </si>
  <si>
    <t>710</t>
  </si>
  <si>
    <t>462</t>
  </si>
  <si>
    <t>GLI1:NM_001160045:exon10:c.2914G&gt;C:p.E972Q,GLI1:NM_001167609:exon11:c.3175G&gt;C:p.E1059Q,GLI1:NM_005269:exon12:c.3298G&gt;C:p.E1100Q</t>
  </si>
  <si>
    <t>rs2228226</t>
  </si>
  <si>
    <t>ID=COSM3998896;OCCURRENCE=86(haematopoietic_and_lymphoid_tissue)</t>
  </si>
  <si>
    <t>1:GLI1:E1100Q(1)</t>
  </si>
  <si>
    <t>http://localhost:60151/goto?locus=chr11:108183167</t>
  </si>
  <si>
    <t>108183167</t>
  </si>
  <si>
    <t>688</t>
  </si>
  <si>
    <t>436</t>
  </si>
  <si>
    <t>ATM:NM_000051:exon40:c.5948A&gt;G:p.N1983S</t>
  </si>
  <si>
    <t>rs659243</t>
  </si>
  <si>
    <t>ID=COSM4590263,COSM4590264;OCCURRENCE=97(haematopoietic_and_lymphoid_tissue),23(upper_aerodigestive_tract)</t>
  </si>
  <si>
    <t>14:ATM:N1983S(14)</t>
  </si>
  <si>
    <t>CLINSIG=Benign;CLNDN=not_specified;CLNREVSTAT=criteria_provided,_single_submitter;CLNDISDB=MedGen:CN169374;CLNALLELEID=137366</t>
  </si>
  <si>
    <t>http://localhost:60151/goto?locus=chr16:89849480</t>
  </si>
  <si>
    <t>89849480</t>
  </si>
  <si>
    <t>519</t>
  </si>
  <si>
    <t>388</t>
  </si>
  <si>
    <t>FANCA:NM_000135:exon16:c.1501G&gt;A:p.G501S,FANCA:NM_001286167:exon16:c.1501G&gt;A:p.G501S</t>
  </si>
  <si>
    <t>rs2239359</t>
  </si>
  <si>
    <t>ID=COSM4984954;OCCURRENCE=1(kidney),11(soft_tissue)</t>
  </si>
  <si>
    <t>9:FANCA:G501S(9)</t>
  </si>
  <si>
    <t>CLINSIG=Benign;CLNDN=Fanconi_anemia|not_specified;CLNREVSTAT=criteria_provided,_multiple_submitters,_no_conflicts;CLNDISDB=MedGen:C0015625,Orphanet:ORPHA84,SNOMED_CT:30575002|MedGen:CN169374;CLNALLELEID=137983</t>
  </si>
  <si>
    <t>http://localhost:60151/goto?locus=chr12:6711147</t>
  </si>
  <si>
    <t>6711147</t>
  </si>
  <si>
    <t>376</t>
  </si>
  <si>
    <t>CHD4:NM_001297553:exon3:c.396G&gt;T:p.E132D,CHD4:NM_001273:exon4:c.417G&gt;T:p.E139D</t>
  </si>
  <si>
    <t>rs1639122</t>
  </si>
  <si>
    <t>ID=COSM1363775,COSM1363776,COSM1363777;OCCURRENCE=4(haematopoietic_and_lymphoid_tissue),2(large_intestine),1(lung),1(pancreas),2(prostate),1(skin),16(soft_tissue)</t>
  </si>
  <si>
    <t>2:CHD4:E139D(2)</t>
  </si>
  <si>
    <t>http://localhost:60151/goto?locus=chr8:48805816</t>
  </si>
  <si>
    <t>48805816</t>
  </si>
  <si>
    <t>623</t>
  </si>
  <si>
    <t>372</t>
  </si>
  <si>
    <t>unknown</t>
  </si>
  <si>
    <t>UNKNOWN</t>
  </si>
  <si>
    <t>rs11411516</t>
  </si>
  <si>
    <t>ID=COSM5022161,COSM5022162;OCCURRENCE=1(bone),6(central_nervous_system)</t>
  </si>
  <si>
    <t>http://localhost:60151/goto?locus=chrX:44929077</t>
  </si>
  <si>
    <t>44929077</t>
  </si>
  <si>
    <t>412</t>
  </si>
  <si>
    <t>354</t>
  </si>
  <si>
    <t>KDM6A:NM_001291418:exon15:c.1940C&gt;A:p.T647K,KDM6A:NM_001291421:exon15:c.1289C&gt;A:p.T430K,KDM6A:NM_001291417:exon16:c.2042C&gt;A:p.T681K,KDM6A:NM_001291416:exon17:c.2198C&gt;A:p.T733K,KDM6A:NM_021140:exon17:c.2177C&gt;A:p.T726K,KDM6A:NM_001291415:exon18:c.2333C&gt;A:p.T778K</t>
  </si>
  <si>
    <t>rs2230018</t>
  </si>
  <si>
    <t>ID=COSM3759498,COSM3759497,COSM3759496;OCCURRENCE=16(haematopoietic_and_lymphoid_tissue),1(large_intestine),4(lung),1(skin),3(soft_tissue)</t>
  </si>
  <si>
    <t>5:KDM6A:T726K(5)</t>
  </si>
  <si>
    <t>CLINSIG=Benign;CLNDN=not_specified;CLNREVSTAT=criteria_provided,_multiple_submitters,_no_conflicts;CLNDISDB=MedGen:CN169374;CLNALLELEID=138336</t>
  </si>
  <si>
    <t>http://localhost:60151/goto?locus=chr17:7579472</t>
  </si>
  <si>
    <t>7579472</t>
  </si>
  <si>
    <t>497</t>
  </si>
  <si>
    <t>352</t>
  </si>
  <si>
    <t>TP53:NM_001126118:exon3:c.98C&gt;G:p.P33R,TP53:NM_000546:exon4:c.215C&gt;G:p.P72R,TP53:NM_001126112:exon4:c.215C&gt;G:p.P72R,TP53:NM_001126113:exon4:c.215C&gt;G:p.P72R,TP53:NM_001126114:exon4:c.215C&gt;G:p.P72R,TP53:NM_001276695:exon4:c.98C&gt;G:p.P33R,TP53:NM_001276696:exon4:c.98C&gt;G:p.P33R,TP53:NM_001276760:exon4:c.98C&gt;G:p.P33R,TP53:NM_001276761:exon4:c.98C&gt;G:p.P33R</t>
  </si>
  <si>
    <t>rs1042522</t>
  </si>
  <si>
    <t>ID=COSM3766193,COSM3766190,COSM3766192,COSM250061,COSM3766191;OCCURRENCE=2(biliary_tract),1(central_nervous_system),85(haematopoietic_and_lymphoid_tissue),37(large_intestine),2(liver),2(lung),3(pancreas),1(pleura),1(prostate),1(skin),20(soft_tissue),1(stomach),2(thyroid),3(upper_aerodigestive_tract),1(urinary_tract)</t>
  </si>
  <si>
    <t>33:TP53:P72R(33)</t>
  </si>
  <si>
    <t>CLINSIG=drug_response;CLNDN=CODON_72_POLYMORPHISM|Li-Fraumeni_syndrome_1|Hereditary_cancer-predisposing_syndrome|Li-Fraumeni_syndrome|not_specified|antineoplastic_agents_response_-_Efficacy,_Toxicity/ADR|cisplatin_response_-_Efficacy,_Toxicity/ADR|cyclophosphamide_response_-_Efficacy,_Toxicity/ADR|fluorouracil_response_-_Efficacy,_Toxicity/ADR|paclitaxel_response_-_Efficacy,_Toxicity/ADR|not_provided;CLNREVSTAT=reviewed_by_expert_panel;CLNDISDB=.|Gene:553989,MedGen:C1835398,OMIM:151623|MedGen:C0027672,SNOMED_CT:699346009|MedGen:C0085390,Orphanet:ORPHA524,SNOMED_CT:428850001|MedGen:CN169374|MedGen:CN236462|MedGen:CN236501|MedGen:CN236518|MedGen:CN236554|MedGen:CN236572|MedGen:CN517202;CLNALLELEID=27390</t>
  </si>
  <si>
    <t>http://localhost:60151/goto?locus=chr13:80911525</t>
  </si>
  <si>
    <t>80911525</t>
  </si>
  <si>
    <t>484</t>
  </si>
  <si>
    <t>339</t>
  </si>
  <si>
    <t>SPRY2:NM_001318536:exon2:c.316C&gt;T:p.P106S,SPRY2:NM_001318537:exon2:c.316C&gt;T:p.P106S,SPRY2:NM_001318538:exon2:c.316C&gt;T:p.P106S,SPRY2:NM_005842:exon2:c.316C&gt;T:p.P106S</t>
  </si>
  <si>
    <t>rs504122</t>
  </si>
  <si>
    <t>ID=COSM3753753;OCCURRENCE=3(haematopoietic_and_lymphoid_tissue),1(large_intestine),1(pancreas),1(thyroid),2(urinary_tract)</t>
  </si>
  <si>
    <t>9:SPRY2:P106S(9)</t>
  </si>
  <si>
    <t>http://localhost:60151/goto?locus=chr6:36645696</t>
  </si>
  <si>
    <t>36645696</t>
  </si>
  <si>
    <t>327</t>
  </si>
  <si>
    <t>CDKN1A:NM_001291549:exon2:c.83A&gt;G:p.D28G</t>
  </si>
  <si>
    <t>rs2395655</t>
  </si>
  <si>
    <t>ID=COSM5480661;OCCURRENCE=1(breast),10(central_nervous_system),1(large_intestine)</t>
  </si>
  <si>
    <t>http://localhost:60151/goto?locus=chr2:141625828</t>
  </si>
  <si>
    <t>141625828</t>
  </si>
  <si>
    <t>418</t>
  </si>
  <si>
    <t>LRP1B:NM_018557:exon26:c.4174C&gt;T:p.L1392F</t>
  </si>
  <si>
    <t>rs200955532</t>
  </si>
  <si>
    <t>ID=COSM3798012;OCCURRENCE=1(NS),6(central_nervous_system),2(haematopoietic_and_lymphoid_tissue),1(large_intestine),1(oesophagus),5(thyroid),22(upper_aerodigestive_tract)</t>
  </si>
  <si>
    <t>5:LRP1B:L1392F(5)</t>
  </si>
  <si>
    <t>http://localhost:60151/goto?locus=chr19:36224705</t>
  </si>
  <si>
    <t>36224705</t>
  </si>
  <si>
    <t>441</t>
  </si>
  <si>
    <t>310</t>
  </si>
  <si>
    <t>KMT2B:NM_014727:exon30:c.7091A&gt;G:p.D2364G</t>
  </si>
  <si>
    <t>rs231591</t>
  </si>
  <si>
    <t>ID=COSM6848096,COSM3756677;OCCURRENCE=1(haematopoietic_and_lymphoid_tissue),1(large_intestine),1(lung),1(pancreas),1(pleura),1(thyroid)</t>
  </si>
  <si>
    <t>3:KMT2B:D2364G(3)</t>
  </si>
  <si>
    <t>TTGCTGCTGC</t>
  </si>
  <si>
    <t>579</t>
  </si>
  <si>
    <t>270</t>
  </si>
  <si>
    <t>MAML2:NM_032427:exon2:c.1812_1820del:p.604_607del</t>
  </si>
  <si>
    <t>rs141671766</t>
  </si>
  <si>
    <t>ID=COSM4169244;OCCURRENCE=2(biliary_tract),1(genital_tract),2(haematopoietic_and_lymphoid_tissue),10(large_intestine),1(liver),1(lung),1(ovary),2(stomach),22(upper_aerodigestive_tract)</t>
  </si>
  <si>
    <t>4:MAML2:Q619_Q621del(4)</t>
  </si>
  <si>
    <t>http://localhost:60151/goto?locus=chr7:55229255</t>
  </si>
  <si>
    <t>55229255</t>
  </si>
  <si>
    <t>461</t>
  </si>
  <si>
    <t>253</t>
  </si>
  <si>
    <t>EGFR:NM_001346941:exon7:c.761G&gt;A:p.R254K,EGFR:NM_001346897:exon12:c.1427G&gt;A:p.R476K,EGFR:NM_001346899:exon12:c.1427G&gt;A:p.R476K,EGFR:NM_001346898:exon13:c.1562G&gt;A:p.R521K,EGFR:NM_001346900:exon13:c.1403G&gt;A:p.R468K,EGFR:NM_005228:exon13:c.1562G&gt;A:p.R521K,EGFR:NM_201282:exon13:c.1562G&gt;A:p.R521K,EGFR:NM_201284:exon13:c.1562G&gt;A:p.R521K</t>
  </si>
  <si>
    <t>rs2227983</t>
  </si>
  <si>
    <t>ID=COSM3721609,COSM5830713,COSM5830712,COSM3721608;OCCURRENCE=1(autonomic_ganglia),2(central_nervous_system),1(haematopoietic_and_lymphoid_tissue),1(large_intestine),8(lung),1(pleura),1(thyroid),1(upper_aerodigestive_tract)</t>
  </si>
  <si>
    <t>21:EGFR:R521K(21)</t>
  </si>
  <si>
    <t>CLINSIG=Benign/Likely_benign;CLNDN=Lung_cancer|not_specified;CLNREVSTAT=criteria_provided,_multiple_submitters,_no_conflicts;CLNDISDB=MedGen:C0684249,OMIM:211980,SNOMED_CT:187875007|MedGen:CN169374;CLNALLELEID=137760</t>
  </si>
  <si>
    <t>http://localhost:60151/goto?locus=chr10:43610119</t>
  </si>
  <si>
    <t>43610119</t>
  </si>
  <si>
    <t>301</t>
  </si>
  <si>
    <t>243</t>
  </si>
  <si>
    <t>RET:NM_020630:exon11:c.2071G&gt;A:p.G691S,RET:NM_020975:exon11:c.2071G&gt;A:p.G691S</t>
  </si>
  <si>
    <t>rs1799939</t>
  </si>
  <si>
    <t>ID=COSM1666597,COSM1666596;OCCURRENCE=1(adrenal_gland),1(breast),35(haematopoietic_and_lymphoid_tissue),1(large_intestine),2(lung),7(soft_tissue)</t>
  </si>
  <si>
    <t>13:RET:G691S(13)</t>
  </si>
  <si>
    <t>CLINSIG=Conflicting_interpretations_of_pathogenicity;CLNDN=Pheochromocytoma|Multiple_endocrine_neoplasia,_type_2a|Multiple_endocrine_neoplasia|Hereditary_cancer-predisposing_syndrome|Renal_adysplasia|not_specified|Hirschsprung_Disease,_Dominant|not_provided;CLNREVSTAT=criteria_provided,_conflicting_interpretations;CLNDISDB=Human_Phenotype_Ontology:HP:0002666,MedGen:C0031511,OMIM:171300|MeSH:D018813,MedGen:C0025268,OMIM:171400,Orphanet:ORPHA247698,SNOMED_CT:61808009|MedGen:C0027662,SNOMED_CT:46724008|MedGen:C0027672,SNOMED_CT:699346009|MedGen:C1619700,OMIM:191830|MedGen:CN169374|MedGen:CN239304|MedGen:CN517202;CLNALLELEID=36275</t>
  </si>
  <si>
    <t>http://localhost:60151/goto?locus=chr12:49448463</t>
  </si>
  <si>
    <t>49448463</t>
  </si>
  <si>
    <t>236</t>
  </si>
  <si>
    <t>KMT2D:NM_003482:exon3:c.248G&gt;A:p.R83Q</t>
  </si>
  <si>
    <t>rs55865069</t>
  </si>
  <si>
    <t>ID=COSM3773644,COSM3773643;OCCURRENCE=6(haematopoietic_and_lymphoid_tissue),1(kidney),1(soft_tissue)</t>
  </si>
  <si>
    <t>2:KMT2D:R83Q(2)</t>
  </si>
  <si>
    <t>CLINSIG=Benign/Likely_benign;CLNDN=Kabuki_syndrome|not_specified;CLNREVSTAT=criteria_provided,_multiple_submitters,_no_conflicts;CLNDISDB=MedGen:C0796004,Orphanet:ORPHA2322,SNOMED_CT:313426007|MedGen:CN169374;CLNALLELEID=100103</t>
  </si>
  <si>
    <t>http://localhost:60151/goto?locus=chr19:41743861</t>
  </si>
  <si>
    <t>41743861</t>
  </si>
  <si>
    <t>219</t>
  </si>
  <si>
    <t>AXL:NM_001699:exon7:c.796A&gt;G:p.N266D,AXL:NM_021913:exon7:c.796A&gt;G:p.N266D</t>
  </si>
  <si>
    <t>rs7249222</t>
  </si>
  <si>
    <t>ID=COSM4590532,COSM4590533;OCCURRENCE=23(upper_aerodigestive_tract)</t>
  </si>
  <si>
    <t>14:AXL:N266D(14)</t>
  </si>
  <si>
    <t>http://localhost:60151/goto?locus=chr6:41903782</t>
  </si>
  <si>
    <t>41903782</t>
  </si>
  <si>
    <t>216</t>
  </si>
  <si>
    <t>CCND3:NM_001136125:exon4:c.559T&gt;G:p.S187A,CCND3:NM_001136126:exon4:c.187T&gt;G:p.S63A,CCND3:NM_001136017:exon5:c.532T&gt;G:p.S178A,CCND3:NM_001287427:exon5:c.625T&gt;G:p.S209A,CCND3:NM_001287434:exon5:c.187T&gt;G:p.S63A,CCND3:NM_001760:exon5:c.775T&gt;G:p.S259A</t>
  </si>
  <si>
    <t>rs1051130</t>
  </si>
  <si>
    <t>ID=COSM451455;OCCURRENCE=1(biliary_tract),1(breast),85(haematopoietic_and_lymphoid_tissue),1(pancreas),20(soft_tissue),1(thyroid),2(urinary_tract)</t>
  </si>
  <si>
    <t>25:CCND3:S259A(25)</t>
  </si>
  <si>
    <t>http://localhost:60151/goto?locus=chr9:98211572</t>
  </si>
  <si>
    <t>98211572</t>
  </si>
  <si>
    <t>394</t>
  </si>
  <si>
    <t>195</t>
  </si>
  <si>
    <t>PTCH1:NM_000264:exon22:c.3583A&gt;T:p.T1195S,PTCH1:NM_001083602:exon22:c.3385A&gt;T:p.T1129S,PTCH1:NM_001083603:exon22:c.3580A&gt;T:p.T1194S,PTCH1:NM_001083604:exon22:c.3130A&gt;T:p.T1044S,PTCH1:NM_001083605:exon22:c.3130A&gt;T:p.T1044S,PTCH1:NM_001083606:exon22:c.3130A&gt;T:p.T1044S,PTCH1:NM_001083607:exon22:c.3130A&gt;T:p.T1044S</t>
  </si>
  <si>
    <t>rs2236405</t>
  </si>
  <si>
    <t>ID=COSM1463813,COSM1463814,COSM17511,COSM1463812;OCCURRENCE=1(large_intestine),2(liver),1(lung),4(oesophagus),1(skin)</t>
  </si>
  <si>
    <t>2:PTCH1:T1195S(2)</t>
  </si>
  <si>
    <t>CLINSIG=Benign/Likely_benign;CLNDN=Holoprosencephaly_sequence|Gorlin_syndrome|Hereditary_cancer-predisposing_syndrome|not_specified|not_provided;CLNREVSTAT=criteria_provided,_multiple_submitters,_no_conflicts;CLNDISDB=Human_Phenotype_Ontology:HP:0001360,MedGen:C0079541,Orphanet:ORPHA2162,SNOMED_CT:30915001|MedGen:C0004779,OMIM:109400,Orphanet:ORPHA377,SNOMED_CT:69408002|MedGen:C0027672,SNOMED_CT:699346009|MedGen:CN169374|MedGen:CN517202;CLNALLELEID=138839</t>
  </si>
  <si>
    <t>http://localhost:60151/goto?locus=chr11:64572018</t>
  </si>
  <si>
    <t>64572018</t>
  </si>
  <si>
    <t>263</t>
  </si>
  <si>
    <t>191</t>
  </si>
  <si>
    <t>MEN1:NM_000244:exon10:c.1636A&gt;G:p.T546A,MEN1:NM_130799:exon10:c.1621A&gt;G:p.T541A,MEN1:NM_130800:exon10:c.1636A&gt;G:p.T546A,MEN1:NM_130801:exon10:c.1636A&gt;G:p.T546A,MEN1:NM_130802:exon10:c.1636A&gt;G:p.T546A,MEN1:NM_130803:exon10:c.1636A&gt;G:p.T546A,MEN1:NM_130804:exon11:c.1636A&gt;G:p.T546A</t>
  </si>
  <si>
    <t>rs2959656</t>
  </si>
  <si>
    <t>ID=COSM255213;OCCURRENCE=1(haematopoietic_and_lymphoid_tissue),1(lung),22(soft_tissue)</t>
  </si>
  <si>
    <t>14:MEN1:T546A(14)</t>
  </si>
  <si>
    <t>CLINSIG=Benign;CLNDN=not_specified;CLNREVSTAT=criteria_provided,_multiple_submitters,_no_conflicts;CLNDISDB=MedGen:CN169374;CLNALLELEID=138379</t>
  </si>
  <si>
    <t>http://localhost:60151/goto?locus=chr12:121435427</t>
  </si>
  <si>
    <t>121435427</t>
  </si>
  <si>
    <t>284</t>
  </si>
  <si>
    <t>HNF1A:NM_000545:exon7:c.1460G&gt;A:p.S487N,HNF1A:NM_001306179:exon7:c.1460G&gt;A:p.S487N</t>
  </si>
  <si>
    <t>rs2464196</t>
  </si>
  <si>
    <t>ID=COSM4984989;OCCURRENCE=1(large_intestine),16(liver),11(soft_tissue),1(thymus)</t>
  </si>
  <si>
    <t>9:HNF1A:S487N(9)</t>
  </si>
  <si>
    <t>CLINSIG=Benign;CLNDN=Maturity_onset_diabetes_mellitus_in_young|not_specified|not_provided;CLNREVSTAT=criteria_provided,_multiple_submitters,_no_conflicts;CLNDISDB=Human_Phenotype_Ontology:HP:0004904,MedGen:C0342276,OMIM:606391,Orphanet:ORPHA552,SNOMED_CT:28453007|MedGen:CN169374|MedGen:CN517202;CLNALLELEID=134676</t>
  </si>
  <si>
    <t>http://localhost:60151/goto?locus=chr16:89836323</t>
  </si>
  <si>
    <t>89836323</t>
  </si>
  <si>
    <t>276</t>
  </si>
  <si>
    <t>186</t>
  </si>
  <si>
    <t>FANCA:NM_000135:exon26:c.2426G&gt;A:p.G809D,FANCA:NM_001286167:exon26:c.2426G&gt;A:p.G809D</t>
  </si>
  <si>
    <t>rs7195066</t>
  </si>
  <si>
    <t>ID=COSM435949;OCCURRENCE=1(large_intestine),10(soft_tissue)</t>
  </si>
  <si>
    <t>11:FANCA:G809D(11)</t>
  </si>
  <si>
    <t>CLINSIG=Benign;CLNDN=Fanconi_anemia|not_specified;CLNREVSTAT=criteria_provided,_multiple_submitters,_no_conflicts;CLNDISDB=MedGen:C0015625,Orphanet:ORPHA84,SNOMED_CT:30575002|MedGen:CN169374;CLNALLELEID=137993</t>
  </si>
  <si>
    <t>http://localhost:60151/goto?locus=chrX:153629155</t>
  </si>
  <si>
    <t>153629155</t>
  </si>
  <si>
    <t>227</t>
  </si>
  <si>
    <t>179</t>
  </si>
  <si>
    <t>RPL10:NM_001256577:exon6:c.442A&gt;G:p.I148V,RPL10:NM_001256580:exon6:c.497A&gt;G:p.N166S,RPL10:NM_001303624:exon6:c.605A&gt;G:p.N202S,RPL10:NM_001303625:exon7:c.605A&gt;G:p.N202S,RPL10:NM_006013:exon7:c.605A&gt;G:p.N202S</t>
  </si>
  <si>
    <t>rs12012747</t>
  </si>
  <si>
    <t>ID=COSM4590446;OCCURRENCE=1(kidney),1(pancreas),19(upper_aerodigestive_tract)</t>
  </si>
  <si>
    <t>13:RPL10:N202S(13)</t>
  </si>
  <si>
    <t>CLINSIG=Benign;CLNDN=History_of_neurodevelopmental_disorder|not_specified;CLNREVSTAT=criteria_provided,_multiple_submitters,_no_conflicts;CLNDISDB=MedGen:C2711754|MedGen:CN169374;CLNALLELEID=101226</t>
  </si>
  <si>
    <t>http://localhost:60151/goto?locus=chr12:121416650</t>
  </si>
  <si>
    <t>121416650</t>
  </si>
  <si>
    <t>209</t>
  </si>
  <si>
    <t>178</t>
  </si>
  <si>
    <t>HNF1A:NM_000545:exon1:c.79A&gt;C:p.I27L,HNF1A:NM_001306179:exon1:c.79A&gt;C:p.I27L</t>
  </si>
  <si>
    <t>rs1169288</t>
  </si>
  <si>
    <t>ID=COSM430522;OCCURRENCE=1(large_intestine),9(liver),4(prostate),10(soft_tissue),1(urinary_tract)</t>
  </si>
  <si>
    <t>8:HNF1A:I27L(8)</t>
  </si>
  <si>
    <t>CLINSIG=Benign;CLNDN=SERUM_HDL_CHOLESTEROL_LEVEL,_MODIFIER_OF|Maturity_onset_diabetes_mellitus_in_young|Insulin_resistance,_susceptibility_to|not_specified|not_provided;CLNREVSTAT=criteria_provided,_multiple_submitters,_no_conflicts;CLNDISDB=.|Human_Phenotype_Ontology:HP:0004904,MedGen:C0342276,OMIM:606391,Orphanet:ORPHA552,SNOMED_CT:28453007|MedGen:C1852091|MedGen:CN169374|MedGen:CN517202;CLNALLELEID=29976</t>
  </si>
  <si>
    <t>http://localhost:60151/goto?locus=chr5:176520243</t>
  </si>
  <si>
    <t>176520243</t>
  </si>
  <si>
    <t>205</t>
  </si>
  <si>
    <t>FGFR4:NM_002011:exon9:c.1162G&gt;A:p.G388R,FGFR4:NM_213647:exon9:c.1162G&gt;A:p.G388R</t>
  </si>
  <si>
    <t>rs351855</t>
  </si>
  <si>
    <t>ID=COSM1567768;OCCURRENCE=1(breast),1(large_intestine),1(liver),2(lung),16(soft_tissue),2(thyroid)</t>
  </si>
  <si>
    <t>7:FGFR4:G388R(7)</t>
  </si>
  <si>
    <t>CLINSIG=Pathogenic;CLNDN=Cancer_progression_and_tumor_cell_motility;CLNREVSTAT=no_assertion_criteria_provided;CLNDISDB=MedGen:C4016099;CLNALLELEID=31365</t>
  </si>
  <si>
    <t>http://localhost:60151/goto?locus=chr6:160448324</t>
  </si>
  <si>
    <t>160448324</t>
  </si>
  <si>
    <t>309</t>
  </si>
  <si>
    <t>167</t>
  </si>
  <si>
    <t>IGF2R:NM_000876:exon6:c.754C&gt;G:p.L252V</t>
  </si>
  <si>
    <t>rs8191754</t>
  </si>
  <si>
    <t>ID=COSM4986182;OCCURRENCE=1(biliary_tract),1(lung),6(soft_tissue)</t>
  </si>
  <si>
    <t>1:IGF2R:L252V(1)</t>
  </si>
  <si>
    <t>http://localhost:60151/goto?locus=chrX:129147079</t>
  </si>
  <si>
    <t>129147079</t>
  </si>
  <si>
    <t>183</t>
  </si>
  <si>
    <t>156</t>
  </si>
  <si>
    <t>BCORL1:NM_001184772:exon3:c.331T&gt;C:p.F111L,BCORL1:NM_021946:exon3:c.331T&gt;C:p.F111L</t>
  </si>
  <si>
    <t>rs4830173</t>
  </si>
  <si>
    <t>ID=COSM4591817,COSM4591818;OCCURRENCE=97(haematopoietic_and_lymphoid_tissue),23(upper_aerodigestive_tract)</t>
  </si>
  <si>
    <t>14:BCORL1:F111L(14)</t>
  </si>
  <si>
    <t>http://localhost:60151/goto?locus=chr6:36651971</t>
  </si>
  <si>
    <t>36651971</t>
  </si>
  <si>
    <t>193</t>
  </si>
  <si>
    <t>148</t>
  </si>
  <si>
    <t>CDKN1A:NM_000389:exon2:c.93C&gt;A:p.S31R,CDKN1A:NM_001220777:exon2:c.93C&gt;A:p.S31R,CDKN1A:NM_001220778:exon2:c.93C&gt;A:p.S31R,CDKN1A:NM_001291549:exon3:c.195C&gt;A:p.S65R,CDKN1A:NM_078467:exon3:c.93C&gt;A:p.S31R</t>
  </si>
  <si>
    <t>rs1801270</t>
  </si>
  <si>
    <t>ID=COSM3762018,COSM3762017;OCCURRENCE=1(breast),1(large_intestine),1(liver),1(lung),5(soft_tissue),1(thyroid)</t>
  </si>
  <si>
    <t>7:CDKN1A:S31R(7)</t>
  </si>
  <si>
    <t>CLINSIG=Benign;CLNDN=CIP1/WAF1_TUMOR-ASSOCIATED_POLYMORPHISM_1;CLNREVSTAT=no_assertion_criteria_provided;CLNDISDB=.;CLNALLELEID=32604</t>
  </si>
  <si>
    <t>http://localhost:60151/goto?locus=chr12:53682457</t>
  </si>
  <si>
    <t>53682457</t>
  </si>
  <si>
    <t>147</t>
  </si>
  <si>
    <t>ESPL1:NM_012291:exon20:c.4682G&gt;A:p.R1561Q</t>
  </si>
  <si>
    <t>rs56358776</t>
  </si>
  <si>
    <t>ID=COSM3998854;OCCURRENCE=1(haematopoietic_and_lymphoid_tissue),1(large_intestine),3(lung),2(thyroid),1(urinary_tract)</t>
  </si>
  <si>
    <t>http://localhost:60151/goto?locus=chr17:56448297</t>
  </si>
  <si>
    <t>56448297</t>
  </si>
  <si>
    <t>145</t>
  </si>
  <si>
    <t>RNF43:NM_001305544:exon3:c.350G&gt;A:p.R117H,RNF43:NM_017763:exon3:c.350G&gt;A:p.R117H</t>
  </si>
  <si>
    <t>rs2257205</t>
  </si>
  <si>
    <t>ID=COSM3755721;OCCURRENCE=1(large_intestine),1(lung),5(soft_tissue)</t>
  </si>
  <si>
    <t>11:RNF43:R117H(11)</t>
  </si>
  <si>
    <t>http://localhost:60151/goto?locus=chr19:2226676</t>
  </si>
  <si>
    <t>2226676</t>
  </si>
  <si>
    <t>157</t>
  </si>
  <si>
    <t>138</t>
  </si>
  <si>
    <t>DOT1L:NM_032482:exon27:c.4156G&gt;A:p.G1386S</t>
  </si>
  <si>
    <t>rs3815308</t>
  </si>
  <si>
    <t>ID=COSM3749492,COSM3749491;OCCURRENCE=1(haematopoietic_and_lymphoid_tissue),14(large_intestine),1(lung),1(salivary_gland),1(skin),1(thyroid)</t>
  </si>
  <si>
    <t>10:DOT1L:G1386S(10)</t>
  </si>
  <si>
    <t>http://localhost:60151/goto?locus=chr7:101917521</t>
  </si>
  <si>
    <t>101917521</t>
  </si>
  <si>
    <t>169</t>
  </si>
  <si>
    <t>127</t>
  </si>
  <si>
    <t>CUX1:NM_001202544:exon15:c.1342G&gt;A:p.A448T,CUX1:NM_001202545:exon15:c.1252G&gt;A:p.A418T,CUX1:NM_001202546:exon15:c.1273G&gt;A:p.A425T,CUX1:NM_001913:exon16:c.1390G&gt;A:p.A464T,CUX1:NM_181500:exon16:c.1384G&gt;A:p.A462T</t>
  </si>
  <si>
    <t>rs803064</t>
  </si>
  <si>
    <t>ID=COSM1755000;OCCURRENCE=69(haematopoietic_and_lymphoid_tissue),1(large_intestine),2(urinary_tract)</t>
  </si>
  <si>
    <t>1:CUX1:A464T(1)</t>
  </si>
  <si>
    <t>http://localhost:60151/goto?locus=chr19:45854919</t>
  </si>
  <si>
    <t>45854919</t>
  </si>
  <si>
    <t>109</t>
  </si>
  <si>
    <t>ERCC2:NM_000400:exon23:c.2251A&gt;C:p.K751Q</t>
  </si>
  <si>
    <t>rs13181</t>
  </si>
  <si>
    <t>ID=COSM4132125;OCCURRENCE=45(haematopoietic_and_lymphoid_tissue),1(skin),14(soft_tissue),1(thyroid)</t>
  </si>
  <si>
    <t>12:ERCC2:K751Q(12)</t>
  </si>
  <si>
    <t>CLINSIG=Benign;CLNDN=Osteosarcoma|Non-small_cell_lung_cancer|Xeroderma_pigmentosum|not_specified;CLNREVSTAT=criteria_provided,_multiple_submitters,_no_conflicts;CLNDISDB=Human_Phenotype_Ontology:HP:0002669,MeSH:D012516,MedGen:C0029463,OMIM:259500,Orphanet:ORPHA668,SNOMED_CT:21708004|Human_Phenotype_Ontology:HP:0030358,MeSH:D002289,MedGen:C0007131,SNOMED_CT:254637007|MedGen:C0043346,Orphanet:ORPHA910,SNOMED_CT:44600005|MedGen:CN169374;CLNALLELEID=137844</t>
  </si>
  <si>
    <t>http://localhost:60151/goto?locus=chr5:180046344</t>
  </si>
  <si>
    <t>180046344</t>
  </si>
  <si>
    <t>123</t>
  </si>
  <si>
    <t>104</t>
  </si>
  <si>
    <t>FLT4:NM_002020:exon19:c.2670C&gt;G:p.H890Q,FLT4:NM_182925:exon19:c.2670C&gt;G:p.H890Q</t>
  </si>
  <si>
    <t>rs448012</t>
  </si>
  <si>
    <t>ID=COSM1486680,COSM449470;OCCURRENCE=1(large_intestine),3(lung),1(thyroid),1(urinary_tract)</t>
  </si>
  <si>
    <t>14:FLT4:H890Q(14)</t>
  </si>
  <si>
    <t>CLINSIG=Benign;CLNDN=not_specified;CLNREVSTAT=criteria_provided,_multiple_submitters,_no_conflicts;CLNDISDB=MedGen:CN169374;CLNALLELEID=251898</t>
  </si>
  <si>
    <t>http://localhost:60151/goto?locus=chr5:79950781</t>
  </si>
  <si>
    <t>79950781</t>
  </si>
  <si>
    <t>63</t>
  </si>
  <si>
    <t>MSH3:NM_002439:exon1:c.235A&gt;G:p.I79V</t>
  </si>
  <si>
    <t>rs1650697</t>
  </si>
  <si>
    <t>ID=COSM4160035;OCCURRENCE=2(large_intestine),1(thyroid),18(upper_aerodigestive_tract)</t>
  </si>
  <si>
    <t>2:MSH3:I79V(2)</t>
  </si>
  <si>
    <t>CLINSIG=Benign;CLNDN=not_specified;CLNREVSTAT=criteria_provided,_single_submitter;CLNDISDB=MedGen:CN169374;CLNALLELEID=389696</t>
  </si>
  <si>
    <t>http://localhost:60151/goto?locus=chr19:45867259</t>
  </si>
  <si>
    <t>45867259</t>
  </si>
  <si>
    <t>ERCC2:NM_001130867:exon9:c.862G&gt;A:p.D288N,ERCC2:NM_000400:exon10:c.934G&gt;A:p.D312N</t>
  </si>
  <si>
    <t>rs1799793</t>
  </si>
  <si>
    <t>ID=COSM3749519,COSM3749518;OCCURRENCE=44(haematopoietic_and_lymphoid_tissue),12(large_intestine),1(thyroid)</t>
  </si>
  <si>
    <t>26:ERCC2:D312N(26)</t>
  </si>
  <si>
    <t>CLINSIG=Benign;CLNDN=Xeroderma_pigmentosum|not_specified;CLNREVSTAT=criteria_provided,_multiple_submitters,_no_conflicts;CLNDISDB=MedGen:C0043346,Orphanet:ORPHA910,SNOMED_CT:44600005|MedGen:CN169374;CLNALLELEID=137856</t>
  </si>
  <si>
    <t>http://localhost:60151/goto?locus=chr17:59763347</t>
  </si>
  <si>
    <t>59763347</t>
  </si>
  <si>
    <t>1121</t>
  </si>
  <si>
    <t>BRIP1:NM_032043:exon19:c.2755T&gt;C:p.S919P</t>
  </si>
  <si>
    <t>rs4986764</t>
  </si>
  <si>
    <t>ID=COSM7302517,COSM7302516;OCCURRENCE=1(large_intestine)</t>
  </si>
  <si>
    <t>16:BRIP1:S919P(16)</t>
  </si>
  <si>
    <t>CLINSIG=Benign/Likely_benign;CLNDN=Neoplasm_of_ovary|Neoplasm_of_the_breast|Familial_cancer_of_breast|Fanconi_anemia|Hereditary_cancer-predisposing_syndrome|Fanconi_anemia,_complementation_group_J|not_specified|not_provided;CLNREVSTAT=criteria_provided,_multiple_submitters,_no_conflicts;CLNDISDB=Gene:6765,Human_Phenotype_Ontology:HP:0100615,MedGen:C0919267,OMIM:167000,SNOMED_CT:123843001|Human_Phenotype_Ontology:HP:0100013,MeSH:D001943,MedGen:C1458155,Orphanet:ORPHA180250,SNOMED_CT:126926005|MedGen:C0006142,OMIM:114480,Orphanet:ORPHA227535,SNOMED_CT:254843006|MedGen:C0015625,Orphanet:ORPHA84,SNOMED_CT:30575002|MedGen:C0027672,SNOMED_CT:699346009|MedGen:C1836860,OMIM:609054|MedGen:CN169374|MedGen:CN517202;CLNALLELEID=137495</t>
  </si>
  <si>
    <t>http://localhost:60151/goto?locus=chr3:121208176</t>
  </si>
  <si>
    <t>121208176</t>
  </si>
  <si>
    <t>1110</t>
  </si>
  <si>
    <t>1086</t>
  </si>
  <si>
    <t>POLQ:NM_199420:exon16:c.3602A&gt;G:p.H1201R</t>
  </si>
  <si>
    <t>rs3218651</t>
  </si>
  <si>
    <t>ID=COSM7246894;OCCURRENCE=1(lung)</t>
  </si>
  <si>
    <t>http://localhost:60151/goto?locus=chr2:215645464</t>
  </si>
  <si>
    <t>215645464</t>
  </si>
  <si>
    <t>1113</t>
  </si>
  <si>
    <t>1064</t>
  </si>
  <si>
    <t>BARD1:NM_001282543:exon3:c.1077G&gt;C:p.R359S,BARD1:NM_000465:exon4:c.1134G&gt;C:p.R378S</t>
  </si>
  <si>
    <t>rs2229571</t>
  </si>
  <si>
    <t>ID=COSM3757931,COSM3757932;OCCURRENCE=2(haematopoietic_and_lymphoid_tissue),1(large_intestine),1(lung)</t>
  </si>
  <si>
    <t>11:BARD1:R378S(11)</t>
  </si>
  <si>
    <t>CLINSIG=Benign/Likely_benign;CLNDN=Neoplasm_of_the_breast|Familial_cancer_of_breast|Hereditary_cancer-predisposing_syndrome|not_specified|not_provided;CLNREVSTAT=criteria_provided,_multiple_submitters,_no_conflicts;CLNDISDB=Human_Phenotype_Ontology:HP:0100013,MeSH:D001943,MedGen:C1458155,Orphanet:ORPHA180250,SNOMED_CT:126926005|MedGen:C0006142,OMIM:114480,Orphanet:ORPHA227535,SNOMED_CT:254843006|MedGen:C0027672,SNOMED_CT:699346009|MedGen:CN169374|MedGen:CN517202;CLNALLELEID=152483</t>
  </si>
  <si>
    <t>http://localhost:60151/goto?locus=chr6:152652034</t>
  </si>
  <si>
    <t>152652034</t>
  </si>
  <si>
    <t>1458</t>
  </si>
  <si>
    <t>1045</t>
  </si>
  <si>
    <t>SYNE1:NM_033071:exon77:c.13573T&gt;A:p.S4525T,SYNE1:NM_182961:exon78:c.13786T&gt;A:p.S4596T</t>
  </si>
  <si>
    <t>rs6911096</t>
  </si>
  <si>
    <t>ID=COSM5010199,COSM450729,COSM1487365,COSM450728,COSM5010200;OCCURRENCE=1(large_intestine),1(urinary_tract)</t>
  </si>
  <si>
    <t>2:SYNE1:S4596T(2)</t>
  </si>
  <si>
    <t>CLINSIG=Benign;CLNDN=Cerebellar_ataxia|Emery-Dreifuss_muscular_dystrophy|not_specified;CLNREVSTAT=criteria_provided,_multiple_submitters,_no_conflicts;CLNDISDB=Human_Phenotype_Ontology:HP:0001251,MedGen:C0007758,SNOMED_CT:85102008|MedGen:C0410189,Orphanet:ORPHA261,SNOMED_CT:111508004|MedGen:CN169374;CLNALLELEID=135851</t>
  </si>
  <si>
    <t>http://localhost:60151/goto?locus=chr20:46264888</t>
  </si>
  <si>
    <t>46264888</t>
  </si>
  <si>
    <t>1417</t>
  </si>
  <si>
    <t>1001</t>
  </si>
  <si>
    <t>NCOA3:NM_001174087:exon12:c.1758G&gt;C:p.Q586H,NCOA3:NM_001174088:exon12:c.1788G&gt;C:p.Q596H,NCOA3:NM_006534:exon12:c.1758G&gt;C:p.Q586H,NCOA3:NM_181659:exon12:c.1758G&gt;C:p.Q586H</t>
  </si>
  <si>
    <t>rs2230782</t>
  </si>
  <si>
    <t>ID=COSM4987716;OCCURRENCE=4(soft_tissue)</t>
  </si>
  <si>
    <t>4:NCOA3:Q586H(4)</t>
  </si>
  <si>
    <t>http://localhost:60151/goto?locus=chr5:56177443</t>
  </si>
  <si>
    <t>56177443</t>
  </si>
  <si>
    <t>969</t>
  </si>
  <si>
    <t>MAP3K1:NM_005921:exon14:c.2416G&gt;A:p.D806N</t>
  </si>
  <si>
    <t>rs702689</t>
  </si>
  <si>
    <t>ID=COSM4003565,COSM4003564;OCCURRENCE=1(breast),3(haematopoietic_and_lymphoid_tissue)</t>
  </si>
  <si>
    <t>14:MAP3K1:D806N(14)</t>
  </si>
  <si>
    <t>CLINSIG=Benign;CLNDN=46,XY_sex_reversal,_type_6;CLNREVSTAT=criteria_provided,_single_submitter;CLNDISDB=MedGen:C3151064,OMIM:613762;CLNALLELEID=508804</t>
  </si>
  <si>
    <t>http://localhost:60151/goto?locus=chr5:98192164</t>
  </si>
  <si>
    <t>98192164</t>
  </si>
  <si>
    <t>AAGG</t>
  </si>
  <si>
    <t>1023</t>
  </si>
  <si>
    <t>CHD1:NM_001270:exon35:c.5050_5052del:p.1684_1684del</t>
  </si>
  <si>
    <t>rs138635992</t>
  </si>
  <si>
    <t>ID=COSM327350;OCCURRENCE=2(central_nervous_system),1(haematopoietic_and_lymphoid_tissue),1(pleura)</t>
  </si>
  <si>
    <t>2:CHD1:P1684del(2)</t>
  </si>
  <si>
    <t>http://localhost:60151/goto?locus=chr3:121207637</t>
  </si>
  <si>
    <t>121207637</t>
  </si>
  <si>
    <t>927</t>
  </si>
  <si>
    <t>POLQ:NM_199420:exon16:c.4141C&gt;A:p.P1381T</t>
  </si>
  <si>
    <t>rs3218642</t>
  </si>
  <si>
    <t>ID=COSM7384941;OCCURRENCE=2(lung)</t>
  </si>
  <si>
    <t>http://localhost:60151/goto?locus=chr11:95826485</t>
  </si>
  <si>
    <t>95826485</t>
  </si>
  <si>
    <t>1663</t>
  </si>
  <si>
    <t>909</t>
  </si>
  <si>
    <t>MAML2:NM_032427:exon2:c.710A&gt;G:p.Q237R</t>
  </si>
  <si>
    <t>rs61749253</t>
  </si>
  <si>
    <t>ID=COSM5019177;OCCURRENCE=3(soft_tissue)</t>
  </si>
  <si>
    <t>1:MAML2:Q237R(1)</t>
  </si>
  <si>
    <t>http://localhost:60151/goto?locus=chr4:187557893</t>
  </si>
  <si>
    <t>187557893</t>
  </si>
  <si>
    <t>1299</t>
  </si>
  <si>
    <t>903</t>
  </si>
  <si>
    <t>FAT1:NM_005245:exon5:c.3818A&gt;G:p.H1273R</t>
  </si>
  <si>
    <t>rs328418</t>
  </si>
  <si>
    <t>ID=COSM7117151,COSM7117152;OCCURRENCE=1(haematopoietic_and_lymphoid_tissue),1(kidney),1(lung),1(urinary_tract)</t>
  </si>
  <si>
    <t>13:FAT1:H1273R(13)</t>
  </si>
  <si>
    <t>http://localhost:60151/goto?locus=chr4:106155199</t>
  </si>
  <si>
    <t>106155199</t>
  </si>
  <si>
    <t>1076</t>
  </si>
  <si>
    <t>900</t>
  </si>
  <si>
    <t>TET2:NM_001127208:exon3:c.100C&gt;T:p.L34F,TET2:NM_017628:exon3:c.100C&gt;T:p.L34F</t>
  </si>
  <si>
    <t>rs111948941</t>
  </si>
  <si>
    <t>ID=COSM5941242,COSM5941243;OCCURRENCE=1(haematopoietic_and_lymphoid_tissue),2(lung),1(skin)</t>
  </si>
  <si>
    <t>3:TET2:L34F(3)</t>
  </si>
  <si>
    <t>CLINSIG=not_provided;CLNDN=not_specified;CLNREVSTAT=no_assertion_provided;CLNDISDB=MedGen:CN169374;CLNALLELEID=139047</t>
  </si>
  <si>
    <t>http://localhost:60151/goto?locus=chr11:55579102</t>
  </si>
  <si>
    <t>55579102</t>
  </si>
  <si>
    <t>893</t>
  </si>
  <si>
    <t>869</t>
  </si>
  <si>
    <t>OR5L1:NM_001004738:exon1:c.160C&gt;T:p.R54W</t>
  </si>
  <si>
    <t>rs34961497</t>
  </si>
  <si>
    <t>ID=COSM3752457;OCCURRENCE=3(haematopoietic_and_lymphoid_tissue),1(large_intestine),1(lung)</t>
  </si>
  <si>
    <t>1:OR5L1:R54W(1)</t>
  </si>
  <si>
    <t>http://localhost:60151/goto?locus=chr12:71002893</t>
  </si>
  <si>
    <t>71002893</t>
  </si>
  <si>
    <t>1286</t>
  </si>
  <si>
    <t>867</t>
  </si>
  <si>
    <t>PTPRB:NM_001206971:exon2:c.281G&gt;A:p.R94K,PTPRB:NM_001206972:exon2:c.281G&gt;A:p.R94K,PTPRB:NM_002837:exon2:c.281G&gt;A:p.R94K,PTPRB:NM_001109754:exon4:c.935G&gt;A:p.R312K,PTPRB:NM_001330204:exon4:c.935G&gt;A:p.R312K</t>
  </si>
  <si>
    <t>rs2252784</t>
  </si>
  <si>
    <t>ID=COSM3753479,COSM3753480;OCCURRENCE=2(large_intestine),1(lung),1(pancreas),1(urinary_tract)</t>
  </si>
  <si>
    <t>2:PTPRB:R94K(2)</t>
  </si>
  <si>
    <t>http://localhost:60151/goto?locus=chr8:108970367</t>
  </si>
  <si>
    <t>108970367</t>
  </si>
  <si>
    <t>946</t>
  </si>
  <si>
    <t>846</t>
  </si>
  <si>
    <t>RSPO2:NM_001282863:exon4:c.365T&gt;C:p.L122P,RSPO2:NM_001317942:exon4:c.356T&gt;C:p.L119P,RSPO2:NM_178565:exon5:c.557T&gt;C:p.L186P</t>
  </si>
  <si>
    <t>rs601558</t>
  </si>
  <si>
    <t>ID=COSM5904899;OCCURRENCE=1(large_intestine),1(skin)</t>
  </si>
  <si>
    <t>11:RSPO2:L186P(11)</t>
  </si>
  <si>
    <t>http://localhost:60151/goto?locus=chr13:32929387</t>
  </si>
  <si>
    <t>32929387</t>
  </si>
  <si>
    <t>1210</t>
  </si>
  <si>
    <t>828</t>
  </si>
  <si>
    <t>BRCA2:NM_000059:exon14:c.7397T&gt;C:p.V2466A</t>
  </si>
  <si>
    <t>rs169547</t>
  </si>
  <si>
    <t>ID=COSM7335572;OCCURRENCE=1(peritoneum)</t>
  </si>
  <si>
    <t>14:BRCA2:V2466A(14)</t>
  </si>
  <si>
    <t>CLINSIG=Benign;CLNDN=Ductal_breast_carcinoma|not_specified;CLNREVSTAT=criteria_provided,_multiple_submitters,_no_conflicts;CLNDISDB=MedGen:C1527349|MedGen:CN169374;CLNALLELEID=137477</t>
  </si>
  <si>
    <t>http://localhost:60151/goto?locus=chr3:121208833</t>
  </si>
  <si>
    <t>121208833</t>
  </si>
  <si>
    <t>798</t>
  </si>
  <si>
    <t>POLQ:NM_199420:exon16:c.2945C&gt;G:p.T982R</t>
  </si>
  <si>
    <t>rs3218649</t>
  </si>
  <si>
    <t>ID=COSM3759646;OCCURRENCE=1(large_intestine)</t>
  </si>
  <si>
    <t>3:POLQ:T982R(3)</t>
  </si>
  <si>
    <t>http://localhost:60151/goto?locus=chr2:29416366</t>
  </si>
  <si>
    <t>29416366</t>
  </si>
  <si>
    <t>1329</t>
  </si>
  <si>
    <t>794</t>
  </si>
  <si>
    <t>ALK:NM_004304:exon29:c.4587C&gt;G:p.D1529E</t>
  </si>
  <si>
    <t>rs1881421</t>
  </si>
  <si>
    <t>ID=COSM3758201,COSM5653840;OCCURRENCE=1(breast),1(haematopoietic_and_lymphoid_tissue),1(large_intestine)</t>
  </si>
  <si>
    <t>12:ALK:D1529E(12)</t>
  </si>
  <si>
    <t>CLINSIG=Benign;CLNDN=Hereditary_cancer-predisposing_syndrome|Neuroblastoma_3|not_specified|Neuroblastoma_Susceptibility|not_provided;CLNREVSTAT=criteria_provided,_multiple_submitters,_no_conflicts;CLNDISDB=MedGen:C0027672,SNOMED_CT:699346009|MedGen:C2751681,OMIM:613014|MedGen:CN169374|MedGen:CN239480|MedGen:CN517202;CLNALLELEID=137215</t>
  </si>
  <si>
    <t>http://localhost:60151/goto?locus=chr4:187538942</t>
  </si>
  <si>
    <t>187538942</t>
  </si>
  <si>
    <t>1126</t>
  </si>
  <si>
    <t>FAT1:NM_005245:exon10:c.8798A&gt;T:p.Q2933L</t>
  </si>
  <si>
    <t>rs1280098</t>
  </si>
  <si>
    <t>ID=COSM4596533,COSM4596532;OCCURRENCE=1(upper_aerodigestive_tract)</t>
  </si>
  <si>
    <t>2:FAT1:Q2933L(2)</t>
  </si>
  <si>
    <t>http://localhost:60151/goto?locus=chr11:22646398</t>
  </si>
  <si>
    <t>22646398</t>
  </si>
  <si>
    <t>1430</t>
  </si>
  <si>
    <t>783</t>
  </si>
  <si>
    <t>FANCF:NM_022725:exon1:c.959C&gt;T:p.P320L</t>
  </si>
  <si>
    <t>rs45451294</t>
  </si>
  <si>
    <t>ID=COSM5020903;OCCURRENCE=1(soft_tissue)</t>
  </si>
  <si>
    <t>CLINSIG=Benign;CLNDN=Fanconi_anemia|not_specified;CLNREVSTAT=criteria_provided,_multiple_submitters,_no_conflicts;CLNDISDB=MedGen:C0015625,Orphanet:ORPHA84,SNOMED_CT:30575002|MedGen:CN169374;CLNALLELEID=138090</t>
  </si>
  <si>
    <t>http://localhost:60151/goto?locus=chr20:9288522</t>
  </si>
  <si>
    <t>9288522</t>
  </si>
  <si>
    <t>1091</t>
  </si>
  <si>
    <t>PLCB4:NM_000933:exon1:c.61G&gt;A:p.A21T,PLCB4:NM_182797:exon2:c.61G&gt;A:p.A21T,PLCB4:NM_001172646:exon3:c.61G&gt;A:p.A21T</t>
  </si>
  <si>
    <t>rs6077510</t>
  </si>
  <si>
    <t>ID=COSM4419859;OCCURRENCE=1(breast),1(haematopoietic_and_lymphoid_tissue)</t>
  </si>
  <si>
    <t>3:PLCB4:A21T(3)</t>
  </si>
  <si>
    <t>CLINSIG=Benign;CLNDN=Auriculocondylar_syndrome;CLNREVSTAT=criteria_provided,_single_submitter;CLNDISDB=MedGen:CN160484,Orphanet:ORPHA137888;CLNALLELEID=350485</t>
  </si>
  <si>
    <t>http://localhost:60151/goto?locus=chr8:77768498</t>
  </si>
  <si>
    <t>77768498</t>
  </si>
  <si>
    <t>1476</t>
  </si>
  <si>
    <t>739</t>
  </si>
  <si>
    <t>ZFHX4:NM_024721:exon10:c.9341G&gt;A:p.G3114D</t>
  </si>
  <si>
    <t>rs142555710</t>
  </si>
  <si>
    <t>ID=COSM7398489,COSM7398490;OCCURRENCE=5(lung)</t>
  </si>
  <si>
    <t>http://localhost:60151/goto?locus=chr11:55579801</t>
  </si>
  <si>
    <t>55579801</t>
  </si>
  <si>
    <t>744</t>
  </si>
  <si>
    <t>691</t>
  </si>
  <si>
    <t>OR5L1:NM_001004738:exon1:c.859T&gt;C:p.S287P</t>
  </si>
  <si>
    <t>rs12790505</t>
  </si>
  <si>
    <t>ID=COSM147208;OCCURRENCE=1(breast),2(haematopoietic_and_lymphoid_tissue),1(large_intestine),1(stomach)</t>
  </si>
  <si>
    <t>2:OR5L1:S287P(2)</t>
  </si>
  <si>
    <t>http://localhost:60151/goto?locus=chr8:77616519</t>
  </si>
  <si>
    <t>77616519</t>
  </si>
  <si>
    <t>951</t>
  </si>
  <si>
    <t>ZFHX4:NM_024721:exon2:c.196G&gt;C:p.V66L</t>
  </si>
  <si>
    <t>rs56261025</t>
  </si>
  <si>
    <t>ID=COSM3763407,COSM3763408;OCCURRENCE=1(large_intestine)</t>
  </si>
  <si>
    <t>http://localhost:60151/goto?locus=chr22:41548008</t>
  </si>
  <si>
    <t>41548008</t>
  </si>
  <si>
    <t>913</t>
  </si>
  <si>
    <t>685</t>
  </si>
  <si>
    <t>EP300:NM_001429:exon15:c.2989A&gt;G:p.I997V</t>
  </si>
  <si>
    <t>rs20551</t>
  </si>
  <si>
    <t>ID=COSM5009621;OCCURRENCE=3(large_intestine),1(lung)</t>
  </si>
  <si>
    <t>8:EP300:I997V(8)</t>
  </si>
  <si>
    <t>CLINSIG=Benign;CLNDN=Rubinstein-Taybi_syndrome_1|not_specified;CLNREVSTAT=criteria_provided,_multiple_submitters,_no_conflicts;CLNDISDB=MedGen:C4551859,OMIM:180849,Orphanet:ORPHA353277|MedGen:CN169374;CLNALLELEID=99639</t>
  </si>
  <si>
    <t>http://localhost:60151/goto?locus=chr6:152647681</t>
  </si>
  <si>
    <t>152647681</t>
  </si>
  <si>
    <t>779</t>
  </si>
  <si>
    <t>679</t>
  </si>
  <si>
    <t>SYNE1:NM_033071:exon78:c.14830T&gt;A:p.L4944M,SYNE1:NM_182961:exon79:c.15043T&gt;A:p.L5015M</t>
  </si>
  <si>
    <t>rs2306916</t>
  </si>
  <si>
    <t>ID=COSM5010194,COSM5010196,COSM5010197,COSM5010198,COSM5010195;OCCURRENCE=1(large_intestine)</t>
  </si>
  <si>
    <t>1:SYNE1:L5015M(1)</t>
  </si>
  <si>
    <t>CLINSIG=Benign;CLNDN=Cerebellar_ataxia|Emery-Dreifuss_muscular_dystrophy|not_specified;CLNREVSTAT=criteria_provided,_multiple_submitters,_no_conflicts;CLNDISDB=Human_Phenotype_Ontology:HP:0001251,MedGen:C0007758,SNOMED_CT:85102008|MedGen:C0410189,Orphanet:ORPHA261,SNOMED_CT:111508004|MedGen:CN169374;CLNALLELEID=135855</t>
  </si>
  <si>
    <t>http://localhost:60151/goto?locus=chr1:16255644</t>
  </si>
  <si>
    <t>16255644</t>
  </si>
  <si>
    <t>843</t>
  </si>
  <si>
    <t>678</t>
  </si>
  <si>
    <t>SPEN:NM_015001:exon11:c.2909C&gt;T:p.A970V</t>
  </si>
  <si>
    <t>rs848208</t>
  </si>
  <si>
    <t>ID=COSM3997038;OCCURRENCE=4(haematopoietic_and_lymphoid_tissue)</t>
  </si>
  <si>
    <t>3:SPEN:A970V(3)</t>
  </si>
  <si>
    <t>http://localhost:60151/goto?locus=chr12:48368541</t>
  </si>
  <si>
    <t>48368541</t>
  </si>
  <si>
    <t>1097</t>
  </si>
  <si>
    <t>669</t>
  </si>
  <si>
    <t>COL2A1:NM_033150:exon51:c.3784G&gt;A:p.V1262I,COL2A1:NM_001844:exon52:c.3991G&gt;A:p.V1331I</t>
  </si>
  <si>
    <t>rs12721427</t>
  </si>
  <si>
    <t>ID=COSM3753252,COSM3753253;OCCURRENCE=1(haematopoietic_and_lymphoid_tissue),1(large_intestine)</t>
  </si>
  <si>
    <t>CLINSIG=Benign/Likely_benign;CLNDN=Type_II_Collagenopathies|not_specified|Stickler_Syndrome,_Dominant;CLNREVSTAT=criteria_provided,_multiple_submitters,_no_conflicts;CLNDISDB=MedGen:CN043672|MedGen:CN169374|MedGen:CN239460;CLNALLELEID=254531</t>
  </si>
  <si>
    <t>http://localhost:60151/goto?locus=chr3:89521693</t>
  </si>
  <si>
    <t>89521693</t>
  </si>
  <si>
    <t>658</t>
  </si>
  <si>
    <t>EPHA3:NM_005233:exon16:c.2770T&gt;C:p.W924R</t>
  </si>
  <si>
    <t>rs35124509</t>
  </si>
  <si>
    <t>ID=COSM4002834;OCCURRENCE=2(haematopoietic_and_lymphoid_tissue),2(lung),1(skin)</t>
  </si>
  <si>
    <t>8:EPHA3:W924R(8)</t>
  </si>
  <si>
    <t>http://localhost:60151/goto?locus=chr3:89521664</t>
  </si>
  <si>
    <t>89521664</t>
  </si>
  <si>
    <t>994</t>
  </si>
  <si>
    <t>652</t>
  </si>
  <si>
    <t>EPHA3:NM_005233:exon16:c.2741G&gt;A:p.R914H</t>
  </si>
  <si>
    <t>rs17801309</t>
  </si>
  <si>
    <t>ID=COSM3736325;OCCURRENCE=1(large_intestine),2(skin)</t>
  </si>
  <si>
    <t>4:EPHA3:R914H(4)</t>
  </si>
  <si>
    <t>http://localhost:60151/goto?locus=chr13:42803263</t>
  </si>
  <si>
    <t>42803263</t>
  </si>
  <si>
    <t>DGKH:NM_001204506:exon28:c.3194T&gt;C:p.V1065A,DGKH:NM_001204505:exon29:c.3242T&gt;C:p.V1081A,DGKH:NM_178009:exon30:c.3602T&gt;C:p.V1201A</t>
  </si>
  <si>
    <t>rs17646069</t>
  </si>
  <si>
    <t>ID=COSM6352023,COSM6352022;OCCURRENCE=1(breast)</t>
  </si>
  <si>
    <t>http://localhost:60151/goto?locus=chr8:30999280</t>
  </si>
  <si>
    <t>30999280</t>
  </si>
  <si>
    <t>WRN:NM_000553:exon26:c.3222G&gt;T:p.L1074F</t>
  </si>
  <si>
    <t>rs1801195</t>
  </si>
  <si>
    <t>ID=COSM3763319;OCCURRENCE=1(haematopoietic_and_lymphoid_tissue),2(large_intestine),1(pancreas)</t>
  </si>
  <si>
    <t>7:WRN:L1074F(7)</t>
  </si>
  <si>
    <t>CLINSIG=Benign;CLNDN=Werner_syndrome|not_specified;CLNREVSTAT=criteria_provided,_multiple_submitters,_no_conflicts;CLNDISDB=MedGen:C0043119,OMIM:277700,Orphanet:ORPHA902,SNOMED_CT:51626007|MedGen:CN169374;CLNALLELEID=136205</t>
  </si>
  <si>
    <t>http://localhost:60151/goto?locus=chr5:35876274</t>
  </si>
  <si>
    <t>35876274</t>
  </si>
  <si>
    <t>753</t>
  </si>
  <si>
    <t>IL7R:NM_002185:exon8:c.1066A&gt;G:p.I356V</t>
  </si>
  <si>
    <t>rs3194051</t>
  </si>
  <si>
    <t>ID=COSM5904807;OCCURRENCE=1(lung),1(skin)</t>
  </si>
  <si>
    <t>7:IL7R:I356V(7)</t>
  </si>
  <si>
    <t>CLINSIG=Benign;CLNDN=not_specified|Severe_Combined_Immune_Deficiency;CLNREVSTAT=criteria_provided,_multiple_submitters,_no_conflicts;CLNDISDB=MedGen:CN169374|MedGen:CN239264;CLNALLELEID=138272</t>
  </si>
  <si>
    <t>http://localhost:60151/goto?locus=chr6:112382313</t>
  </si>
  <si>
    <t>112382313</t>
  </si>
  <si>
    <t>696</t>
  </si>
  <si>
    <t>WISP3:NM_198239:exon2:c.222G&gt;T:p.Q74H,WISP3:NM_003880:exon3:c.168G&gt;T:p.Q56H</t>
  </si>
  <si>
    <t>rs1230345</t>
  </si>
  <si>
    <t>ID=COSM5654082;OCCURRENCE=1(haematopoietic_and_lymphoid_tissue)</t>
  </si>
  <si>
    <t>1:CCN6:Q56H(1)</t>
  </si>
  <si>
    <t>CLINSIG=Benign;CLNDN=Progressive_pseudorheumatoid_dysplasia;CLNREVSTAT=criteria_provided,_single_submitter;CLNDISDB=MedGen:C0432215,OMIM:208230,Orphanet:ORPHA1159,SNOMED_CT:254065005;CLNALLELEID=301225</t>
  </si>
  <si>
    <t>http://localhost:60151/goto?locus=chr6:152772264</t>
  </si>
  <si>
    <t>152772264</t>
  </si>
  <si>
    <t>606</t>
  </si>
  <si>
    <t>SYNE1:NM_033071:exon26:c.3125T&gt;C:p.V1042A,SYNE1:NM_182961:exon26:c.3104T&gt;C:p.V1035A</t>
  </si>
  <si>
    <t>rs214976</t>
  </si>
  <si>
    <t>ID=COSM5002073,COSM5002072,COSM5002075,COSM5002074,COSM5002071;OCCURRENCE=1(large_intestine),1(pancreas),1(urinary_tract)</t>
  </si>
  <si>
    <t>2:SYNE1:V1035A(2)</t>
  </si>
  <si>
    <t>CLINSIG=Benign;CLNDN=Cerebellar_ataxia|Emery-Dreifuss_muscular_dystrophy|not_specified;CLNREVSTAT=criteria_provided,_multiple_submitters,_no_conflicts;CLNDISDB=Human_Phenotype_Ontology:HP:0001251,MedGen:C0007758,SNOMED_CT:85102008|MedGen:C0410189,Orphanet:ORPHA261,SNOMED_CT:111508004|MedGen:CN169374;CLNALLELEID=135884</t>
  </si>
  <si>
    <t>http://localhost:60151/goto?locus=chr6:152658142</t>
  </si>
  <si>
    <t>152658142</t>
  </si>
  <si>
    <t>818</t>
  </si>
  <si>
    <t>541</t>
  </si>
  <si>
    <t>SYNE1:NM_033071:exon75:c.12149A&gt;G:p.K4050R,SYNE1:NM_182961:exon76:c.12362A&gt;G:p.K4121R</t>
  </si>
  <si>
    <t>rs9479297</t>
  </si>
  <si>
    <t>ID=COSM5010201,COSM5010202,COSM5010204,COSM5010203,COSM5010205;OCCURRENCE=1(large_intestine)</t>
  </si>
  <si>
    <t>1:SYNE1:K4121R(1)</t>
  </si>
  <si>
    <t>CLINSIG=Benign;CLNDN=Cerebellar_ataxia|Emery-Dreifuss_muscular_dystrophy|not_specified;CLNREVSTAT=criteria_provided,_multiple_submitters,_no_conflicts;CLNDISDB=Human_Phenotype_Ontology:HP:0001251,MedGen:C0007758,SNOMED_CT:85102008|MedGen:C0410189,Orphanet:ORPHA261,SNOMED_CT:111508004|MedGen:CN169374;CLNALLELEID=135846</t>
  </si>
  <si>
    <t>http://localhost:60151/goto?locus=chr9:8497250</t>
  </si>
  <si>
    <t>8497250</t>
  </si>
  <si>
    <t>690</t>
  </si>
  <si>
    <t>508</t>
  </si>
  <si>
    <t>PTPRD:NM_002839:exon26:c.2341A&gt;G:p.T781A</t>
  </si>
  <si>
    <t>rs72694737</t>
  </si>
  <si>
    <t>ID=COSM5019648,COSM5019649;OCCURRENCE=2(soft_tissue)</t>
  </si>
  <si>
    <t>1:PTPRD:T781A(1)</t>
  </si>
  <si>
    <t>http://localhost:60151/goto?locus=chr1:158597507</t>
  </si>
  <si>
    <t>158597507</t>
  </si>
  <si>
    <t>504</t>
  </si>
  <si>
    <t>SPTA1:NM_003126:exon40:c.5572C&gt;G:p.L1858V</t>
  </si>
  <si>
    <t>rs3737515</t>
  </si>
  <si>
    <t>ID=COSM3750478;OCCURRENCE=1(haematopoietic_and_lymphoid_tissue),2(large_intestine),1(lung)</t>
  </si>
  <si>
    <t>2:SPTA1:L1858V(2)</t>
  </si>
  <si>
    <t>CLINSIG=Benign/Likely_benign;CLNDN=Elliptocytosis|Hereditary_pyropoikilocytosis|not_specified|Spherocytosis,_Recessive;CLNREVSTAT=criteria_provided,_multiple_submitters,_no_conflicts;CLNDISDB=Human_Phenotype_Ontology:HP:0004445,MedGen:C0427480|Human_Phenotype_Ontology:HP:0004839,MedGen:C0520739,OMIM:266140,Orphanet:ORPHA98867,SNOMED_CT:9434008|MedGen:CN169374|MedGen:CN239472;CLNALLELEID=249434</t>
  </si>
  <si>
    <t>http://localhost:60151/goto?locus=chr5:121518378</t>
  </si>
  <si>
    <t>121518378</t>
  </si>
  <si>
    <t>618</t>
  </si>
  <si>
    <t>503</t>
  </si>
  <si>
    <t>dist=20</t>
  </si>
  <si>
    <t>rs2303655</t>
  </si>
  <si>
    <t>ID=COSN14792736,COSN28853786;OCCURRENCE=1(large_intestine),1(liver)</t>
  </si>
  <si>
    <t>http://localhost:60151/goto?locus=chr16:72991715</t>
  </si>
  <si>
    <t>72991715</t>
  </si>
  <si>
    <t>850</t>
  </si>
  <si>
    <t>492</t>
  </si>
  <si>
    <t>ZFHX3:NM_006885:exon2:c.2330T&gt;C:p.V777A</t>
  </si>
  <si>
    <t>rs4788682</t>
  </si>
  <si>
    <t>ID=COSM4880207;OCCURRENCE=1(haematopoietic_and_lymphoid_tissue),1(large_intestine),1(prostate)</t>
  </si>
  <si>
    <t>4:ZFHX3:V777A(4)</t>
  </si>
  <si>
    <t>http://localhost:60151/goto?locus=chr14:81575005</t>
  </si>
  <si>
    <t>81575005</t>
  </si>
  <si>
    <t>806</t>
  </si>
  <si>
    <t>481</t>
  </si>
  <si>
    <t>TSHR:NM_001018036:exon9:c.742C&gt;A:p.R248S,TSHR:NM_001142626:exon9:c.805C&gt;A:p.R269S</t>
  </si>
  <si>
    <t>rs3783941</t>
  </si>
  <si>
    <t>ID=COSM7229011;OCCURRENCE=1(lung)</t>
  </si>
  <si>
    <t>CLINSIG=not_provided;CLNDN=not_specified;CLNREVSTAT=no_assertion_provided;CLNDISDB=MedGen:CN169374;CLNALLELEID=139142</t>
  </si>
  <si>
    <t>http://localhost:60151/goto?locus=chr17:37884037</t>
  </si>
  <si>
    <t>37884037</t>
  </si>
  <si>
    <t>560</t>
  </si>
  <si>
    <t>479</t>
  </si>
  <si>
    <t>ERBB2:NM_004448:exon27:c.3508C&gt;G:p.P1170A,ERBB2:NM_001005862:exon30:c.3418C&gt;G:p.P1140A,ERBB2:NM_001289936:exon31:c.3463C&gt;G:p.P1155A</t>
  </si>
  <si>
    <t>rs1058808</t>
  </si>
  <si>
    <t>ID=COSM5436892,COSM5436893;OCCURRENCE=1(biliary_tract),1(large_intestine),2(oesophagus)</t>
  </si>
  <si>
    <t>12:ERBB2:P1170A(12)</t>
  </si>
  <si>
    <t>CLINSIG=not_provided;CLNDN=not_specified;CLNREVSTAT=no_assertion_provided;CLNDISDB=MedGen:CN169374;CLNALLELEID=137821</t>
  </si>
  <si>
    <t>http://localhost:60151/goto?locus=chr1:40363054</t>
  </si>
  <si>
    <t>40363054</t>
  </si>
  <si>
    <t>773</t>
  </si>
  <si>
    <t>MYCL:NM_001033081:exon2:c.1085C&gt;G:p.T362S,MYCL:NM_001033082:exon3:c.1175C&gt;G:p.T392S</t>
  </si>
  <si>
    <t>rs3134614</t>
  </si>
  <si>
    <t>ID=COSM3927628;OCCURRENCE=1(prostate)</t>
  </si>
  <si>
    <t>14:MYCL:T362S(14)</t>
  </si>
  <si>
    <t>http://localhost:60151/goto?locus=chr1:46505309</t>
  </si>
  <si>
    <t>46505309</t>
  </si>
  <si>
    <t>872</t>
  </si>
  <si>
    <t>455</t>
  </si>
  <si>
    <t>dist=503</t>
  </si>
  <si>
    <t>rs1707321</t>
  </si>
  <si>
    <t>ID=COSN6457859;OCCURRENCE=1(liver)</t>
  </si>
  <si>
    <t>http://localhost:60151/goto?locus=chr11:92573911</t>
  </si>
  <si>
    <t>92573911</t>
  </si>
  <si>
    <t>694</t>
  </si>
  <si>
    <t>453</t>
  </si>
  <si>
    <t>FAT3:NM_001008781:exon17:c.10552G&gt;T:p.V3518L</t>
  </si>
  <si>
    <t>rs10765565</t>
  </si>
  <si>
    <t>ID=COSM3752810,COSM3752811,COSM3752812;OCCURRENCE=1(large_intestine),2(lung),1(thyroid)</t>
  </si>
  <si>
    <t>http://localhost:60151/goto?locus=chr6:160670282</t>
  </si>
  <si>
    <t>160670282</t>
  </si>
  <si>
    <t>524</t>
  </si>
  <si>
    <t>SLC22A2:NM_003058:exon4:c.808T&gt;G:p.S270A</t>
  </si>
  <si>
    <t>rs316019</t>
  </si>
  <si>
    <t>ID=COSM6354143;OCCURRENCE=1(breast)</t>
  </si>
  <si>
    <t>http://localhost:60151/goto?locus=chr11:92577659</t>
  </si>
  <si>
    <t>92577659</t>
  </si>
  <si>
    <t>735</t>
  </si>
  <si>
    <t>433</t>
  </si>
  <si>
    <t>FAT3:NM_001008781:exon18:c.11126G&gt;T:p.S3709I</t>
  </si>
  <si>
    <t>rs75081660</t>
  </si>
  <si>
    <t>ID=COSM7367725,COSM7367724,COSM7367726;OCCURRENCE=2(lung)</t>
  </si>
  <si>
    <t>http://localhost:60151/goto?locus=chr12:69003744</t>
  </si>
  <si>
    <t>69003744</t>
  </si>
  <si>
    <t>CCCA</t>
  </si>
  <si>
    <t>594</t>
  </si>
  <si>
    <t>417</t>
  </si>
  <si>
    <t>dist=875</t>
  </si>
  <si>
    <t>rs72524425</t>
  </si>
  <si>
    <t>ID=COSN29472866;OCCURRENCE=1(haematopoietic_and_lymphoid_tissue)</t>
  </si>
  <si>
    <t>http://localhost:60151/goto?locus=chr6:117724379</t>
  </si>
  <si>
    <t>117724379</t>
  </si>
  <si>
    <t>633</t>
  </si>
  <si>
    <t>415</t>
  </si>
  <si>
    <t>ROS1:NM_002944:exon6:c.500G&gt;A:p.R167Q</t>
  </si>
  <si>
    <t>rs2243380</t>
  </si>
  <si>
    <t>ID=COSM5019316,COSM5019315;OCCURRENCE=1(haematopoietic_and_lymphoid_tissue),4(soft_tissue)</t>
  </si>
  <si>
    <t>4:ROS1:R167Q(4)</t>
  </si>
  <si>
    <t>http://localhost:60151/goto?locus=chr1:158612236</t>
  </si>
  <si>
    <t>158612236</t>
  </si>
  <si>
    <t>295</t>
  </si>
  <si>
    <t>341</t>
  </si>
  <si>
    <t>SPTA1:NM_003126:exon33:c.4702T&gt;C:p.C1568R</t>
  </si>
  <si>
    <t>rs863931</t>
  </si>
  <si>
    <t>ID=COSM5003622;OCCURRENCE=1(large_intestine),1(pancreas)</t>
  </si>
  <si>
    <t>14:SPTA1:C1568R(14)</t>
  </si>
  <si>
    <t>CLINSIG=Benign/Likely_benign;CLNDN=Elliptocytosis|Hereditary_pyropoikilocytosis|not_specified|Spherocytosis,_Recessive;CLNREVSTAT=criteria_provided,_multiple_submitters,_no_conflicts;CLNDISDB=Human_Phenotype_Ontology:HP:0004445,MedGen:C0427480|Human_Phenotype_Ontology:HP:0004839,MedGen:C0520739,OMIM:266140,Orphanet:ORPHA98867,SNOMED_CT:9434008|MedGen:CN169374|MedGen:CN239472;CLNALLELEID=249440</t>
  </si>
  <si>
    <t>http://localhost:60151/goto?locus=chr11:92590448</t>
  </si>
  <si>
    <t>92590448</t>
  </si>
  <si>
    <t>500</t>
  </si>
  <si>
    <t>FAT3:NM_001008781:exon19:c.11434A&gt;G:p.S3812G</t>
  </si>
  <si>
    <t>rs4753069</t>
  </si>
  <si>
    <t>ID=COSM7253933,COSM7253935,COSM7253934;OCCURRENCE=1(kidney)</t>
  </si>
  <si>
    <t>17:FAT3:S3812G(17)</t>
  </si>
  <si>
    <t>http://localhost:60151/goto?locus=chr2:29543736</t>
  </si>
  <si>
    <t>29543736</t>
  </si>
  <si>
    <t>457</t>
  </si>
  <si>
    <t>293</t>
  </si>
  <si>
    <t>ALK:NM_004304:exon7:c.1427T&gt;C:p.V476A</t>
  </si>
  <si>
    <t>rs35093491</t>
  </si>
  <si>
    <t>ID=COSM3758202;OCCURRENCE=1(breast),1(large_intestine)</t>
  </si>
  <si>
    <t>5:ALK:V476A(5)</t>
  </si>
  <si>
    <t>CLINSIG=Benign/Likely_benign;CLNDN=Hereditary_cancer-predisposing_syndrome|Neuroblastoma_3|not_specified|Neuroblastoma_Susceptibility|not_provided;CLNREVSTAT=criteria_provided,_multiple_submitters,_no_conflicts;CLNDISDB=MedGen:C0027672,SNOMED_CT:699346009|MedGen:C2751681,OMIM:613014|MedGen:CN169374|MedGen:CN239480|MedGen:CN517202;CLNALLELEID=137224</t>
  </si>
  <si>
    <t>http://localhost:60151/goto?locus=chrX:100645467</t>
  </si>
  <si>
    <t>100645467</t>
  </si>
  <si>
    <t>521</t>
  </si>
  <si>
    <t>291</t>
  </si>
  <si>
    <t>BTK:NM_001287344:exon1:c.71A&gt;G:p.E24G</t>
  </si>
  <si>
    <t>rs5951308</t>
  </si>
  <si>
    <t>ID=COSN28801614,COSN28816891,COSN19695355,COSN28681243;OCCURRENCE=1(large_intestine),3(lung)</t>
  </si>
  <si>
    <t>CLINSIG=Benign;CLNDN=not_specified;CLNREVSTAT=criteria_provided,_single_submitter;CLNDISDB=MedGen:CN169374;CLNALLELEID=390503</t>
  </si>
  <si>
    <t>http://localhost:60151/goto?locus=chr1:158584091</t>
  </si>
  <si>
    <t>158584091</t>
  </si>
  <si>
    <t>351</t>
  </si>
  <si>
    <t>289</t>
  </si>
  <si>
    <t>SPTA1:NM_003126:exon49:c.6794T&gt;C:p.I2265T</t>
  </si>
  <si>
    <t>rs952094</t>
  </si>
  <si>
    <t>ID=COSM3733640;OCCURRENCE=1(biliary_tract),1(large_intestine),2(pancreas),1(thyroid)</t>
  </si>
  <si>
    <t>1:SPTA1:I2265T(1)</t>
  </si>
  <si>
    <t>CLINSIG=Benign/Likely_benign;CLNDN=Elliptocytosis|Hereditary_pyropoikilocytosis|not_specified|Spherocytosis,_Recessive;CLNREVSTAT=criteria_provided,_multiple_submitters,_no_conflicts;CLNDISDB=Human_Phenotype_Ontology:HP:0004445,MedGen:C0427480|Human_Phenotype_Ontology:HP:0004839,MedGen:C0520739,OMIM:266140,Orphanet:ORPHA98867,SNOMED_CT:9434008|MedGen:CN169374|MedGen:CN239472;CLNALLELEID=249425</t>
  </si>
  <si>
    <t>http://localhost:60151/goto?locus=chr6:152489294</t>
  </si>
  <si>
    <t>152489294</t>
  </si>
  <si>
    <t>362</t>
  </si>
  <si>
    <t>264</t>
  </si>
  <si>
    <t>SYNE1:NM_001347702:exon1:c.46A&gt;G:p.S16G</t>
  </si>
  <si>
    <t>rs998147</t>
  </si>
  <si>
    <t>ID=COSN15656248;OCCURRENCE=1(upper_aerodigestive_tract)</t>
  </si>
  <si>
    <t>http://localhost:60151/goto?locus=chr11:92085199</t>
  </si>
  <si>
    <t>92085199</t>
  </si>
  <si>
    <t>252</t>
  </si>
  <si>
    <t>dist=63</t>
  </si>
  <si>
    <t>rs12801287</t>
  </si>
  <si>
    <t>ID=COSN28773898,COSN28576352;OCCURRENCE=1(haematopoietic_and_lymphoid_tissue),1(lung)</t>
  </si>
  <si>
    <t>http://localhost:60151/goto?locus=chr19:36222857</t>
  </si>
  <si>
    <t>36222857</t>
  </si>
  <si>
    <t>392</t>
  </si>
  <si>
    <t>KMT2B:NM_014727:exon27:c.5486C&gt;T:p.P1829L</t>
  </si>
  <si>
    <t>rs16970649</t>
  </si>
  <si>
    <t>ID=COSM4000670;OCCURRENCE=1(haematopoietic_and_lymphoid_tissue)</t>
  </si>
  <si>
    <t>2:KMT2B:P1829L(2)</t>
  </si>
  <si>
    <t>http://localhost:60151/goto?locus=chr14:23777374</t>
  </si>
  <si>
    <t>23777374</t>
  </si>
  <si>
    <t>336</t>
  </si>
  <si>
    <t>244</t>
  </si>
  <si>
    <t>BCL2L2:NM_001199839:exon3:c.398A&gt;G:p.Q133R,BCL2L2-PABPN1:NM_001199864:exon3:c.398A&gt;G:p.Q133R,BCL2L2:NM_004050:exon3:c.398A&gt;G:p.Q133R</t>
  </si>
  <si>
    <t>rs910332</t>
  </si>
  <si>
    <t>ID=COSM4148013;OCCURRENCE=1(thyroid)</t>
  </si>
  <si>
    <t>17:BCL2L2:Q133R(17)</t>
  </si>
  <si>
    <t>http://localhost:60151/goto?locus=chr7:128852105</t>
  </si>
  <si>
    <t>128852105</t>
  </si>
  <si>
    <t>323</t>
  </si>
  <si>
    <t>SMO:NM_005631:exon12:c.2177G&gt;A:p.R726Q</t>
  </si>
  <si>
    <t>rs142495470</t>
  </si>
  <si>
    <t>ID=COSM1169626;OCCURRENCE=1(lung),2(stomach)</t>
  </si>
  <si>
    <t>1:SMO:R726Q(1)</t>
  </si>
  <si>
    <t>CLINSIG=not_provided;CLNDN=not_specified;CLNREVSTAT=no_assertion_provided;CLNDISDB=MedGen:CN169374;CLNALLELEID=139002</t>
  </si>
  <si>
    <t>http://localhost:60151/goto?locus=chr14:38061742</t>
  </si>
  <si>
    <t>38061742</t>
  </si>
  <si>
    <t>379</t>
  </si>
  <si>
    <t>215</t>
  </si>
  <si>
    <t>FOXA1:NM_004496:exon2:c.247G&gt;A:p.A83T</t>
  </si>
  <si>
    <t>rs7144658</t>
  </si>
  <si>
    <t>ID=COSM3753953;OCCURRENCE=1(large_intestine),1(liver)</t>
  </si>
  <si>
    <t>14:FOXA1:A83T(14)</t>
  </si>
  <si>
    <t>http://localhost:60151/goto?locus=chr15:40675443</t>
  </si>
  <si>
    <t>40675443</t>
  </si>
  <si>
    <t>317</t>
  </si>
  <si>
    <t>214</t>
  </si>
  <si>
    <t>KNSTRN:NM_001142761:exon2:c.224G&gt;T:p.R75L,KNSTRN:NM_001142762:exon2:c.224G&gt;T:p.R75L,KNSTRN:NM_033286:exon2:c.224G&gt;T:p.R75L</t>
  </si>
  <si>
    <t>rs7169404</t>
  </si>
  <si>
    <t>ID=COSM147878,COSM7132282;OCCURRENCE=1(stomach),1(urinary_tract)</t>
  </si>
  <si>
    <t>1:KNSTRN:R75L(1)</t>
  </si>
  <si>
    <t>http://localhost:60151/goto?locus=chr12:53670545</t>
  </si>
  <si>
    <t>53670545</t>
  </si>
  <si>
    <t>203</t>
  </si>
  <si>
    <t>ESPL1:NM_012291:exon8:c.1842C&gt;A:p.S614R</t>
  </si>
  <si>
    <t>rs1318648</t>
  </si>
  <si>
    <t>ID=COSM4147242;OCCURRENCE=1(haematopoietic_and_lymphoid_tissue),1(thyroid)</t>
  </si>
  <si>
    <t>3:ESPL1:S614R(3)</t>
  </si>
  <si>
    <t>http://localhost:60151/goto?locus=chr3:128204960</t>
  </si>
  <si>
    <t>128204960</t>
  </si>
  <si>
    <t>333</t>
  </si>
  <si>
    <t>GATA2:NM_001145662:exon3:c.481C&gt;G:p.P161A,GATA2:NM_032638:exon3:c.481C&gt;G:p.P161A,GATA2:NM_001145661:exon4:c.481C&gt;G:p.P161A</t>
  </si>
  <si>
    <t>rs34799090</t>
  </si>
  <si>
    <t>ID=COSM5762885;OCCURRENCE=1(central_nervous_system),1(haematopoietic_and_lymphoid_tissue)</t>
  </si>
  <si>
    <t>2:GATA2:P161A(2)</t>
  </si>
  <si>
    <t>CLINSIG=Benign/Likely_benign;CLNDN=Lymphedema,_primary,_with_myelodysplasia|Dendritic_cell,_monocyte,_B_lymphocyte,_and_natural_killer_lymphocyte_deficiency|not_specified;CLNREVSTAT=criteria_provided,_multiple_submitters,_no_conflicts;CLNDISDB=MedGen:C3279664,OMIM:614038,Orphanet:ORPHA3226|MedGen:C3280030,OMIM:614172,Orphanet:ORPHA228423|MedGen:CN169374;CLNALLELEID=138204</t>
  </si>
  <si>
    <t>http://localhost:60151/goto?locus=chr22:21400282</t>
  </si>
  <si>
    <t>21400282</t>
  </si>
  <si>
    <t>196</t>
  </si>
  <si>
    <t>LRRC74B:NM_001291006:exon1:c.7G&gt;C:p.G3R</t>
  </si>
  <si>
    <t>rs12170538</t>
  </si>
  <si>
    <t>ID=COSM7244043,COSM7244042;OCCURRENCE=1(lung)</t>
  </si>
  <si>
    <t>http://localhost:60151/goto?locus=chr17:8108331</t>
  </si>
  <si>
    <t>8108331</t>
  </si>
  <si>
    <t>213</t>
  </si>
  <si>
    <t>187</t>
  </si>
  <si>
    <t>AURKB:NM_001313955:exon7:c.389T&gt;C:p.M130T,AURKB:NM_001256834:exon8:c.770T&gt;C:p.M257T,AURKB:NM_001313952:exon8:c.773T&gt;C:p.M258T,AURKB:NM_001313953:exon8:c.797T&gt;C:p.M266T,AURKB:NM_001284526:exon9:c.896T&gt;C:p.M299T,AURKB:NM_001313950:exon9:c.893T&gt;C:p.M298T,AURKB:NM_001313951:exon9:c.770T&gt;C:p.M257T,AURKB:NM_001313954:exon9:c.437T&gt;C:p.M146T,AURKB:NM_004217:exon9:c.893T&gt;C:p.M298T</t>
  </si>
  <si>
    <t>rs1059476</t>
  </si>
  <si>
    <t>ID=COSM4130881,COSM4130880;OCCURRENCE=3(haematopoietic_and_lymphoid_tissue),2(thyroid)</t>
  </si>
  <si>
    <t>14:AURKB:M298T(14)</t>
  </si>
  <si>
    <t>http://localhost:60151/goto?locus=chr1:46505147</t>
  </si>
  <si>
    <t>46505147</t>
  </si>
  <si>
    <t>dist=665</t>
  </si>
  <si>
    <t>rs1707322</t>
  </si>
  <si>
    <t>ID=COSN6457858;OCCURRENCE=1(liver)</t>
  </si>
  <si>
    <t>http://localhost:60151/goto?locus=chr4:55147769</t>
  </si>
  <si>
    <t>55147769</t>
  </si>
  <si>
    <t>185</t>
  </si>
  <si>
    <t>171</t>
  </si>
  <si>
    <t>PDGFRA:NM_001347827:exon17:c.2345C&gt;T:p.T782M</t>
  </si>
  <si>
    <t>rs2291591</t>
  </si>
  <si>
    <t>ID=COSN26726903;OCCURRENCE=1(breast)</t>
  </si>
  <si>
    <t>CLINSIG=not_provided;CLNDN=not_specified;CLNREVSTAT=no_assertion_provided;CLNDISDB=MedGen:CN169374;CLNALLELEID=137113</t>
  </si>
  <si>
    <t>http://localhost:60151/goto?locus=chr9:2039793</t>
  </si>
  <si>
    <t>2039793</t>
  </si>
  <si>
    <t>363</t>
  </si>
  <si>
    <t>158</t>
  </si>
  <si>
    <t>SMARCA2:NM_001289396:exon4:c.683A&gt;C:p.Q228P,SMARCA2:NM_001289397:exon4:c.683A&gt;C:p.Q228P,SMARCA2:NM_003070:exon4:c.683A&gt;C:p.Q228P,SMARCA2:NM_139045:exon4:c.683A&gt;C:p.Q228P</t>
  </si>
  <si>
    <t>rs62534884</t>
  </si>
  <si>
    <t>ID=COSM1461690,COSM1461691;OCCURRENCE=2(upper_aerodigestive_tract)</t>
  </si>
  <si>
    <t>1:SMARCA2:Q228P(1)</t>
  </si>
  <si>
    <t>CLINSIG=Benign;CLNDN=Nicolaides-Baraitser_syndrome|History_of_neurodevelopmental_disorder|not_specified;CLNREVSTAT=criteria_provided,_multiple_submitters,_no_conflicts;CLNDISDB=MedGen:C1303073,OMIM:601358,Orphanet:ORPHA3051,SNOMED_CT:401046009|MedGen:C2711754|MedGen:CN169374;CLNALLELEID=131883</t>
  </si>
  <si>
    <t>http://localhost:60151/goto?locus=chr15:100514614</t>
  </si>
  <si>
    <t>100514614</t>
  </si>
  <si>
    <t>225</t>
  </si>
  <si>
    <t>ADAMTS17:NM_139057:exon22:c.3281A&gt;G:p.N1094S</t>
  </si>
  <si>
    <t>rs2573652</t>
  </si>
  <si>
    <t>ID=COSM1375652;OCCURRENCE=1(liver),1(thyroid)</t>
  </si>
  <si>
    <t>CLINSIG=Benign;CLNDN=Weill-Marchesani-like_syndrome;CLNREVSTAT=criteria_provided,_single_submitter;CLNDISDB=MedGen:C2750787,OMIM:613195,Orphanet:ORPHA363992;CLNALLELEID=341746</t>
  </si>
  <si>
    <t>http://localhost:60151/goto?locus=chr12:121437382</t>
  </si>
  <si>
    <t>121437382</t>
  </si>
  <si>
    <t>165</t>
  </si>
  <si>
    <t>129</t>
  </si>
  <si>
    <t>HNF1A:NM_000545:exon9:c.1720A&gt;G:p.S574G,HNF1A:NM_001306179:exon9:c.1741A&gt;G:p.S581G</t>
  </si>
  <si>
    <t>rs1169305</t>
  </si>
  <si>
    <t>ID=COSM4445211;OCCURRENCE=1(large_intestine)</t>
  </si>
  <si>
    <t>13:HNF1A:S574G(13)</t>
  </si>
  <si>
    <t>CLINSIG=Benign;CLNDN=Maturity-onset_diabetes_of_the_young,_type_3|not_specified;CLNREVSTAT=criteria_provided,_single_submitter;CLNDISDB=MedGen:C1838100,OMIM:600496|MedGen:CN169374;CLNALLELEID=45471</t>
  </si>
  <si>
    <t>http://localhost:60151/goto?locus=chr11:2169014</t>
  </si>
  <si>
    <t>2169014</t>
  </si>
  <si>
    <t>121</t>
  </si>
  <si>
    <t>INS-IGF2:NM_001042376:exon4:c.431T&gt;C:p.L144P</t>
  </si>
  <si>
    <t>rs10770125</t>
  </si>
  <si>
    <t>ID=COSM6309728;OCCURRENCE=1(breast),1(liver),2(lung)</t>
  </si>
  <si>
    <t>http://localhost:60151/goto?locus=chr1:2488153</t>
  </si>
  <si>
    <t>2488153</t>
  </si>
  <si>
    <t>166</t>
  </si>
  <si>
    <t>110</t>
  </si>
  <si>
    <t>TNFRSF14:NM_001297605:exon1:c.50A&gt;G:p.K17R,TNFRSF14:NM_003820:exon1:c.50A&gt;G:p.K17R</t>
  </si>
  <si>
    <t>rs4870</t>
  </si>
  <si>
    <t>ID=COSM4143682,COSM4999217;OCCURRENCE=2(lung),1(pancreas),1(thyroid)</t>
  </si>
  <si>
    <t>15:TNFRSF14:K17R(15)</t>
  </si>
  <si>
    <t>CLINSIG=not_provided;CLNDN=not_specified;CLNREVSTAT=no_assertion_provided;CLNDISDB=MedGen:CN169374;CLNALLELEID=139088</t>
  </si>
  <si>
    <t>http://localhost:60151/goto?locus=chr13:110435231</t>
  </si>
  <si>
    <t>110435231</t>
  </si>
  <si>
    <t>106</t>
  </si>
  <si>
    <t>IRS2:NM_003749:exon1:c.3170G&gt;A:p.G1057D</t>
  </si>
  <si>
    <t>rs1805097</t>
  </si>
  <si>
    <t>ID=COSM3753571;OCCURRENCE=1(haematopoietic_and_lymphoid_tissue),1(large_intestine),1(skin),1(thyroid)</t>
  </si>
  <si>
    <t>8:IRS2:G1057D(8)</t>
  </si>
  <si>
    <t>CLINSIG=risk_factor;CLNDN=DIABETES,_TYPE_II,_SUSCEPTIBILITY_TO;CLNREVSTAT=no_assertion_criteria_provided;CLNDISDB=.;CLNALLELEID=23859</t>
  </si>
  <si>
    <t>ACAG</t>
  </si>
  <si>
    <t>240</t>
  </si>
  <si>
    <t>NCOA3:NM_001174087:exon20:c.3760_3762del:p.1254_1254del,NCOA3:NM_001174088:exon20:c.3736_3738del:p.1246_1246del,NCOA3:NM_006534:exon20:c.3751_3753del:p.1251_1251del,NCOA3:NM_181659:exon20:c.3763_3765del:p.1255_1255del</t>
  </si>
  <si>
    <t>rs147879509</t>
  </si>
  <si>
    <t>ID=COSM128730;OCCURRENCE=1(liver),1(upper_aerodigestive_tract)</t>
  </si>
  <si>
    <t>17:NCOA3:Q1276del(17)</t>
  </si>
  <si>
    <t>http://localhost:60151/goto?locus=chr9:36840623</t>
  </si>
  <si>
    <t>36840623</t>
  </si>
  <si>
    <t>146</t>
  </si>
  <si>
    <t>PAX5:NM_001280550:exon7:c.791C&gt;T:p.T264I,PAX5:NM_001280549:exon8:c.878C&gt;T:p.T293I</t>
  </si>
  <si>
    <t>rs3780135</t>
  </si>
  <si>
    <t>ID=COSM4163845;OCCURRENCE=1(liver),1(thyroid)</t>
  </si>
  <si>
    <t>CLINSIG=not_provided;CLNDN=not_specified;CLNREVSTAT=no_assertion_provided;CLNDISDB=MedGen:CN169374;CLNALLELEID=138737</t>
  </si>
  <si>
    <t>http://localhost:60151/goto?locus=chr12:89745477</t>
  </si>
  <si>
    <t>89745477</t>
  </si>
  <si>
    <t>102</t>
  </si>
  <si>
    <t>DUSP6:NM_001946:exon1:c.340G&gt;T:p.V114L,DUSP6:NM_022652:exon1:c.340G&gt;T:p.V114L</t>
  </si>
  <si>
    <t>rs2279574</t>
  </si>
  <si>
    <t>ID=COSM3753523;OCCURRENCE=1(large_intestine),1(thyroid)</t>
  </si>
  <si>
    <t>118</t>
  </si>
  <si>
    <t>COL1A1:NM_000088:exon44:c.3223A&gt;G:p.T1075A</t>
  </si>
  <si>
    <t>rs1800215</t>
  </si>
  <si>
    <t>ID=COSM4130378;OCCURRENCE=1(thyroid)</t>
  </si>
  <si>
    <t>2:COL1A1:T1075A(2)</t>
  </si>
  <si>
    <t>CLINSIG=Benign;CLNDN=not_specified;CLNREVSTAT=criteria_provided,_single_submitter;CLNDISDB=MedGen:CN169374;CLNALLELEID=269599</t>
  </si>
  <si>
    <t>http://localhost:60151/goto?locus=chr8:37688966</t>
  </si>
  <si>
    <t>37688966</t>
  </si>
  <si>
    <t>82</t>
  </si>
  <si>
    <t>78</t>
  </si>
  <si>
    <t>ADGRA2:NM_032777:exon8:c.958G&gt;A:p.V320M</t>
  </si>
  <si>
    <t>rs111714720</t>
  </si>
  <si>
    <t>ID=COSM3925243;OCCURRENCE=1(lung),1(skin),2(soft_tissue)</t>
  </si>
  <si>
    <t>1:ADGRA2:V320M(1)</t>
  </si>
  <si>
    <t>http://localhost:60151/goto?locus=chr21:42879909</t>
  </si>
  <si>
    <t>42879909</t>
  </si>
  <si>
    <t>91</t>
  </si>
  <si>
    <t>TMPRSS2:NM_001135099:exon1:c.23G&gt;T:p.G8V</t>
  </si>
  <si>
    <t>rs75603675</t>
  </si>
  <si>
    <t>ID=COSM3766655;OCCURRENCE=1(liver)</t>
  </si>
  <si>
    <t>http://localhost:60151/goto?locus=chr5:79950741</t>
  </si>
  <si>
    <t>79950741</t>
  </si>
  <si>
    <t>GCCCCCAGCT</t>
  </si>
  <si>
    <t>MSH3:NM_002439:exon1:c.196_204del:p.66_68del</t>
  </si>
  <si>
    <t>rs144629981</t>
  </si>
  <si>
    <t>ID=COSM450125,COSM4168094;OCCURRENCE=1(haematopoietic_and_lymphoid_tissue),1(large_intestine),1(upper_aerodigestive_tract)</t>
  </si>
  <si>
    <t>14:MSH3:P67_P69del(14)</t>
  </si>
  <si>
    <t>CLINSIG=Benign;CLNDN=not_specified;CLNREVSTAT=criteria_provided,_single_submitter;CLNDISDB=MedGen:CN169374;CLNALLELEID=389689</t>
  </si>
  <si>
    <t>http://localhost:60151/goto?locus=chr5:79950699</t>
  </si>
  <si>
    <t>79950699</t>
  </si>
  <si>
    <t>TGCAGCGGCTGCAGCGGCC</t>
  </si>
  <si>
    <t>56</t>
  </si>
  <si>
    <t>MSH3:NM_002439:exon1:c.154_171del:p.52_57del</t>
  </si>
  <si>
    <t>rs201874762</t>
  </si>
  <si>
    <t>ID=COSM3718906;OCCURRENCE=1(large_intestine),1(upper_aerodigestive_tract)</t>
  </si>
  <si>
    <t>16:MSH3:A57_A62del(16)</t>
  </si>
  <si>
    <t>http://localhost:60151/goto?locus=chr12:498247</t>
  </si>
  <si>
    <t>498247</t>
  </si>
  <si>
    <t>KDM5A:NM_001042603:exon1:c.11T&gt;G:p.V4G</t>
  </si>
  <si>
    <t>rs766644174</t>
  </si>
  <si>
    <t>ID=COSM6359777,COSM6359778;OCCURRENCE=2(thyroid)</t>
  </si>
  <si>
    <t>1:KDM5A:V4G(1)</t>
  </si>
  <si>
    <t>http://localhost:60151/goto?locus=chr2:215674224</t>
  </si>
  <si>
    <t>215674224</t>
  </si>
  <si>
    <t>86</t>
  </si>
  <si>
    <t>BARD1:NM_000465:exon1:c.70C&gt;T:p.P24S,BARD1:NM_001282543:exon1:c.70C&gt;T:p.P24S,BARD1:NM_001282545:exon1:c.70C&gt;T:p.P24S,BARD1:NM_001282548:exon1:c.70C&gt;T:p.P24S,BARD1:NM_001282549:exon1:c.70C&gt;T:p.P24S</t>
  </si>
  <si>
    <t>rs1048108</t>
  </si>
  <si>
    <t>ID=COSM442275,COSM1482743;OCCURRENCE=1(large_intestine),3(lung),1(thyroid)</t>
  </si>
  <si>
    <t>13:BARD1:P24S(13)</t>
  </si>
  <si>
    <t>CLINSIG=Benign/Likely_benign;CLNDN=Neoplasm_of_the_breast|Familial_cancer_of_breast|Hereditary_cancer-predisposing_syndrome|not_specified|not_provided;CLNREVSTAT=criteria_provided,_multiple_submitters,_no_conflicts;CLNDISDB=Human_Phenotype_Ontology:HP:0100013,MeSH:D001943,MedGen:C1458155,Orphanet:ORPHA180250,SNOMED_CT:126926005|MedGen:C0006142,OMIM:114480,Orphanet:ORPHA227535,SNOMED_CT:254843006|MedGen:C0027672,SNOMED_CT:699346009|MedGen:CN169374|MedGen:CN517202;CLNALLELEID=181856</t>
  </si>
  <si>
    <t>http://localhost:60151/goto?locus=chr12:48398080</t>
  </si>
  <si>
    <t>48398080</t>
  </si>
  <si>
    <t>53</t>
  </si>
  <si>
    <t>COL2A1:NM_001844:exon1:c.25A&gt;T:p.T9S,COL2A1:NM_033150:exon1:c.25A&gt;T:p.T9S</t>
  </si>
  <si>
    <t>rs3803183</t>
  </si>
  <si>
    <t>ID=COSM3753257,COSM3753256;OCCURRENCE=1(large_intestine),1(thyroid)</t>
  </si>
  <si>
    <t>1:COL2A1:T9S(1)</t>
  </si>
  <si>
    <t>CLINSIG=Benign/Likely_benign;CLNDN=Type_II_Collagenopathies|not_specified|Stickler_Syndrome,_Dominant|not_provided;CLNREVSTAT=criteria_provided,_multiple_submitters,_no_conflicts;CLNDISDB=MedGen:CN043672|MedGen:CN169374|MedGen:CN239460|MedGen:CN517202;CLNALLELEID=99690</t>
  </si>
  <si>
    <t>http://localhost:60151/goto?locus=chr22:21336549</t>
  </si>
  <si>
    <t>21336549</t>
  </si>
  <si>
    <t>upstream;downstream</t>
  </si>
  <si>
    <t>43</t>
  </si>
  <si>
    <t>27</t>
  </si>
  <si>
    <t>dist=9;dist=900</t>
  </si>
  <si>
    <t>rs13056784</t>
  </si>
  <si>
    <t>ID=COSN28676721;OCCURRENCE=1(lung)</t>
  </si>
  <si>
    <t>CLINSIG=Benign;CLNDN=not_provided;CLNREVSTAT=criteria_provided,_single_submitter;CLNDISDB=MedGen:CN517202;CLNALLELEID=553054</t>
  </si>
  <si>
    <t>http://localhost:60151/goto?locus=chr19:18280096</t>
  </si>
  <si>
    <t>18280096</t>
  </si>
  <si>
    <t>42</t>
  </si>
  <si>
    <t>18</t>
  </si>
  <si>
    <t>PIK3R2:NM_005027:exon16:c.2179G&gt;A:p.A727T</t>
  </si>
  <si>
    <t>rs149081991</t>
  </si>
  <si>
    <t>ID=COSM1325394;OCCURRENCE=1(ovary)</t>
  </si>
  <si>
    <t>3:PIK3R2:A727T(3)</t>
  </si>
  <si>
    <t>CLINSIG=Benign;CLNDN=Megalencephaly-polymicrogyria-polydactyly-hydrocephalus_syndrome_1;CLNREVSTAT=criteria_provided,_multiple_submitters,_no_conflicts;CLNDISDB=MedGen:C4012727,OMIM:603387;CLNALLELEID=469943</t>
  </si>
  <si>
    <t>http://localhost:60151/goto?locus=chr3:47205502</t>
  </si>
  <si>
    <t>47205502</t>
  </si>
  <si>
    <t>CGCGGCG</t>
  </si>
  <si>
    <t>19</t>
  </si>
  <si>
    <t>17</t>
  </si>
  <si>
    <t>dist=352</t>
  </si>
  <si>
    <t>rs747028688</t>
  </si>
  <si>
    <t>ID=COSN20069129;OCCURRENCE=1(prostate)</t>
  </si>
  <si>
    <t>http://localhost:60151/goto?locus=chr19:45873942</t>
  </si>
  <si>
    <t>45873942</t>
  </si>
  <si>
    <t>15</t>
  </si>
  <si>
    <t>12</t>
  </si>
  <si>
    <t>dist=97</t>
  </si>
  <si>
    <t>rs3810366</t>
  </si>
  <si>
    <t>ID=COSN6668964;OCCURRENCE=1(liver)</t>
  </si>
  <si>
    <t>http://localhost:60151/goto?locus=chr19:18272190</t>
  </si>
  <si>
    <t>18272190</t>
  </si>
  <si>
    <t>4</t>
  </si>
  <si>
    <t>PIK3R2:NM_005027:exon6:c.700A&gt;C:p.S234R</t>
  </si>
  <si>
    <t>rs2241088</t>
  </si>
  <si>
    <t>ID=COSM4131465;OCCURRENCE=1(thyroid)</t>
  </si>
  <si>
    <t>6:PIK3R2:S234R(6)</t>
  </si>
  <si>
    <t>CLINSIG=Benign;CLNDN=not_specified;CLNREVSTAT=criteria_provided,_single_submitter;CLNDISDB=MedGen:CN169374;CLNALLELEID=488503</t>
  </si>
  <si>
    <t>http://localhost:60151/goto?locus=chr13:28674628</t>
  </si>
  <si>
    <t>28674628</t>
  </si>
  <si>
    <t>6</t>
  </si>
  <si>
    <t>2</t>
  </si>
  <si>
    <t>FLT3:NM_004119:exon1:c.20A&gt;G:p.D7G</t>
  </si>
  <si>
    <t>rs12872889</t>
  </si>
  <si>
    <t>ID=COSM4147677;OCCURRENCE=1(thyroid)</t>
  </si>
  <si>
    <t>5:FLT3:D7G(5)</t>
  </si>
  <si>
    <t>http://localhost:60151/goto?locus=chr14:75513883</t>
  </si>
  <si>
    <t>75513883</t>
  </si>
  <si>
    <t>1289</t>
  </si>
  <si>
    <t>1137</t>
  </si>
  <si>
    <t>MLH3:NM_001040108:exon2:c.2476A&gt;G:p.N826D,MLH3:NM_014381:exon2:c.2476A&gt;G:p.N826D</t>
  </si>
  <si>
    <t>rs175081</t>
  </si>
  <si>
    <t>1:MLH3:N826D(1)</t>
  </si>
  <si>
    <t>CLINSIG=Benign/Likely_benign;CLNDN=Lynch_syndrome|not_specified;CLNREVSTAT=criteria_provided,_multiple_submitters,_no_conflicts;CLNDISDB=MedGen:C1333990,Orphanet:ORPHA144,SNOMED_CT:315058005|MedGen:CN169374;CLNALLELEID=255065</t>
  </si>
  <si>
    <t>http://localhost:60151/goto?locus=chr11:92534442</t>
  </si>
  <si>
    <t>92534442</t>
  </si>
  <si>
    <t>1565</t>
  </si>
  <si>
    <t>FAT3:NM_001008781:exon9:c.8263A&gt;G:p.I2755V</t>
  </si>
  <si>
    <t>rs3847531</t>
  </si>
  <si>
    <t>1:FAT3:I2755V(1)</t>
  </si>
  <si>
    <t>http://localhost:60151/goto?locus=chr14:81610583</t>
  </si>
  <si>
    <t>81610583</t>
  </si>
  <si>
    <t>1400</t>
  </si>
  <si>
    <t>TSHR:NM_000369:exon10:c.2181G&gt;C:p.E727D</t>
  </si>
  <si>
    <t>rs1991517</t>
  </si>
  <si>
    <t>14:TSHR:E727D(14)</t>
  </si>
  <si>
    <t>CLINSIG=Benign/Likely_benign;CLNDN=Congenital_hypothyroidism|Hyperthyroidism,_nonautoimmune|not_specified;CLNREVSTAT=criteria_provided,_multiple_submitters,_no_conflicts;CLNDISDB=Human_Phenotype_Ontology:HP:0000851,MedGen:C0010308,Orphanet:ORPHA442,SNOMED_CT:190268003|MedGen:C1836706,OMIM:609152,Orphanet:ORPHA424|MedGen:CN169374;CLNALLELEID=139139</t>
  </si>
  <si>
    <t>http://localhost:60151/goto?locus=chr3:121263720</t>
  </si>
  <si>
    <t>121263720</t>
  </si>
  <si>
    <t>1308</t>
  </si>
  <si>
    <t>POLQ:NM_199420:exon2:c.197G&gt;T:p.R66I</t>
  </si>
  <si>
    <t>rs702017</t>
  </si>
  <si>
    <t>1:POLQ:R66I(1)</t>
  </si>
  <si>
    <t>http://localhost:60151/goto?locus=chr5:1309168</t>
  </si>
  <si>
    <t>1309168</t>
  </si>
  <si>
    <t>1129</t>
  </si>
  <si>
    <t>dist=257</t>
  </si>
  <si>
    <t>rs61574973</t>
  </si>
  <si>
    <t>http://localhost:60151/goto?locus=chr11:92531356</t>
  </si>
  <si>
    <t>92531356</t>
  </si>
  <si>
    <t>1083</t>
  </si>
  <si>
    <t>904</t>
  </si>
  <si>
    <t>FAT3:NM_001008781:exon9:c.5177A&gt;G:p.Q1726R</t>
  </si>
  <si>
    <t>rs7949157</t>
  </si>
  <si>
    <t>1:FAT3:Q1726R(1)</t>
  </si>
  <si>
    <t>http://localhost:60151/goto?locus=chr3:121154974</t>
  </si>
  <si>
    <t>121154974</t>
  </si>
  <si>
    <t>929</t>
  </si>
  <si>
    <t>POLQ:NM_199420:exon28:c.7538A&gt;G:p.Q2513R</t>
  </si>
  <si>
    <t>rs1381057</t>
  </si>
  <si>
    <t>3:POLQ:Q2513R(3)</t>
  </si>
  <si>
    <t>http://localhost:60151/goto?locus=chr15:41988439</t>
  </si>
  <si>
    <t>41988439</t>
  </si>
  <si>
    <t>1065</t>
  </si>
  <si>
    <t>873</t>
  </si>
  <si>
    <t>MGA:NM_001080541:exon3:c.1231A&gt;G:p.T411A,MGA:NM_001164273:exon3:c.1231A&gt;G:p.T411A</t>
  </si>
  <si>
    <t>rs754832917</t>
  </si>
  <si>
    <t>http://localhost:60151/goto?locus=chr5:1308552</t>
  </si>
  <si>
    <t>1308552</t>
  </si>
  <si>
    <t>877</t>
  </si>
  <si>
    <t>820</t>
  </si>
  <si>
    <t>dist=873</t>
  </si>
  <si>
    <t>rs4635969</t>
  </si>
  <si>
    <t>http://localhost:60151/goto?locus=chr2:141072519</t>
  </si>
  <si>
    <t>141072519</t>
  </si>
  <si>
    <t>977</t>
  </si>
  <si>
    <t>LRP1B:NM_018557:exon83:c.12790G&gt;C:p.V4264L</t>
  </si>
  <si>
    <t>rs17386226</t>
  </si>
  <si>
    <t>1:LRP1B:V4264L(1)</t>
  </si>
  <si>
    <t>http://localhost:60151/goto?locus=chr12:78225374</t>
  </si>
  <si>
    <t>78225374</t>
  </si>
  <si>
    <t>974</t>
  </si>
  <si>
    <t>807</t>
  </si>
  <si>
    <t>NAV3:NM_001024383:exon1:c.133A&gt;G:p.T45A,NAV3:NM_014903:exon1:c.133A&gt;G:p.T45A</t>
  </si>
  <si>
    <t>rs10735309</t>
  </si>
  <si>
    <t>16:NAV3:T45A(16)</t>
  </si>
  <si>
    <t>http://localhost:60151/goto?locus=chr9:5557672</t>
  </si>
  <si>
    <t>5557672</t>
  </si>
  <si>
    <t>796</t>
  </si>
  <si>
    <t>PDCD1LG2:NM_025239:exon5:c.686T&gt;C:p.F229S</t>
  </si>
  <si>
    <t>rs7854303</t>
  </si>
  <si>
    <t>1:PDCD1LG2:F229S(1)</t>
  </si>
  <si>
    <t>http://localhost:60151/goto?locus=chr17:64783081</t>
  </si>
  <si>
    <t>64783081</t>
  </si>
  <si>
    <t>PRKCA:NM_002737:exon15:c.1702G&gt;A:p.V568I</t>
  </si>
  <si>
    <t>rs6504459</t>
  </si>
  <si>
    <t>1:PRKCA:V568I(1)</t>
  </si>
  <si>
    <t>http://localhost:60151/goto?locus=chr5:1317102</t>
  </si>
  <si>
    <t>1317102</t>
  </si>
  <si>
    <t>1080</t>
  </si>
  <si>
    <t>757</t>
  </si>
  <si>
    <t>dist=757</t>
  </si>
  <si>
    <t>rs6554759</t>
  </si>
  <si>
    <t>http://localhost:60151/goto?locus=chr8:41792053</t>
  </si>
  <si>
    <t>41792053</t>
  </si>
  <si>
    <t>KAT6A:NM_006766:exon17:c.3682_3684del:p.1228_1228del</t>
  </si>
  <si>
    <t>rs749689463</t>
  </si>
  <si>
    <t>http://localhost:60151/goto?locus=chr18:49867224</t>
  </si>
  <si>
    <t>49867224</t>
  </si>
  <si>
    <t>1247</t>
  </si>
  <si>
    <t>704</t>
  </si>
  <si>
    <t>DCC:NM_005215:exon1:c.67T&gt;C:p.F23L</t>
  </si>
  <si>
    <t>rs9951523</t>
  </si>
  <si>
    <t>1:DCC:F23L(1)</t>
  </si>
  <si>
    <t>CTCG</t>
  </si>
  <si>
    <t>TTCA</t>
  </si>
  <si>
    <t>697</t>
  </si>
  <si>
    <t>NCOR1:NM_001190438:exon2:c.241_244TGAA,NCOR1:NM_001190440:exon4:c.568_571TGAA,NCOR1:NM_006311:exon5:c.568_571TGAA</t>
  </si>
  <si>
    <t>http://localhost:60151/goto?locus=chr6:152540278</t>
  </si>
  <si>
    <t>152540278</t>
  </si>
  <si>
    <t>836</t>
  </si>
  <si>
    <t>SYNE1:NM_033071:exon119:c.21691T&gt;G:p.F7231V,SYNE1:NM_182961:exon120:c.21904T&gt;G:p.F7302V</t>
  </si>
  <si>
    <t>rs2147377</t>
  </si>
  <si>
    <t>CLINSIG=Benign/Likely_benign;CLNDN=Cerebellar_ataxia|Emery-Dreifuss_muscular_dystrophy|not_specified;CLNREVSTAT=criteria_provided,_multiple_submitters,_no_conflicts;CLNDISDB=Human_Phenotype_Ontology:HP:0001251,MedGen:C0007758,SNOMED_CT:85102008|MedGen:C0410189,Orphanet:ORPHA261,SNOMED_CT:111508004|MedGen:CN169374;CLNALLELEID=135865</t>
  </si>
  <si>
    <t>http://localhost:60151/goto?locus=chr2:215632255</t>
  </si>
  <si>
    <t>215632255</t>
  </si>
  <si>
    <t>CA</t>
  </si>
  <si>
    <t>758</t>
  </si>
  <si>
    <t>BARD1:NM_001282543:exon5:c.1461_1462CA,BARD1:NM_000465:exon6:c.1518_1519CA</t>
  </si>
  <si>
    <t>rs386654966</t>
  </si>
  <si>
    <t>CLINSIG=Benign/Likely_benign;CLNDN=Familial_cancer_of_breast|Hereditary_cancer-predisposing_syndrome|not_specified;CLNREVSTAT=criteria_provided,_multiple_submitters,_no_conflicts;CLNDISDB=MedGen:C0006142,OMIM:114480,Orphanet:ORPHA227535,SNOMED_CT:254843006|MedGen:C0027672,SNOMED_CT:699346009|MedGen:CN169374;CLNALLELEID=212134</t>
  </si>
  <si>
    <t>http://localhost:60151/goto?locus=chr12:71016340</t>
  </si>
  <si>
    <t>71016340</t>
  </si>
  <si>
    <t>716</t>
  </si>
  <si>
    <t>PTPRB:NM_001109754:exon3:c.538G&gt;A:p.G180S,PTPRB:NM_001330204:exon3:c.538G&gt;A:p.G180S</t>
  </si>
  <si>
    <t>rs7298147</t>
  </si>
  <si>
    <t>http://localhost:60151/goto?locus=chr15:34640218</t>
  </si>
  <si>
    <t>34640218</t>
  </si>
  <si>
    <t>942</t>
  </si>
  <si>
    <t>655</t>
  </si>
  <si>
    <t>NUTM1:NM_001284293:exon2:c.119C&gt;T:p.P40L,NUTM1:NM_001284292:exon3:c.149C&gt;T:p.P50L,NUTM1:NM_175741:exon3:c.65C&gt;T:p.P22L</t>
  </si>
  <si>
    <t>rs374230</t>
  </si>
  <si>
    <t>14:NUTM1:P22L(14)</t>
  </si>
  <si>
    <t>http://localhost:60151/goto?locus=chr20:54961463</t>
  </si>
  <si>
    <t>54961463</t>
  </si>
  <si>
    <t>1035</t>
  </si>
  <si>
    <t>645</t>
  </si>
  <si>
    <t>AURKA:NM_003600:exon3:c.169A&gt;G:p.I57V,AURKA:NM_198435:exon3:c.169A&gt;G:p.I57V,AURKA:NM_198437:exon3:c.169A&gt;G:p.I57V,AURKA:NM_001323303:exon4:c.169A&gt;G:p.I57V,AURKA:NM_001323304:exon4:c.169A&gt;G:p.I57V,AURKA:NM_198434:exon4:c.169A&gt;G:p.I57V,AURKA:NM_198436:exon4:c.169A&gt;G:p.I57V,AURKA:NM_001323305:exon5:c.169A&gt;G:p.I57V,AURKA:NM_198433:exon5:c.169A&gt;G:p.I57V</t>
  </si>
  <si>
    <t>rs1047972</t>
  </si>
  <si>
    <t>13:AURKA:I57V(13)</t>
  </si>
  <si>
    <t>http://localhost:60151/goto?locus=chr1:155880573</t>
  </si>
  <si>
    <t>155880573</t>
  </si>
  <si>
    <t>883</t>
  </si>
  <si>
    <t>638</t>
  </si>
  <si>
    <t>RIT1:NM_001256821:exon2:c.31G&gt;C:p.E11Q</t>
  </si>
  <si>
    <t>rs493446</t>
  </si>
  <si>
    <t>CLINSIG=Benign;CLNDN=not_specified|not_provided;CLNREVSTAT=criteria_provided,_multiple_submitters,_no_conflicts;CLNDISDB=MedGen:CN169374|MedGen:CN517202;CLNALLELEID=228267</t>
  </si>
  <si>
    <t>http://localhost:60151/goto?locus=chr8:48852225</t>
  </si>
  <si>
    <t>48852225</t>
  </si>
  <si>
    <t>814</t>
  </si>
  <si>
    <t>rs8178017</t>
  </si>
  <si>
    <t>1:PRKDC:M333I(1)</t>
  </si>
  <si>
    <t>CLINSIG=Benign;CLNDN=Immunodeficiency_26_with_or_without_neurologic_abnormalities|not_specified;CLNREVSTAT=criteria_provided,_multiple_submitters,_no_conflicts;CLNDISDB=MedGen:C4014833,OMIM:615966,Orphanet:ORPHA317425|MedGen:CN169374;CLNALLELEID=369977</t>
  </si>
  <si>
    <t>http://localhost:60151/goto?locus=chr15:41991315</t>
  </si>
  <si>
    <t>41991315</t>
  </si>
  <si>
    <t>1089</t>
  </si>
  <si>
    <t>635</t>
  </si>
  <si>
    <t>MGA:NM_001080541:exon5:c.2146A&gt;T:p.T716S,MGA:NM_001164273:exon5:c.2146A&gt;T:p.T716S</t>
  </si>
  <si>
    <t>rs2178004</t>
  </si>
  <si>
    <t>1:MGA:T716S(1)</t>
  </si>
  <si>
    <t>http://localhost:60151/goto?locus=chr11:55578987</t>
  </si>
  <si>
    <t>55578987</t>
  </si>
  <si>
    <t>TGGAC</t>
  </si>
  <si>
    <t>CGGAT</t>
  </si>
  <si>
    <t>603</t>
  </si>
  <si>
    <t>OR5L1:NM_001004738:exon1:c.45_49CGGAT</t>
  </si>
  <si>
    <t>rs386753698</t>
  </si>
  <si>
    <t>http://localhost:60151/goto?locus=chr1:210001048</t>
  </si>
  <si>
    <t>210001048</t>
  </si>
  <si>
    <t>1197</t>
  </si>
  <si>
    <t>dist=264</t>
  </si>
  <si>
    <t>rs660975</t>
  </si>
  <si>
    <t>GACTT</t>
  </si>
  <si>
    <t>CACTG</t>
  </si>
  <si>
    <t>610</t>
  </si>
  <si>
    <t>ROS1:NM_002944:exon42:c.6682_6686CAGTG</t>
  </si>
  <si>
    <t>http://localhost:60151/goto?locus=chr2:234590974</t>
  </si>
  <si>
    <t>234590974</t>
  </si>
  <si>
    <t>CG</t>
  </si>
  <si>
    <t>AA</t>
  </si>
  <si>
    <t>923</t>
  </si>
  <si>
    <t>607</t>
  </si>
  <si>
    <t>UGT1A7:NM_019077:exon1:c.391_392AA</t>
  </si>
  <si>
    <t>rs386656364</t>
  </si>
  <si>
    <t>http://localhost:60151/goto?locus=chr16:89866043</t>
  </si>
  <si>
    <t>89866043</t>
  </si>
  <si>
    <t>599</t>
  </si>
  <si>
    <t>FANCA:NM_000135:exon9:c.796A&gt;G:p.T266A,FANCA:NM_001018112:exon9:c.796A&gt;G:p.T266A,FANCA:NM_001286167:exon9:c.796A&gt;G:p.T266A</t>
  </si>
  <si>
    <t>rs7190823</t>
  </si>
  <si>
    <t>10:FANCA:T266A(10)</t>
  </si>
  <si>
    <t>CLINSIG=Benign;CLNDN=Fanconi_anemia|not_specified;CLNREVSTAT=criteria_provided,_multiple_submitters,_no_conflicts;CLNDISDB=MedGen:C0015625,Orphanet:ORPHA84,SNOMED_CT:30575002|MedGen:CN169374;CLNALLELEID=138033</t>
  </si>
  <si>
    <t>http://localhost:60151/goto?locus=chr19:54182249</t>
  </si>
  <si>
    <t>54182249</t>
  </si>
  <si>
    <t>887</t>
  </si>
  <si>
    <t>dist=8</t>
  </si>
  <si>
    <t>rs7256893</t>
  </si>
  <si>
    <t>http://localhost:60151/goto?locus=chr7:99382096</t>
  </si>
  <si>
    <t>99382096</t>
  </si>
  <si>
    <t>996</t>
  </si>
  <si>
    <t>584</t>
  </si>
  <si>
    <t>dist=285</t>
  </si>
  <si>
    <t>rs2740574</t>
  </si>
  <si>
    <t>CLINSIG=drug_response;CLNDN=CYP3A4_PROMOTER_POLYMORPHISM|Cyp3a4-v|tacrolimus_response_-_Dosage;CLNREVSTAT=reviewed_by_expert_panel;CLNDISDB=.|.|MedGen:CN236545;CLNALLELEID=31955</t>
  </si>
  <si>
    <t>http://localhost:60151/goto?locus=chr12:53662624</t>
  </si>
  <si>
    <t>53662624</t>
  </si>
  <si>
    <t>775</t>
  </si>
  <si>
    <t>568</t>
  </si>
  <si>
    <t>ESPL1:NM_012291:exon2:c.74C&gt;A:p.A25D</t>
  </si>
  <si>
    <t>rs6580942</t>
  </si>
  <si>
    <t>1:ESPL1:A25D(1)</t>
  </si>
  <si>
    <t>http://localhost:60151/goto?locus=chr15:40683702</t>
  </si>
  <si>
    <t>40683702</t>
  </si>
  <si>
    <t>686</t>
  </si>
  <si>
    <t>KNSTRN:NM_001142761:exon7:c.694A&gt;G:p.S232G,KNSTRN:NM_033286:exon7:c.694A&gt;G:p.S232G</t>
  </si>
  <si>
    <t>rs11541642</t>
  </si>
  <si>
    <t>1:KNSTRN:S232G(1)</t>
  </si>
  <si>
    <t>http://localhost:60151/goto?locus=chr4:187519206</t>
  </si>
  <si>
    <t>187519206</t>
  </si>
  <si>
    <t>FAT1:NM_005245:exon23:c.12177G&gt;C:p.K4059N</t>
  </si>
  <si>
    <t>rs1280097</t>
  </si>
  <si>
    <t>14:FAT1:K4059N(14)</t>
  </si>
  <si>
    <t>http://localhost:60151/goto?locus=chr14:71206812</t>
  </si>
  <si>
    <t>71206812</t>
  </si>
  <si>
    <t>552</t>
  </si>
  <si>
    <t>MAP3K9:NM_001284232:exon6:c.719G&gt;A:p.R240H,MAP3K9:NM_001284230:exon7:c.1637G&gt;A:p.R546H,MAP3K9:NM_001284231:exon7:c.848G&gt;A:p.R283H,MAP3K9:NM_033141:exon7:c.1637G&gt;A:p.R546H</t>
  </si>
  <si>
    <t>rs564950962</t>
  </si>
  <si>
    <t>TGACCG</t>
  </si>
  <si>
    <t>GGACAA</t>
  </si>
  <si>
    <t>540</t>
  </si>
  <si>
    <t>UGT1A7:NM_019077:exon1:c.387_392GGACAA</t>
  </si>
  <si>
    <t>rs71405712</t>
  </si>
  <si>
    <t>http://localhost:60151/goto?locus=chr2:215617178</t>
  </si>
  <si>
    <t>215617178</t>
  </si>
  <si>
    <t>537</t>
  </si>
  <si>
    <t>BARD1:NM_001282548:exon2:c.260G&gt;C:p.C87S,BARD1:NM_001282545:exon3:c.317G&gt;C:p.C106S,BARD1:NM_001282543:exon6:c.1613G&gt;C:p.C538S,BARD1:NM_000465:exon7:c.1670G&gt;C:p.C557S</t>
  </si>
  <si>
    <t>rs28997576</t>
  </si>
  <si>
    <t>1:BARD1:C557S(1)</t>
  </si>
  <si>
    <t>CLINSIG=Benign/Likely_benign,_risk_factor;CLNDN=Neoplasm_of_the_breast|Familial_cancer_of_breast|Hereditary_cancer-predisposing_syndrome|Breast_cancer,_susceptibility_to|not_specified;CLNREVSTAT=criteria_provided,_multiple_submitters,_no_conflicts;CLNDISDB=Human_Phenotype_Ontology:HP:0100013,MeSH:D001943,MedGen:C1458155,Orphanet:ORPHA180250,SNOMED_CT:126926005|MedGen:C0006142,OMIM:114480,Orphanet:ORPHA227535,SNOMED_CT:254843006|MedGen:C0027672,SNOMED_CT:699346009|MedGen:C3469522|MedGen:CN169374;CLNALLELEID=23084</t>
  </si>
  <si>
    <t>http://localhost:60151/goto?locus=chr8:68993013</t>
  </si>
  <si>
    <t>68993013</t>
  </si>
  <si>
    <t>AT</t>
  </si>
  <si>
    <t>GC</t>
  </si>
  <si>
    <t>729</t>
  </si>
  <si>
    <t>513</t>
  </si>
  <si>
    <t>PREX2:NM_024870:exon17:c.1818_1819GC,PREX2:NM_025170:exon17:c.1818_1819GC</t>
  </si>
  <si>
    <t>rs368406603</t>
  </si>
  <si>
    <t>http://localhost:60151/goto?locus=chr13:52506048</t>
  </si>
  <si>
    <t>52506048</t>
  </si>
  <si>
    <t>765</t>
  </si>
  <si>
    <t>509</t>
  </si>
  <si>
    <t>dist=758</t>
  </si>
  <si>
    <t>rs2031993</t>
  </si>
  <si>
    <t>http://localhost:60151/goto?locus=chr2:29416572</t>
  </si>
  <si>
    <t>29416572</t>
  </si>
  <si>
    <t>866</t>
  </si>
  <si>
    <t>ALK:NM_004304:exon29:c.4381A&gt;G:p.I1461V</t>
  </si>
  <si>
    <t>rs1670283</t>
  </si>
  <si>
    <t>15:ALK:I1461V(15)</t>
  </si>
  <si>
    <t>CLINSIG=Benign;CLNDN=Hereditary_cancer-predisposing_syndrome|Neuroblastoma_3|not_specified|Neuroblastoma_Susceptibility|not_provided;CLNREVSTAT=criteria_provided,_multiple_submitters,_no_conflicts;CLNDISDB=MedGen:C0027672,SNOMED_CT:699346009|MedGen:C2751681,OMIM:613014|MedGen:CN169374|MedGen:CN239480|MedGen:CN517202;CLNALLELEID=137211</t>
  </si>
  <si>
    <t>http://localhost:60151/goto?locus=chr3:137743508</t>
  </si>
  <si>
    <t>137743508</t>
  </si>
  <si>
    <t>674</t>
  </si>
  <si>
    <t>488</t>
  </si>
  <si>
    <t>CLDN18:NM_001002026:exon3:c.445A&gt;T:p.M149L,CLDN18:NM_016369:exon3:c.445A&gt;T:p.M149L</t>
  </si>
  <si>
    <t>rs17204075</t>
  </si>
  <si>
    <t>2:CLDN18:M149L(2)</t>
  </si>
  <si>
    <t>http://localhost:60151/goto?locus=chr5:121799215</t>
  </si>
  <si>
    <t>121799215</t>
  </si>
  <si>
    <t>528</t>
  </si>
  <si>
    <t>454</t>
  </si>
  <si>
    <t>SNCAIP:NM_001242935:exon10:c.1757A&gt;T:p.K586I,SNCAIP:NM_001308100:exon14:c.2996A&gt;T:p.K999I</t>
  </si>
  <si>
    <t>http://localhost:60151/goto?locus=chr5:1310152</t>
  </si>
  <si>
    <t>1310152</t>
  </si>
  <si>
    <t>609</t>
  </si>
  <si>
    <t>439</t>
  </si>
  <si>
    <t>dist=660</t>
  </si>
  <si>
    <t>rs6554758</t>
  </si>
  <si>
    <t>http://localhost:60151/goto?locus=chr1:160509938</t>
  </si>
  <si>
    <t>160509938</t>
  </si>
  <si>
    <t>430</t>
  </si>
  <si>
    <t>dist=946</t>
  </si>
  <si>
    <t>rs12144628</t>
  </si>
  <si>
    <t>http://localhost:60151/goto?locus=chr6:160494409</t>
  </si>
  <si>
    <t>160494409</t>
  </si>
  <si>
    <t>428</t>
  </si>
  <si>
    <t>IGF2R:NM_000876:exon34:c.4855A&gt;G:p.R1619G</t>
  </si>
  <si>
    <t>rs629849</t>
  </si>
  <si>
    <t>14:IGF2R:R1619G(14)</t>
  </si>
  <si>
    <t>http://localhost:60151/goto?locus=chr14:20343768</t>
  </si>
  <si>
    <t>20343768</t>
  </si>
  <si>
    <t>440</t>
  </si>
  <si>
    <t>410</t>
  </si>
  <si>
    <t>dist=659</t>
  </si>
  <si>
    <t>rs937025</t>
  </si>
  <si>
    <t>http://localhost:60151/goto?locus=chr11:125525195</t>
  </si>
  <si>
    <t>125525195</t>
  </si>
  <si>
    <t>499</t>
  </si>
  <si>
    <t>404</t>
  </si>
  <si>
    <t>CHEK1:NM_001244846:exon12:c.1309A&gt;G:p.I437V,CHEK1:NM_001330427:exon12:c.1459A&gt;G:p.I487V,CHEK1:NM_001330428:exon12:c.1129A&gt;G:p.I377V,CHEK1:NM_001114121:exon13:c.1411A&gt;G:p.I471V,CHEK1:NM_001114122:exon13:c.1411A&gt;G:p.I471V,CHEK1:NM_001274:exon13:c.1411A&gt;G:p.I471V</t>
  </si>
  <si>
    <t>rs506504</t>
  </si>
  <si>
    <t>30:CHEK1:I471V(30)</t>
  </si>
  <si>
    <t>CLINSIG=Benign;CLNDN=not_provided;CLNREVSTAT=criteria_provided,_single_submitter;CLNDISDB=MedGen:CN517202;CLNALLELEID=487497</t>
  </si>
  <si>
    <t>http://localhost:60151/goto?locus=chr19:47421900</t>
  </si>
  <si>
    <t>47421900</t>
  </si>
  <si>
    <t>593</t>
  </si>
  <si>
    <t>dist=33</t>
  </si>
  <si>
    <t>rs117649098</t>
  </si>
  <si>
    <t>http://localhost:60151/goto?locus=chr1:210001125</t>
  </si>
  <si>
    <t>210001125</t>
  </si>
  <si>
    <t>382</t>
  </si>
  <si>
    <t>dist=186</t>
  </si>
  <si>
    <t>rs3215480</t>
  </si>
  <si>
    <t>http://localhost:60151/goto?locus=chr1:43805113</t>
  </si>
  <si>
    <t>43805113</t>
  </si>
  <si>
    <t>490</t>
  </si>
  <si>
    <t>368</t>
  </si>
  <si>
    <t>MPL:NM_005373:exon4:c.563T&gt;C:p.I188T</t>
  </si>
  <si>
    <t>rs781416266</t>
  </si>
  <si>
    <t>1:MPL:I188T(1)</t>
  </si>
  <si>
    <t>http://localhost:60151/goto?locus=chr3:71247520</t>
  </si>
  <si>
    <t>71247520</t>
  </si>
  <si>
    <t>708</t>
  </si>
  <si>
    <t>364</t>
  </si>
  <si>
    <t>FOXP1:NM_001244814:exon2:c.13T&gt;C:p.S5P,FOXP1:NM_001244812:exon3:c.13T&gt;C:p.S5P,FOXP1:NM_001244816:exon5:c.13T&gt;C:p.S5P,FOXP1:NM_001349340:exon5:c.13T&gt;C:p.S5P,FOXP1:NM_001012505:exon6:c.13T&gt;C:p.S5P,FOXP1:NM_001244808:exon6:c.13T&gt;C:p.S5P,FOXP1:NM_001244810:exon6:c.13T&gt;C:p.S5P,FOXP1:NM_001349338:exon6:c.13T&gt;C:p.S5P,FOXP1:NM_001349339:exon6:c.13T&gt;C:p.S5P,FOXP1:NM_001349341:exon6:c.13T&gt;C:p.S5P,FOXP1:NM_032682:exon6:c.13T&gt;C:p.S5P</t>
  </si>
  <si>
    <t>rs762898505</t>
  </si>
  <si>
    <t>1:FOXP1:S5P(1)</t>
  </si>
  <si>
    <t>CLINSIG=Uncertain_significance;CLNDN=not_specified;CLNREVSTAT=criteria_provided,_single_submitter;CLNDISDB=MedGen:CN169374;CLNALLELEID=207090</t>
  </si>
  <si>
    <t>http://localhost:60151/goto?locus=chr5:1317481</t>
  </si>
  <si>
    <t>1317481</t>
  </si>
  <si>
    <t>435</t>
  </si>
  <si>
    <t>353</t>
  </si>
  <si>
    <t>dist=378</t>
  </si>
  <si>
    <t>rs13170453</t>
  </si>
  <si>
    <t>http://localhost:60151/goto?locus=chr5:176517797</t>
  </si>
  <si>
    <t>176517797</t>
  </si>
  <si>
    <t>401</t>
  </si>
  <si>
    <t>329</t>
  </si>
  <si>
    <t>FGFR4:NM_022963:exon3:c.407C&gt;T:p.P136L,FGFR4:NM_001291980:exon4:c.407C&gt;T:p.P136L,FGFR4:NM_002011:exon4:c.407C&gt;T:p.P136L,FGFR4:NM_213647:exon4:c.407C&gt;T:p.P136L</t>
  </si>
  <si>
    <t>rs376618</t>
  </si>
  <si>
    <t>13:FGFR4:P136L(13)</t>
  </si>
  <si>
    <t>http://localhost:60151/goto?locus=chr15:40675155</t>
  </si>
  <si>
    <t>40675155</t>
  </si>
  <si>
    <t>487</t>
  </si>
  <si>
    <t>320</t>
  </si>
  <si>
    <t>KNSTRN:NM_001142761:exon1:c.119C&gt;A:p.A40E,KNSTRN:NM_001142762:exon1:c.119C&gt;A:p.A40E,KNSTRN:NM_033286:exon1:c.119C&gt;A:p.A40E</t>
  </si>
  <si>
    <t>rs7164132</t>
  </si>
  <si>
    <t>1:KNSTRN:A40E(1)</t>
  </si>
  <si>
    <t>http://localhost:60151/goto?locus=chr17:16029508</t>
  </si>
  <si>
    <t>16029508</t>
  </si>
  <si>
    <t>NCOR1:NM_001190438:exon12:c.1195C&gt;T:p.P399S,NCOR1:NM_001190440:exon14:c.1522C&gt;T:p.P508S,NCOR1:NM_006311:exon15:c.1522C&gt;T:p.P508S</t>
  </si>
  <si>
    <t>rs772933971</t>
  </si>
  <si>
    <t>http://localhost:60151/goto?locus=chr12:53686703</t>
  </si>
  <si>
    <t>53686703</t>
  </si>
  <si>
    <t>318</t>
  </si>
  <si>
    <t>ESPL1:NM_012291:exon30:c.6110G&gt;A:p.R2037H</t>
  </si>
  <si>
    <t>rs1056685</t>
  </si>
  <si>
    <t>1:ESPL1:R2037H(1)</t>
  </si>
  <si>
    <t>http://localhost:60151/goto?locus=chr9:133760592</t>
  </si>
  <si>
    <t>133760592</t>
  </si>
  <si>
    <t>443</t>
  </si>
  <si>
    <t>ABL1:NM_005157:exon11:c.2915C&gt;T:p.S972L,ABL1:NM_007313:exon11:c.2972C&gt;T:p.S991L</t>
  </si>
  <si>
    <t>rs2229067</t>
  </si>
  <si>
    <t>1:ABL1:S972L(1)</t>
  </si>
  <si>
    <t>CLINSIG=not_provided;CLNDN=not_specified;CLNREVSTAT=no_assertion_provided;CLNDISDB=MedGen:CN169374;CLNALLELEID=137182</t>
  </si>
  <si>
    <t>http://localhost:60151/goto?locus=chr3:9005381</t>
  </si>
  <si>
    <t>9005381</t>
  </si>
  <si>
    <t>512</t>
  </si>
  <si>
    <t>302</t>
  </si>
  <si>
    <t>dist=222</t>
  </si>
  <si>
    <t>rs604092</t>
  </si>
  <si>
    <t>http://localhost:60151/goto?locus=chr19:54182518</t>
  </si>
  <si>
    <t>54182518</t>
  </si>
  <si>
    <t>dist=676;dist=179</t>
  </si>
  <si>
    <t>rs7257295</t>
  </si>
  <si>
    <t>http://localhost:60151/goto?locus=chr1:210001173</t>
  </si>
  <si>
    <t>210001173</t>
  </si>
  <si>
    <t>296</t>
  </si>
  <si>
    <t>dist=139</t>
  </si>
  <si>
    <t>rs661755</t>
  </si>
  <si>
    <t>http://localhost:60151/goto?locus=chr5:43509348</t>
  </si>
  <si>
    <t>43509348</t>
  </si>
  <si>
    <t>400</t>
  </si>
  <si>
    <t>294</t>
  </si>
  <si>
    <t>C5orf34:NM_198566:exon2:c.94A&gt;T:p.T32S</t>
  </si>
  <si>
    <t>rs6872851</t>
  </si>
  <si>
    <t>http://localhost:60151/goto?locus=chr1:46505235</t>
  </si>
  <si>
    <t>46505235</t>
  </si>
  <si>
    <t>534</t>
  </si>
  <si>
    <t>290</t>
  </si>
  <si>
    <t>dist=577</t>
  </si>
  <si>
    <t>rs6429593</t>
  </si>
  <si>
    <t>http://localhost:60151/goto?locus=chr5:1296072</t>
  </si>
  <si>
    <t>1296072</t>
  </si>
  <si>
    <t>260</t>
  </si>
  <si>
    <t>286</t>
  </si>
  <si>
    <t>dist=910</t>
  </si>
  <si>
    <t>rs7712562</t>
  </si>
  <si>
    <t>http://localhost:60151/goto?locus=chr12:53681883</t>
  </si>
  <si>
    <t>53681883</t>
  </si>
  <si>
    <t>344</t>
  </si>
  <si>
    <t>ESPL1:NM_012291:exon19:c.4304A&gt;T:p.K1435M</t>
  </si>
  <si>
    <t>rs1110719</t>
  </si>
  <si>
    <t>2:ESPL1:K1435M(2)</t>
  </si>
  <si>
    <t>http://localhost:60151/goto?locus=chr1:23885498</t>
  </si>
  <si>
    <t>23885498</t>
  </si>
  <si>
    <t>472</t>
  </si>
  <si>
    <t>256</t>
  </si>
  <si>
    <t>ID3:NM_002167:exon2:c.313A&gt;G:p.T105A</t>
  </si>
  <si>
    <t>rs11574</t>
  </si>
  <si>
    <t>12:ID3:T105A(12)</t>
  </si>
  <si>
    <t>http://localhost:60151/goto?locus=chr19:18273047</t>
  </si>
  <si>
    <t>18273047</t>
  </si>
  <si>
    <t>348</t>
  </si>
  <si>
    <t>251</t>
  </si>
  <si>
    <t>PIK3R2:NM_005027:exon8:c.937T&gt;C:p.S313P</t>
  </si>
  <si>
    <t>rs1011320</t>
  </si>
  <si>
    <t>14:PIK3R2:S313P(14)</t>
  </si>
  <si>
    <t>http://localhost:60151/goto?locus=chr6:43638636</t>
  </si>
  <si>
    <t>43638636</t>
  </si>
  <si>
    <t>371</t>
  </si>
  <si>
    <t>RSPH9:NM_152732:exon5:c.781G&gt;A:p.V261I,RSPH9:NM_001193341:exon6:c.833G&gt;A:p.R278H</t>
  </si>
  <si>
    <t>rs16896629</t>
  </si>
  <si>
    <t>CLINSIG=Benign/Likely_benign;CLNDN=Ciliary_dyskinesia|not_specified;CLNREVSTAT=criteria_provided,_multiple_submitters,_no_conflicts;CLNDISDB=Human_Phenotype_Ontology:HP:0012265,MedGen:C0008780,Orphanet:ORPHA244|MedGen:CN169374;CLNALLELEID=174517</t>
  </si>
  <si>
    <t>http://localhost:60151/goto?locus=chr1:16475123</t>
  </si>
  <si>
    <t>16475123</t>
  </si>
  <si>
    <t>CAGC</t>
  </si>
  <si>
    <t>TAGT</t>
  </si>
  <si>
    <t>287</t>
  </si>
  <si>
    <t>220</t>
  </si>
  <si>
    <t>EPHA2:NM_001329090:exon2:c.408_411ACTA,EPHA2:NM_004431:exon3:c.570_573ACTA</t>
  </si>
  <si>
    <t>http://localhost:60151/goto?locus=chr12:57861960</t>
  </si>
  <si>
    <t>57861960</t>
  </si>
  <si>
    <t>299</t>
  </si>
  <si>
    <t>GLI1:NM_001160045:exon8:c.877G&gt;A:p.G293S,GLI1:NM_001167609:exon9:c.1138G&gt;A:p.G380S,GLI1:NM_005269:exon10:c.1261G&gt;A:p.G421S</t>
  </si>
  <si>
    <t>rs200169408</t>
  </si>
  <si>
    <t>http://localhost:60151/goto?locus=chr3:137742541</t>
  </si>
  <si>
    <t>137742541</t>
  </si>
  <si>
    <t>332</t>
  </si>
  <si>
    <t>CLDN18:NM_001002026:exon2:c.262G&gt;A:p.V88I,CLDN18:NM_016369:exon2:c.262G&gt;A:p.V88I</t>
  </si>
  <si>
    <t>rs114998965</t>
  </si>
  <si>
    <t>http://localhost:60151/goto?locus=chr22:39621819</t>
  </si>
  <si>
    <t>39621819</t>
  </si>
  <si>
    <t>PDGFB:NM_002608:exon6:c.635C&gt;T:p.T212M,PDGFB:NM_033016:exon6:c.590C&gt;T:p.T197M</t>
  </si>
  <si>
    <t>rs114786489</t>
  </si>
  <si>
    <t>CLINSIG=Benign;CLNDN=Dermatofibrosarcoma_protuberans;CLNREVSTAT=criteria_provided,_multiple_submitters,_no_conflicts;CLNDISDB=MedGen:C3693482,OMIM:607907;CLNALLELEID=512969</t>
  </si>
  <si>
    <t>http://localhost:60151/goto?locus=chr5:148520184</t>
  </si>
  <si>
    <t>148520184</t>
  </si>
  <si>
    <t>204</t>
  </si>
  <si>
    <t>175</t>
  </si>
  <si>
    <t>dist=826</t>
  </si>
  <si>
    <t>rs11739374</t>
  </si>
  <si>
    <t>http://localhost:60151/goto?locus=chr1:158619728</t>
  </si>
  <si>
    <t>158619728</t>
  </si>
  <si>
    <t>SPTA1:NM_003126:exon25:c.3487T&gt;G:p.S1163A</t>
  </si>
  <si>
    <t>rs2482965</t>
  </si>
  <si>
    <t>1:SPTA1:S1163A(1)</t>
  </si>
  <si>
    <t>CLINSIG=Benign/Likely_benign;CLNDN=Elliptocytosis|Hereditary_pyropoikilocytosis|not_specified|Spherocytosis,_Recessive;CLNREVSTAT=criteria_provided,_multiple_submitters,_no_conflicts;CLNDISDB=Human_Phenotype_Ontology:HP:0004445,MedGen:C0427480|Human_Phenotype_Ontology:HP:0004839,MedGen:C0520739,OMIM:266140,Orphanet:ORPHA98867,SNOMED_CT:9434008|MedGen:CN169374|MedGen:CN239472;CLNALLELEID=249451</t>
  </si>
  <si>
    <t>http://localhost:60151/goto?locus=chr15:40675493</t>
  </si>
  <si>
    <t>40675493</t>
  </si>
  <si>
    <t>KNSTRN:NM_001142761:exon2:c.274C&gt;T:p.P92S,KNSTRN:NM_001142762:exon2:c.274C&gt;T:p.P92S,KNSTRN:NM_033286:exon2:c.274C&gt;T:p.P92S</t>
  </si>
  <si>
    <t>rs7169262</t>
  </si>
  <si>
    <t>1:KNSTRN:P92S(1)</t>
  </si>
  <si>
    <t>150</t>
  </si>
  <si>
    <t>rs566728707</t>
  </si>
  <si>
    <t>http://localhost:60151/goto?locus=chr15:34502467</t>
  </si>
  <si>
    <t>34502467</t>
  </si>
  <si>
    <t>136</t>
  </si>
  <si>
    <t>dist=170</t>
  </si>
  <si>
    <t>rs6495622</t>
  </si>
  <si>
    <t>http://localhost:60151/goto?locus=chr5:148520213</t>
  </si>
  <si>
    <t>148520213</t>
  </si>
  <si>
    <t>dist=797</t>
  </si>
  <si>
    <t>rs4579247</t>
  </si>
  <si>
    <t>http://localhost:60151/goto?locus=chr14:23450848</t>
  </si>
  <si>
    <t>23450848</t>
  </si>
  <si>
    <t>AJUBA:NM_001289097:exon1:c.628G&gt;T:p.A210S,AJUBA:NM_032876:exon1:c.628G&gt;T:p.A210S</t>
  </si>
  <si>
    <t>http://localhost:60151/goto?locus=chr15:40674920</t>
  </si>
  <si>
    <t>40674920</t>
  </si>
  <si>
    <t>142</t>
  </si>
  <si>
    <t>112</t>
  </si>
  <si>
    <t>dist=2</t>
  </si>
  <si>
    <t>rs17733008</t>
  </si>
  <si>
    <t>http://localhost:60151/goto?locus=chr8:37554773</t>
  </si>
  <si>
    <t>37554773</t>
  </si>
  <si>
    <t>100</t>
  </si>
  <si>
    <t>ZNF703:NM_025069:exon2:c.354C&gt;A:p.N118K</t>
  </si>
  <si>
    <t>rs770307176</t>
  </si>
  <si>
    <t>http://localhost:60151/goto?locus=chr10:96521657</t>
  </si>
  <si>
    <t>96521657</t>
  </si>
  <si>
    <t>92</t>
  </si>
  <si>
    <t>dist=781</t>
  </si>
  <si>
    <t>rs12248560</t>
  </si>
  <si>
    <t>CLINSIG=other;CLNDN=not_provided;CLNREVSTAT=criteria_provided,_single_submitter;CLNDISDB=MedGen:CN517202;CLNALLELEID=47956</t>
  </si>
  <si>
    <t>rs367776390</t>
  </si>
  <si>
    <t>http://localhost:60151/goto?locus=chr15:34502311</t>
  </si>
  <si>
    <t>34502311</t>
  </si>
  <si>
    <t>105</t>
  </si>
  <si>
    <t>dist=14</t>
  </si>
  <si>
    <t>rs6495621</t>
  </si>
  <si>
    <t>http://localhost:60151/goto?locus=chr5:79950709</t>
  </si>
  <si>
    <t>79950709</t>
  </si>
  <si>
    <t>GCAGCGGCCGCAGCGGCCGCAGCGCCCC</t>
  </si>
  <si>
    <t>139</t>
  </si>
  <si>
    <t>84</t>
  </si>
  <si>
    <t>MSH3:NM_002439:exon1:c.164_190del:p.55_64del</t>
  </si>
  <si>
    <t>http://localhost:60151/goto?locus=chr2:112641854</t>
  </si>
  <si>
    <t>112641854</t>
  </si>
  <si>
    <t>101</t>
  </si>
  <si>
    <t>dist=113</t>
  </si>
  <si>
    <t>rs3814027</t>
  </si>
  <si>
    <t>http://localhost:60151/goto?locus=chr5:1309904</t>
  </si>
  <si>
    <t>1309904</t>
  </si>
  <si>
    <t>65</t>
  </si>
  <si>
    <t>dist=412</t>
  </si>
  <si>
    <t>rs60622800</t>
  </si>
  <si>
    <t>ACG</t>
  </si>
  <si>
    <t>CCC</t>
  </si>
  <si>
    <t>KDM5A:NM_001042603:exon1:c.9_11GGG</t>
  </si>
  <si>
    <t>ACGCCCG</t>
  </si>
  <si>
    <t>CCCCCCC</t>
  </si>
  <si>
    <t>KDM5A:NM_001042603:exon1:c.5_11GGGGGGG</t>
  </si>
  <si>
    <t>CCGCCCC</t>
  </si>
  <si>
    <t>KDM5A:NM_001042603:exon1:c.5_11GGGGCGG</t>
  </si>
  <si>
    <t>dist=292</t>
  </si>
  <si>
    <t>rs894655236</t>
  </si>
  <si>
    <t>http://localhost:60151/goto?locus=chr9:98270535</t>
  </si>
  <si>
    <t>98270535</t>
  </si>
  <si>
    <t>55</t>
  </si>
  <si>
    <t>28</t>
  </si>
  <si>
    <t>PTCH1:NM_000264:exon1:c.109G&gt;C:p.G37R</t>
  </si>
  <si>
    <t>rs199976372</t>
  </si>
  <si>
    <t>1:PTCH1:G37R(1)</t>
  </si>
  <si>
    <t>CLINSIG=Benign/Likely_benign;CLNDN=Holoprosencephaly_sequence|Gorlin_syndrome|Hereditary_cancer-predisposing_syndrome;CLNREVSTAT=criteria_provided,_multiple_submitters,_no_conflicts;CLNDISDB=Human_Phenotype_Ontology:HP:0001360,MedGen:C0079541,Orphanet:ORPHA2162,SNOMED_CT:30915001|MedGen:C0004779,OMIM:109400,Orphanet:ORPHA377,SNOMED_CT:69408002|MedGen:C0027672,SNOMED_CT:699346009;CLNALLELEID=240702</t>
  </si>
  <si>
    <t>TGCAGCAGCA</t>
  </si>
  <si>
    <t>AR:NM_000044:exon1:c.171_179del:p.57_60del,AR:NM_001348061:exon1:c.171_179del:p.57_60del,AR:NM_001348063:exon1:c.171_179del:p.57_60del,AR:NM_001348064:exon1:c.171_179del:p.57_60del</t>
  </si>
  <si>
    <t>rs797045254</t>
  </si>
  <si>
    <t>2:AR:Q78_Q80del(2)</t>
  </si>
  <si>
    <t>CLINSIG=Benign/Likely_benign;CLNDN=Androgen_resistance_syndrome|Bulbo-spinal_atrophy_X-linked|not_specified|not_provided;CLNREVSTAT=criteria_provided,_multiple_submitters,_no_conflicts;CLNDISDB=MedGen:C0039585,OMIM:300068,Orphanet:ORPHA754,SNOMED_CT:12313004|MedGen:C1839259,OMIM:313200,Orphanet:ORPHA481|MedGen:CN169374|MedGen:CN517202;CLNALLELEID=209141</t>
  </si>
  <si>
    <t>http://localhost:60151/goto?locus=chr16:89883148</t>
  </si>
  <si>
    <t>89883148</t>
  </si>
  <si>
    <t>AGGCCTTGCGTCGT</t>
  </si>
  <si>
    <t>dist=83</t>
  </si>
  <si>
    <t>rs11275235</t>
  </si>
  <si>
    <t>CLINSIG=Uncertain_significance;CLNDN=not_specified;CLNREVSTAT=criteria_provided,_single_submitter;CLNDISDB=MedGen:CN169374;CLNALLELEID=208324</t>
  </si>
  <si>
    <t>CGCGGCGGCG</t>
  </si>
  <si>
    <t>dist=349</t>
  </si>
  <si>
    <t>rs545985439</t>
  </si>
  <si>
    <t>http://localhost:60151/goto?locus=chr19:2164102</t>
  </si>
  <si>
    <t>2164102</t>
  </si>
  <si>
    <t>11</t>
  </si>
  <si>
    <t>dist=46</t>
  </si>
  <si>
    <t>rs947170060</t>
  </si>
  <si>
    <t>http://localhost:60151/goto?locus=chr20:57466810</t>
  </si>
  <si>
    <t>57466810</t>
  </si>
  <si>
    <t>39</t>
  </si>
  <si>
    <t>GNAS:NM_000516:exon1:c.29A&gt;T:p.E10V,GNAS:NM_001077488:exon1:c.29A&gt;T:p.E10V,GNAS:NM_001077489:exon1:c.29A&gt;T:p.E10V,GNAS:NM_001309842:exon1:c.29A&gt;T:p.E10V,GNAS:NM_080426:exon1:c.29A&gt;T:p.E10V</t>
  </si>
  <si>
    <t>http://localhost:60151/goto?locus=chr19:2164098</t>
  </si>
  <si>
    <t>2164098</t>
  </si>
  <si>
    <t>10</t>
  </si>
  <si>
    <t>dist=50</t>
  </si>
  <si>
    <t>rs914671144</t>
  </si>
  <si>
    <t>http://localhost:60151/goto?locus=chr20:41818289</t>
  </si>
  <si>
    <t>41818289</t>
  </si>
  <si>
    <t>3</t>
  </si>
  <si>
    <t>PTPRT:NM_007050:exon1:c.85G&gt;C:p.A29P,PTPRT:NM_133170:exon1:c.85G&gt;C:p.A29P</t>
  </si>
  <si>
    <t>rs2867655</t>
  </si>
  <si>
    <t>5:PTPRT:A29P(5)</t>
  </si>
  <si>
    <t>http://localhost:60151/goto?locus=chrX:66766356</t>
  </si>
  <si>
    <t>66766356</t>
  </si>
  <si>
    <t>TGGC</t>
  </si>
  <si>
    <t>nonframeshift insertion</t>
  </si>
  <si>
    <t>AR:NM_000044:exon1:c.1368_1369insGGC:p.G456delinsGG,AR:NM_001348061:exon1:c.1368_1369insGGC:p.G456delinsGG,AR:NM_001348063:exon1:c.1368_1369insGGC:p.G456delinsGG,AR:NM_001348064:exon1:c.1368_1369insGGC:p.G456delinsGG</t>
  </si>
  <si>
    <t>rs760580125</t>
  </si>
  <si>
    <t>CLINSIG=Benign;CLNDN=Androgen_resistance_syndrome|Bulbo-spinal_atrophy_X-linked;CLNREVSTAT=criteria_provided,_single_submitter;CLNDISDB=MedGen:C0039585,OMIM:300068,Orphanet:ORPHA754,SNOMED_CT:12313004|MedGen:C1839259,OMIM:313200,Orphanet:ORPHA481;CLNALLELEID=471937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</si>
</sst>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2">
    <xf numFmtId="0" fontId="0" fillId="0" borderId="0" xfId="0"/>
    <xf numFmtId="0" fontId="1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localhost:60151/goto?locus=chr17:1265304" TargetMode="External"/><Relationship Id="rId18" Type="http://schemas.openxmlformats.org/officeDocument/2006/relationships/hyperlink" Target="http://localhost:60151/goto?locus=chr19:10614345" TargetMode="External"/><Relationship Id="rId26" Type="http://schemas.openxmlformats.org/officeDocument/2006/relationships/hyperlink" Target="http://localhost:60151/goto?locus=chr14:71275773" TargetMode="External"/><Relationship Id="rId39" Type="http://schemas.openxmlformats.org/officeDocument/2006/relationships/hyperlink" Target="http://localhost:60151/goto?locus=chr1:16262471" TargetMode="External"/><Relationship Id="rId21" Type="http://schemas.openxmlformats.org/officeDocument/2006/relationships/hyperlink" Target="http://localhost:60151/goto?locus=chr5:79950708" TargetMode="External"/><Relationship Id="rId34" Type="http://schemas.openxmlformats.org/officeDocument/2006/relationships/hyperlink" Target="http://localhost:60151/goto?locus=chr9:139404184" TargetMode="External"/><Relationship Id="rId42" Type="http://schemas.openxmlformats.org/officeDocument/2006/relationships/hyperlink" Target="http://localhost:60151/goto?locus=chr16:72991696" TargetMode="External"/><Relationship Id="rId7" Type="http://schemas.openxmlformats.org/officeDocument/2006/relationships/hyperlink" Target="http://localhost:60151/goto?locus=chr2:209113112" TargetMode="External"/><Relationship Id="rId2" Type="http://schemas.openxmlformats.org/officeDocument/2006/relationships/hyperlink" Target="http://localhost:60151/goto?locus=chrX:76938088" TargetMode="External"/><Relationship Id="rId16" Type="http://schemas.openxmlformats.org/officeDocument/2006/relationships/hyperlink" Target="http://localhost:60151/goto?locus=chr2:192011485" TargetMode="External"/><Relationship Id="rId20" Type="http://schemas.openxmlformats.org/officeDocument/2006/relationships/hyperlink" Target="http://localhost:60151/goto?locus=chr17:41372116" TargetMode="External"/><Relationship Id="rId29" Type="http://schemas.openxmlformats.org/officeDocument/2006/relationships/hyperlink" Target="http://localhost:60151/goto?locus=chr17:41372116" TargetMode="External"/><Relationship Id="rId41" Type="http://schemas.openxmlformats.org/officeDocument/2006/relationships/hyperlink" Target="http://localhost:60151/goto?locus=chr4:106196299" TargetMode="External"/><Relationship Id="rId1" Type="http://schemas.openxmlformats.org/officeDocument/2006/relationships/hyperlink" Target="http://localhost:60151/goto?locus=chr17:7578442" TargetMode="External"/><Relationship Id="rId6" Type="http://schemas.openxmlformats.org/officeDocument/2006/relationships/hyperlink" Target="http://localhost:60151/goto?locus=chr10:89720653" TargetMode="External"/><Relationship Id="rId11" Type="http://schemas.openxmlformats.org/officeDocument/2006/relationships/hyperlink" Target="http://localhost:60151/goto?locus=chr1:78435701" TargetMode="External"/><Relationship Id="rId24" Type="http://schemas.openxmlformats.org/officeDocument/2006/relationships/hyperlink" Target="http://localhost:60151/goto?locus=chr2:190670539" TargetMode="External"/><Relationship Id="rId32" Type="http://schemas.openxmlformats.org/officeDocument/2006/relationships/hyperlink" Target="http://localhost:60151/goto?locus=chr17:29562737" TargetMode="External"/><Relationship Id="rId37" Type="http://schemas.openxmlformats.org/officeDocument/2006/relationships/hyperlink" Target="http://localhost:60151/goto?locus=chr10:114917782" TargetMode="External"/><Relationship Id="rId40" Type="http://schemas.openxmlformats.org/officeDocument/2006/relationships/hyperlink" Target="http://localhost:60151/goto?locus=chr16:72822448" TargetMode="External"/><Relationship Id="rId5" Type="http://schemas.openxmlformats.org/officeDocument/2006/relationships/hyperlink" Target="http://localhost:60151/goto?locus=chr17:48265495" TargetMode="External"/><Relationship Id="rId15" Type="http://schemas.openxmlformats.org/officeDocument/2006/relationships/hyperlink" Target="http://localhost:60151/goto?locus=chr19:54201810" TargetMode="External"/><Relationship Id="rId23" Type="http://schemas.openxmlformats.org/officeDocument/2006/relationships/hyperlink" Target="http://localhost:60151/goto?locus=chr19:54201810" TargetMode="External"/><Relationship Id="rId28" Type="http://schemas.openxmlformats.org/officeDocument/2006/relationships/hyperlink" Target="http://localhost:60151/goto?locus=chr17:41372116" TargetMode="External"/><Relationship Id="rId36" Type="http://schemas.openxmlformats.org/officeDocument/2006/relationships/hyperlink" Target="http://localhost:60151/goto?locus=chr7:41729740" TargetMode="External"/><Relationship Id="rId10" Type="http://schemas.openxmlformats.org/officeDocument/2006/relationships/hyperlink" Target="http://localhost:60151/goto?locus=chr19:15354015" TargetMode="External"/><Relationship Id="rId19" Type="http://schemas.openxmlformats.org/officeDocument/2006/relationships/hyperlink" Target="http://localhost:60151/goto?locus=chrX:123184969" TargetMode="External"/><Relationship Id="rId31" Type="http://schemas.openxmlformats.org/officeDocument/2006/relationships/hyperlink" Target="http://localhost:60151/goto?locus=chr1:150551491" TargetMode="External"/><Relationship Id="rId4" Type="http://schemas.openxmlformats.org/officeDocument/2006/relationships/hyperlink" Target="http://localhost:60151/goto?locus=chr6:160482675" TargetMode="External"/><Relationship Id="rId9" Type="http://schemas.openxmlformats.org/officeDocument/2006/relationships/hyperlink" Target="http://localhost:60151/goto?locus=chr5:98216981" TargetMode="External"/><Relationship Id="rId14" Type="http://schemas.openxmlformats.org/officeDocument/2006/relationships/hyperlink" Target="http://localhost:60151/goto?locus=chr19:15354015" TargetMode="External"/><Relationship Id="rId22" Type="http://schemas.openxmlformats.org/officeDocument/2006/relationships/hyperlink" Target="http://localhost:60151/goto?locus=chr2:61726050" TargetMode="External"/><Relationship Id="rId27" Type="http://schemas.openxmlformats.org/officeDocument/2006/relationships/hyperlink" Target="http://localhost:60151/goto?locus=chr11:95825374" TargetMode="External"/><Relationship Id="rId30" Type="http://schemas.openxmlformats.org/officeDocument/2006/relationships/hyperlink" Target="http://localhost:60151/goto?locus=chr22:21343965" TargetMode="External"/><Relationship Id="rId35" Type="http://schemas.openxmlformats.org/officeDocument/2006/relationships/hyperlink" Target="http://localhost:60151/goto?locus=chr16:72991712" TargetMode="External"/><Relationship Id="rId43" Type="http://schemas.openxmlformats.org/officeDocument/2006/relationships/hyperlink" Target="http://localhost:60151/goto?locus=chr20:46279836" TargetMode="External"/><Relationship Id="rId8" Type="http://schemas.openxmlformats.org/officeDocument/2006/relationships/hyperlink" Target="http://localhost:60151/goto?locus=chr2:141625834" TargetMode="External"/><Relationship Id="rId3" Type="http://schemas.openxmlformats.org/officeDocument/2006/relationships/hyperlink" Target="http://localhost:60151/goto?locus=chr15:38643453" TargetMode="External"/><Relationship Id="rId12" Type="http://schemas.openxmlformats.org/officeDocument/2006/relationships/hyperlink" Target="http://localhost:60151/goto?locus=chr5:110407273" TargetMode="External"/><Relationship Id="rId17" Type="http://schemas.openxmlformats.org/officeDocument/2006/relationships/hyperlink" Target="http://localhost:60151/goto?locus=chrX:66765158" TargetMode="External"/><Relationship Id="rId25" Type="http://schemas.openxmlformats.org/officeDocument/2006/relationships/hyperlink" Target="http://localhost:60151/goto?locus=chr5:110407273" TargetMode="External"/><Relationship Id="rId33" Type="http://schemas.openxmlformats.org/officeDocument/2006/relationships/hyperlink" Target="http://localhost:60151/goto?locus=chrX:76939665" TargetMode="External"/><Relationship Id="rId38" Type="http://schemas.openxmlformats.org/officeDocument/2006/relationships/hyperlink" Target="http://localhost:60151/goto?locus=chr19:36212143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://localhost:60151/goto?locus=chr12:71002893" TargetMode="External"/><Relationship Id="rId299" Type="http://schemas.openxmlformats.org/officeDocument/2006/relationships/hyperlink" Target="http://localhost:60151/goto?locus=chrX:66765158" TargetMode="External"/><Relationship Id="rId21" Type="http://schemas.openxmlformats.org/officeDocument/2006/relationships/hyperlink" Target="http://localhost:60151/goto?locus=chr17:16068396" TargetMode="External"/><Relationship Id="rId63" Type="http://schemas.openxmlformats.org/officeDocument/2006/relationships/hyperlink" Target="http://localhost:60151/goto?locus=chr6:161807855" TargetMode="External"/><Relationship Id="rId159" Type="http://schemas.openxmlformats.org/officeDocument/2006/relationships/hyperlink" Target="http://localhost:60151/goto?locus=chr6:152489294" TargetMode="External"/><Relationship Id="rId170" Type="http://schemas.openxmlformats.org/officeDocument/2006/relationships/hyperlink" Target="http://localhost:60151/goto?locus=chr1:46505147" TargetMode="External"/><Relationship Id="rId226" Type="http://schemas.openxmlformats.org/officeDocument/2006/relationships/hyperlink" Target="http://localhost:60151/goto?locus=chr2:234590974" TargetMode="External"/><Relationship Id="rId268" Type="http://schemas.openxmlformats.org/officeDocument/2006/relationships/hyperlink" Target="http://localhost:60151/goto?locus=chr12:57861960" TargetMode="External"/><Relationship Id="rId32" Type="http://schemas.openxmlformats.org/officeDocument/2006/relationships/hyperlink" Target="http://localhost:60151/goto?locus=chr5:80168937" TargetMode="External"/><Relationship Id="rId74" Type="http://schemas.openxmlformats.org/officeDocument/2006/relationships/hyperlink" Target="http://localhost:60151/goto?locus=chr17:7579472" TargetMode="External"/><Relationship Id="rId128" Type="http://schemas.openxmlformats.org/officeDocument/2006/relationships/hyperlink" Target="http://localhost:60151/goto?locus=chr22:41548008" TargetMode="External"/><Relationship Id="rId5" Type="http://schemas.openxmlformats.org/officeDocument/2006/relationships/hyperlink" Target="http://localhost:60151/goto?locus=chr2:61726050" TargetMode="External"/><Relationship Id="rId181" Type="http://schemas.openxmlformats.org/officeDocument/2006/relationships/hyperlink" Target="http://localhost:60151/goto?locus=chr12:89745477" TargetMode="External"/><Relationship Id="rId237" Type="http://schemas.openxmlformats.org/officeDocument/2006/relationships/hyperlink" Target="http://localhost:60151/goto?locus=chr13:52506048" TargetMode="External"/><Relationship Id="rId279" Type="http://schemas.openxmlformats.org/officeDocument/2006/relationships/hyperlink" Target="http://localhost:60151/goto?locus=chr14:23450848" TargetMode="External"/><Relationship Id="rId43" Type="http://schemas.openxmlformats.org/officeDocument/2006/relationships/hyperlink" Target="http://localhost:60151/goto?locus=chr6:117622233" TargetMode="External"/><Relationship Id="rId139" Type="http://schemas.openxmlformats.org/officeDocument/2006/relationships/hyperlink" Target="http://localhost:60151/goto?locus=chr6:152658142" TargetMode="External"/><Relationship Id="rId290" Type="http://schemas.openxmlformats.org/officeDocument/2006/relationships/hyperlink" Target="http://localhost:60151/goto?locus=chr2:112641854" TargetMode="External"/><Relationship Id="rId304" Type="http://schemas.openxmlformats.org/officeDocument/2006/relationships/hyperlink" Target="http://localhost:60151/goto?locus=chr19:2164098" TargetMode="External"/><Relationship Id="rId85" Type="http://schemas.openxmlformats.org/officeDocument/2006/relationships/hyperlink" Target="http://localhost:60151/goto?locus=chr9:98211572" TargetMode="External"/><Relationship Id="rId150" Type="http://schemas.openxmlformats.org/officeDocument/2006/relationships/hyperlink" Target="http://localhost:60151/goto?locus=chr11:92577659" TargetMode="External"/><Relationship Id="rId192" Type="http://schemas.openxmlformats.org/officeDocument/2006/relationships/hyperlink" Target="http://localhost:60151/goto?locus=chr19:18280096" TargetMode="External"/><Relationship Id="rId206" Type="http://schemas.openxmlformats.org/officeDocument/2006/relationships/hyperlink" Target="http://localhost:60151/goto?locus=chr5:1308552" TargetMode="External"/><Relationship Id="rId248" Type="http://schemas.openxmlformats.org/officeDocument/2006/relationships/hyperlink" Target="http://localhost:60151/goto?locus=chr1:210001125" TargetMode="External"/><Relationship Id="rId12" Type="http://schemas.openxmlformats.org/officeDocument/2006/relationships/hyperlink" Target="http://localhost:60151/goto?locus=chr17:1265304" TargetMode="External"/><Relationship Id="rId108" Type="http://schemas.openxmlformats.org/officeDocument/2006/relationships/hyperlink" Target="http://localhost:60151/goto?locus=chr6:152652034" TargetMode="External"/><Relationship Id="rId54" Type="http://schemas.openxmlformats.org/officeDocument/2006/relationships/hyperlink" Target="http://localhost:60151/goto?locus=chr12:49426460" TargetMode="External"/><Relationship Id="rId96" Type="http://schemas.openxmlformats.org/officeDocument/2006/relationships/hyperlink" Target="http://localhost:60151/goto?locus=chr17:56448297" TargetMode="External"/><Relationship Id="rId161" Type="http://schemas.openxmlformats.org/officeDocument/2006/relationships/hyperlink" Target="http://localhost:60151/goto?locus=chr19:36222857" TargetMode="External"/><Relationship Id="rId217" Type="http://schemas.openxmlformats.org/officeDocument/2006/relationships/hyperlink" Target="http://localhost:60151/goto?locus=chr12:71016340" TargetMode="External"/><Relationship Id="rId259" Type="http://schemas.openxmlformats.org/officeDocument/2006/relationships/hyperlink" Target="http://localhost:60151/goto?locus=chr1:210001173" TargetMode="External"/><Relationship Id="rId23" Type="http://schemas.openxmlformats.org/officeDocument/2006/relationships/hyperlink" Target="http://localhost:60151/goto?locus=chr4:55593464" TargetMode="External"/><Relationship Id="rId119" Type="http://schemas.openxmlformats.org/officeDocument/2006/relationships/hyperlink" Target="http://localhost:60151/goto?locus=chr13:32929387" TargetMode="External"/><Relationship Id="rId270" Type="http://schemas.openxmlformats.org/officeDocument/2006/relationships/hyperlink" Target="http://localhost:60151/goto?locus=chr22:39621819" TargetMode="External"/><Relationship Id="rId291" Type="http://schemas.openxmlformats.org/officeDocument/2006/relationships/hyperlink" Target="http://localhost:60151/goto?locus=chr5:1309904" TargetMode="External"/><Relationship Id="rId305" Type="http://schemas.openxmlformats.org/officeDocument/2006/relationships/hyperlink" Target="http://localhost:60151/goto?locus=chr20:41818289" TargetMode="External"/><Relationship Id="rId44" Type="http://schemas.openxmlformats.org/officeDocument/2006/relationships/hyperlink" Target="http://localhost:60151/goto?locus=chr17:37855834" TargetMode="External"/><Relationship Id="rId65" Type="http://schemas.openxmlformats.org/officeDocument/2006/relationships/hyperlink" Target="http://localhost:60151/goto?locus=chr5:35861068" TargetMode="External"/><Relationship Id="rId86" Type="http://schemas.openxmlformats.org/officeDocument/2006/relationships/hyperlink" Target="http://localhost:60151/goto?locus=chr11:64572018" TargetMode="External"/><Relationship Id="rId130" Type="http://schemas.openxmlformats.org/officeDocument/2006/relationships/hyperlink" Target="http://localhost:60151/goto?locus=chr1:16255644" TargetMode="External"/><Relationship Id="rId151" Type="http://schemas.openxmlformats.org/officeDocument/2006/relationships/hyperlink" Target="http://localhost:60151/goto?locus=chr12:69003744" TargetMode="External"/><Relationship Id="rId172" Type="http://schemas.openxmlformats.org/officeDocument/2006/relationships/hyperlink" Target="http://localhost:60151/goto?locus=chr9:2039793" TargetMode="External"/><Relationship Id="rId193" Type="http://schemas.openxmlformats.org/officeDocument/2006/relationships/hyperlink" Target="http://localhost:60151/goto?locus=chr3:47205502" TargetMode="External"/><Relationship Id="rId207" Type="http://schemas.openxmlformats.org/officeDocument/2006/relationships/hyperlink" Target="http://localhost:60151/goto?locus=chr2:141072519" TargetMode="External"/><Relationship Id="rId228" Type="http://schemas.openxmlformats.org/officeDocument/2006/relationships/hyperlink" Target="http://localhost:60151/goto?locus=chr19:54182249" TargetMode="External"/><Relationship Id="rId249" Type="http://schemas.openxmlformats.org/officeDocument/2006/relationships/hyperlink" Target="http://localhost:60151/goto?locus=chr1:43805113" TargetMode="External"/><Relationship Id="rId13" Type="http://schemas.openxmlformats.org/officeDocument/2006/relationships/hyperlink" Target="http://localhost:60151/goto?locus=chr19:15354015" TargetMode="External"/><Relationship Id="rId109" Type="http://schemas.openxmlformats.org/officeDocument/2006/relationships/hyperlink" Target="http://localhost:60151/goto?locus=chr20:46264888" TargetMode="External"/><Relationship Id="rId260" Type="http://schemas.openxmlformats.org/officeDocument/2006/relationships/hyperlink" Target="http://localhost:60151/goto?locus=chr5:43509348" TargetMode="External"/><Relationship Id="rId281" Type="http://schemas.openxmlformats.org/officeDocument/2006/relationships/hyperlink" Target="http://localhost:60151/goto?locus=chr8:37554773" TargetMode="External"/><Relationship Id="rId34" Type="http://schemas.openxmlformats.org/officeDocument/2006/relationships/hyperlink" Target="http://localhost:60151/goto?locus=chr17:41223094" TargetMode="External"/><Relationship Id="rId55" Type="http://schemas.openxmlformats.org/officeDocument/2006/relationships/hyperlink" Target="http://localhost:60151/goto?locus=chr6:117622184" TargetMode="External"/><Relationship Id="rId76" Type="http://schemas.openxmlformats.org/officeDocument/2006/relationships/hyperlink" Target="http://localhost:60151/goto?locus=chr6:36645696" TargetMode="External"/><Relationship Id="rId97" Type="http://schemas.openxmlformats.org/officeDocument/2006/relationships/hyperlink" Target="http://localhost:60151/goto?locus=chr19:2226676" TargetMode="External"/><Relationship Id="rId120" Type="http://schemas.openxmlformats.org/officeDocument/2006/relationships/hyperlink" Target="http://localhost:60151/goto?locus=chr3:121208833" TargetMode="External"/><Relationship Id="rId141" Type="http://schemas.openxmlformats.org/officeDocument/2006/relationships/hyperlink" Target="http://localhost:60151/goto?locus=chr1:158597507" TargetMode="External"/><Relationship Id="rId7" Type="http://schemas.openxmlformats.org/officeDocument/2006/relationships/hyperlink" Target="http://localhost:60151/goto?locus=chr17:29562737" TargetMode="External"/><Relationship Id="rId162" Type="http://schemas.openxmlformats.org/officeDocument/2006/relationships/hyperlink" Target="http://localhost:60151/goto?locus=chr14:23777374" TargetMode="External"/><Relationship Id="rId183" Type="http://schemas.openxmlformats.org/officeDocument/2006/relationships/hyperlink" Target="http://localhost:60151/goto?locus=chr8:37688966" TargetMode="External"/><Relationship Id="rId218" Type="http://schemas.openxmlformats.org/officeDocument/2006/relationships/hyperlink" Target="http://localhost:60151/goto?locus=chr15:34640218" TargetMode="External"/><Relationship Id="rId239" Type="http://schemas.openxmlformats.org/officeDocument/2006/relationships/hyperlink" Target="http://localhost:60151/goto?locus=chr3:137743508" TargetMode="External"/><Relationship Id="rId250" Type="http://schemas.openxmlformats.org/officeDocument/2006/relationships/hyperlink" Target="http://localhost:60151/goto?locus=chr3:71247520" TargetMode="External"/><Relationship Id="rId271" Type="http://schemas.openxmlformats.org/officeDocument/2006/relationships/hyperlink" Target="http://localhost:60151/goto?locus=chr5:148520184" TargetMode="External"/><Relationship Id="rId292" Type="http://schemas.openxmlformats.org/officeDocument/2006/relationships/hyperlink" Target="http://localhost:60151/goto?locus=chr12:498247" TargetMode="External"/><Relationship Id="rId306" Type="http://schemas.openxmlformats.org/officeDocument/2006/relationships/hyperlink" Target="http://localhost:60151/goto?locus=chrX:66766356" TargetMode="External"/><Relationship Id="rId24" Type="http://schemas.openxmlformats.org/officeDocument/2006/relationships/hyperlink" Target="http://localhost:60151/goto?locus=chr4:187630590" TargetMode="External"/><Relationship Id="rId45" Type="http://schemas.openxmlformats.org/officeDocument/2006/relationships/hyperlink" Target="http://localhost:60151/goto?locus=chr20:54961541" TargetMode="External"/><Relationship Id="rId66" Type="http://schemas.openxmlformats.org/officeDocument/2006/relationships/hyperlink" Target="http://localhost:60151/goto?locus=chr18:42529996" TargetMode="External"/><Relationship Id="rId87" Type="http://schemas.openxmlformats.org/officeDocument/2006/relationships/hyperlink" Target="http://localhost:60151/goto?locus=chr12:121435427" TargetMode="External"/><Relationship Id="rId110" Type="http://schemas.openxmlformats.org/officeDocument/2006/relationships/hyperlink" Target="http://localhost:60151/goto?locus=chr5:56177443" TargetMode="External"/><Relationship Id="rId131" Type="http://schemas.openxmlformats.org/officeDocument/2006/relationships/hyperlink" Target="http://localhost:60151/goto?locus=chr12:48368541" TargetMode="External"/><Relationship Id="rId152" Type="http://schemas.openxmlformats.org/officeDocument/2006/relationships/hyperlink" Target="http://localhost:60151/goto?locus=chr6:117724379" TargetMode="External"/><Relationship Id="rId173" Type="http://schemas.openxmlformats.org/officeDocument/2006/relationships/hyperlink" Target="http://localhost:60151/goto?locus=chr15:100514614" TargetMode="External"/><Relationship Id="rId194" Type="http://schemas.openxmlformats.org/officeDocument/2006/relationships/hyperlink" Target="http://localhost:60151/goto?locus=chr19:45873942" TargetMode="External"/><Relationship Id="rId208" Type="http://schemas.openxmlformats.org/officeDocument/2006/relationships/hyperlink" Target="http://localhost:60151/goto?locus=chr12:78225374" TargetMode="External"/><Relationship Id="rId229" Type="http://schemas.openxmlformats.org/officeDocument/2006/relationships/hyperlink" Target="http://localhost:60151/goto?locus=chr7:99382096" TargetMode="External"/><Relationship Id="rId240" Type="http://schemas.openxmlformats.org/officeDocument/2006/relationships/hyperlink" Target="http://localhost:60151/goto?locus=chr5:121799215" TargetMode="External"/><Relationship Id="rId261" Type="http://schemas.openxmlformats.org/officeDocument/2006/relationships/hyperlink" Target="http://localhost:60151/goto?locus=chr1:46505235" TargetMode="External"/><Relationship Id="rId14" Type="http://schemas.openxmlformats.org/officeDocument/2006/relationships/hyperlink" Target="http://localhost:60151/goto?locus=chr19:15354015" TargetMode="External"/><Relationship Id="rId35" Type="http://schemas.openxmlformats.org/officeDocument/2006/relationships/hyperlink" Target="http://localhost:60151/goto?locus=chr17:16068377" TargetMode="External"/><Relationship Id="rId56" Type="http://schemas.openxmlformats.org/officeDocument/2006/relationships/hyperlink" Target="http://localhost:60151/goto?locus=chr5:56177848" TargetMode="External"/><Relationship Id="rId77" Type="http://schemas.openxmlformats.org/officeDocument/2006/relationships/hyperlink" Target="http://localhost:60151/goto?locus=chr2:141625828" TargetMode="External"/><Relationship Id="rId100" Type="http://schemas.openxmlformats.org/officeDocument/2006/relationships/hyperlink" Target="http://localhost:60151/goto?locus=chr5:180046344" TargetMode="External"/><Relationship Id="rId282" Type="http://schemas.openxmlformats.org/officeDocument/2006/relationships/hyperlink" Target="http://localhost:60151/goto?locus=chr17:48265495" TargetMode="External"/><Relationship Id="rId8" Type="http://schemas.openxmlformats.org/officeDocument/2006/relationships/hyperlink" Target="http://localhost:60151/goto?locus=chr3:69788824" TargetMode="External"/><Relationship Id="rId98" Type="http://schemas.openxmlformats.org/officeDocument/2006/relationships/hyperlink" Target="http://localhost:60151/goto?locus=chr7:101917521" TargetMode="External"/><Relationship Id="rId121" Type="http://schemas.openxmlformats.org/officeDocument/2006/relationships/hyperlink" Target="http://localhost:60151/goto?locus=chr2:29416366" TargetMode="External"/><Relationship Id="rId142" Type="http://schemas.openxmlformats.org/officeDocument/2006/relationships/hyperlink" Target="http://localhost:60151/goto?locus=chr5:121518378" TargetMode="External"/><Relationship Id="rId163" Type="http://schemas.openxmlformats.org/officeDocument/2006/relationships/hyperlink" Target="http://localhost:60151/goto?locus=chr7:128852105" TargetMode="External"/><Relationship Id="rId184" Type="http://schemas.openxmlformats.org/officeDocument/2006/relationships/hyperlink" Target="http://localhost:60151/goto?locus=chr21:42879909" TargetMode="External"/><Relationship Id="rId219" Type="http://schemas.openxmlformats.org/officeDocument/2006/relationships/hyperlink" Target="http://localhost:60151/goto?locus=chr20:54961463" TargetMode="External"/><Relationship Id="rId230" Type="http://schemas.openxmlformats.org/officeDocument/2006/relationships/hyperlink" Target="http://localhost:60151/goto?locus=chr12:53662624" TargetMode="External"/><Relationship Id="rId251" Type="http://schemas.openxmlformats.org/officeDocument/2006/relationships/hyperlink" Target="http://localhost:60151/goto?locus=chr5:1317481" TargetMode="External"/><Relationship Id="rId25" Type="http://schemas.openxmlformats.org/officeDocument/2006/relationships/hyperlink" Target="http://localhost:60151/goto?locus=chr3:37053568" TargetMode="External"/><Relationship Id="rId46" Type="http://schemas.openxmlformats.org/officeDocument/2006/relationships/hyperlink" Target="http://localhost:60151/goto?locus=chr7:148525904" TargetMode="External"/><Relationship Id="rId67" Type="http://schemas.openxmlformats.org/officeDocument/2006/relationships/hyperlink" Target="http://localhost:60151/goto?locus=chr5:110407273" TargetMode="External"/><Relationship Id="rId272" Type="http://schemas.openxmlformats.org/officeDocument/2006/relationships/hyperlink" Target="http://localhost:60151/goto?locus=chr1:158619728" TargetMode="External"/><Relationship Id="rId293" Type="http://schemas.openxmlformats.org/officeDocument/2006/relationships/hyperlink" Target="http://localhost:60151/goto?locus=chr12:498247" TargetMode="External"/><Relationship Id="rId307" Type="http://schemas.openxmlformats.org/officeDocument/2006/relationships/hyperlink" Target="http://localhost:60151/goto?locus=chr4:106196299" TargetMode="External"/><Relationship Id="rId88" Type="http://schemas.openxmlformats.org/officeDocument/2006/relationships/hyperlink" Target="http://localhost:60151/goto?locus=chr16:89836323" TargetMode="External"/><Relationship Id="rId111" Type="http://schemas.openxmlformats.org/officeDocument/2006/relationships/hyperlink" Target="http://localhost:60151/goto?locus=chr5:98192164" TargetMode="External"/><Relationship Id="rId132" Type="http://schemas.openxmlformats.org/officeDocument/2006/relationships/hyperlink" Target="http://localhost:60151/goto?locus=chr3:89521693" TargetMode="External"/><Relationship Id="rId153" Type="http://schemas.openxmlformats.org/officeDocument/2006/relationships/hyperlink" Target="http://localhost:60151/goto?locus=chr1:158612236" TargetMode="External"/><Relationship Id="rId174" Type="http://schemas.openxmlformats.org/officeDocument/2006/relationships/hyperlink" Target="http://localhost:60151/goto?locus=chr12:121437382" TargetMode="External"/><Relationship Id="rId195" Type="http://schemas.openxmlformats.org/officeDocument/2006/relationships/hyperlink" Target="http://localhost:60151/goto?locus=chr19:18272190" TargetMode="External"/><Relationship Id="rId209" Type="http://schemas.openxmlformats.org/officeDocument/2006/relationships/hyperlink" Target="http://localhost:60151/goto?locus=chr9:5557672" TargetMode="External"/><Relationship Id="rId220" Type="http://schemas.openxmlformats.org/officeDocument/2006/relationships/hyperlink" Target="http://localhost:60151/goto?locus=chr1:155880573" TargetMode="External"/><Relationship Id="rId241" Type="http://schemas.openxmlformats.org/officeDocument/2006/relationships/hyperlink" Target="http://localhost:60151/goto?locus=chr5:1310152" TargetMode="External"/><Relationship Id="rId15" Type="http://schemas.openxmlformats.org/officeDocument/2006/relationships/hyperlink" Target="http://localhost:60151/goto?locus=chr5:98216981" TargetMode="External"/><Relationship Id="rId36" Type="http://schemas.openxmlformats.org/officeDocument/2006/relationships/hyperlink" Target="http://localhost:60151/goto?locus=chr7:50436033" TargetMode="External"/><Relationship Id="rId57" Type="http://schemas.openxmlformats.org/officeDocument/2006/relationships/hyperlink" Target="http://localhost:60151/goto?locus=chr5:35871190" TargetMode="External"/><Relationship Id="rId262" Type="http://schemas.openxmlformats.org/officeDocument/2006/relationships/hyperlink" Target="http://localhost:60151/goto?locus=chr5:1296072" TargetMode="External"/><Relationship Id="rId283" Type="http://schemas.openxmlformats.org/officeDocument/2006/relationships/hyperlink" Target="http://localhost:60151/goto?locus=chr10:96521657" TargetMode="External"/><Relationship Id="rId78" Type="http://schemas.openxmlformats.org/officeDocument/2006/relationships/hyperlink" Target="http://localhost:60151/goto?locus=chr19:36224705" TargetMode="External"/><Relationship Id="rId99" Type="http://schemas.openxmlformats.org/officeDocument/2006/relationships/hyperlink" Target="http://localhost:60151/goto?locus=chr19:45854919" TargetMode="External"/><Relationship Id="rId101" Type="http://schemas.openxmlformats.org/officeDocument/2006/relationships/hyperlink" Target="http://localhost:60151/goto?locus=chr22:21343965" TargetMode="External"/><Relationship Id="rId122" Type="http://schemas.openxmlformats.org/officeDocument/2006/relationships/hyperlink" Target="http://localhost:60151/goto?locus=chr4:187538942" TargetMode="External"/><Relationship Id="rId143" Type="http://schemas.openxmlformats.org/officeDocument/2006/relationships/hyperlink" Target="http://localhost:60151/goto?locus=chr16:72991715" TargetMode="External"/><Relationship Id="rId164" Type="http://schemas.openxmlformats.org/officeDocument/2006/relationships/hyperlink" Target="http://localhost:60151/goto?locus=chr14:38061742" TargetMode="External"/><Relationship Id="rId185" Type="http://schemas.openxmlformats.org/officeDocument/2006/relationships/hyperlink" Target="http://localhost:60151/goto?locus=chr5:79950741" TargetMode="External"/><Relationship Id="rId9" Type="http://schemas.openxmlformats.org/officeDocument/2006/relationships/hyperlink" Target="http://localhost:60151/goto?locus=chr1:78435701" TargetMode="External"/><Relationship Id="rId210" Type="http://schemas.openxmlformats.org/officeDocument/2006/relationships/hyperlink" Target="http://localhost:60151/goto?locus=chr17:64783081" TargetMode="External"/><Relationship Id="rId26" Type="http://schemas.openxmlformats.org/officeDocument/2006/relationships/hyperlink" Target="http://localhost:60151/goto?locus=chr4:187628398" TargetMode="External"/><Relationship Id="rId231" Type="http://schemas.openxmlformats.org/officeDocument/2006/relationships/hyperlink" Target="http://localhost:60151/goto?locus=chr15:40683702" TargetMode="External"/><Relationship Id="rId252" Type="http://schemas.openxmlformats.org/officeDocument/2006/relationships/hyperlink" Target="http://localhost:60151/goto?locus=chr5:176517797" TargetMode="External"/><Relationship Id="rId273" Type="http://schemas.openxmlformats.org/officeDocument/2006/relationships/hyperlink" Target="http://localhost:60151/goto?locus=chr15:40675493" TargetMode="External"/><Relationship Id="rId294" Type="http://schemas.openxmlformats.org/officeDocument/2006/relationships/hyperlink" Target="http://localhost:60151/goto?locus=chr12:498247" TargetMode="External"/><Relationship Id="rId308" Type="http://schemas.openxmlformats.org/officeDocument/2006/relationships/hyperlink" Target="http://localhost:60151/goto?locus=chr16:72991696" TargetMode="External"/><Relationship Id="rId47" Type="http://schemas.openxmlformats.org/officeDocument/2006/relationships/hyperlink" Target="http://localhost:60151/goto?locus=chr8:90990479" TargetMode="External"/><Relationship Id="rId68" Type="http://schemas.openxmlformats.org/officeDocument/2006/relationships/hyperlink" Target="http://localhost:60151/goto?locus=chr12:57865821" TargetMode="External"/><Relationship Id="rId89" Type="http://schemas.openxmlformats.org/officeDocument/2006/relationships/hyperlink" Target="http://localhost:60151/goto?locus=chrX:153629155" TargetMode="External"/><Relationship Id="rId112" Type="http://schemas.openxmlformats.org/officeDocument/2006/relationships/hyperlink" Target="http://localhost:60151/goto?locus=chr3:121207637" TargetMode="External"/><Relationship Id="rId133" Type="http://schemas.openxmlformats.org/officeDocument/2006/relationships/hyperlink" Target="http://localhost:60151/goto?locus=chr3:89521664" TargetMode="External"/><Relationship Id="rId154" Type="http://schemas.openxmlformats.org/officeDocument/2006/relationships/hyperlink" Target="http://localhost:60151/goto?locus=chr11:92590448" TargetMode="External"/><Relationship Id="rId175" Type="http://schemas.openxmlformats.org/officeDocument/2006/relationships/hyperlink" Target="http://localhost:60151/goto?locus=chr11:2169014" TargetMode="External"/><Relationship Id="rId196" Type="http://schemas.openxmlformats.org/officeDocument/2006/relationships/hyperlink" Target="http://localhost:60151/goto?locus=chr13:28674628" TargetMode="External"/><Relationship Id="rId200" Type="http://schemas.openxmlformats.org/officeDocument/2006/relationships/hyperlink" Target="http://localhost:60151/goto?locus=chr14:81610583" TargetMode="External"/><Relationship Id="rId16" Type="http://schemas.openxmlformats.org/officeDocument/2006/relationships/hyperlink" Target="http://localhost:60151/goto?locus=chr14:75513828" TargetMode="External"/><Relationship Id="rId221" Type="http://schemas.openxmlformats.org/officeDocument/2006/relationships/hyperlink" Target="http://localhost:60151/goto?locus=chr8:48852225" TargetMode="External"/><Relationship Id="rId242" Type="http://schemas.openxmlformats.org/officeDocument/2006/relationships/hyperlink" Target="http://localhost:60151/goto?locus=chr1:160509938" TargetMode="External"/><Relationship Id="rId263" Type="http://schemas.openxmlformats.org/officeDocument/2006/relationships/hyperlink" Target="http://localhost:60151/goto?locus=chr12:53681883" TargetMode="External"/><Relationship Id="rId284" Type="http://schemas.openxmlformats.org/officeDocument/2006/relationships/hyperlink" Target="http://localhost:60151/goto?locus=chr17:41372116" TargetMode="External"/><Relationship Id="rId37" Type="http://schemas.openxmlformats.org/officeDocument/2006/relationships/hyperlink" Target="http://localhost:60151/goto?locus=chr13:28624294" TargetMode="External"/><Relationship Id="rId58" Type="http://schemas.openxmlformats.org/officeDocument/2006/relationships/hyperlink" Target="http://localhost:60151/goto?locus=chr2:234590970" TargetMode="External"/><Relationship Id="rId79" Type="http://schemas.openxmlformats.org/officeDocument/2006/relationships/hyperlink" Target="http://localhost:60151/goto?locus=chr11:95825374" TargetMode="External"/><Relationship Id="rId102" Type="http://schemas.openxmlformats.org/officeDocument/2006/relationships/hyperlink" Target="http://localhost:60151/goto?locus=chr14:71275773" TargetMode="External"/><Relationship Id="rId123" Type="http://schemas.openxmlformats.org/officeDocument/2006/relationships/hyperlink" Target="http://localhost:60151/goto?locus=chr11:22646398" TargetMode="External"/><Relationship Id="rId144" Type="http://schemas.openxmlformats.org/officeDocument/2006/relationships/hyperlink" Target="http://localhost:60151/goto?locus=chr14:81575005" TargetMode="External"/><Relationship Id="rId90" Type="http://schemas.openxmlformats.org/officeDocument/2006/relationships/hyperlink" Target="http://localhost:60151/goto?locus=chr12:121416650" TargetMode="External"/><Relationship Id="rId165" Type="http://schemas.openxmlformats.org/officeDocument/2006/relationships/hyperlink" Target="http://localhost:60151/goto?locus=chr15:40675443" TargetMode="External"/><Relationship Id="rId186" Type="http://schemas.openxmlformats.org/officeDocument/2006/relationships/hyperlink" Target="http://localhost:60151/goto?locus=chr5:79950699" TargetMode="External"/><Relationship Id="rId211" Type="http://schemas.openxmlformats.org/officeDocument/2006/relationships/hyperlink" Target="http://localhost:60151/goto?locus=chr5:1317102" TargetMode="External"/><Relationship Id="rId232" Type="http://schemas.openxmlformats.org/officeDocument/2006/relationships/hyperlink" Target="http://localhost:60151/goto?locus=chr4:187519206" TargetMode="External"/><Relationship Id="rId253" Type="http://schemas.openxmlformats.org/officeDocument/2006/relationships/hyperlink" Target="http://localhost:60151/goto?locus=chr15:40675155" TargetMode="External"/><Relationship Id="rId274" Type="http://schemas.openxmlformats.org/officeDocument/2006/relationships/hyperlink" Target="http://localhost:60151/goto?locus=chr19:54201810" TargetMode="External"/><Relationship Id="rId295" Type="http://schemas.openxmlformats.org/officeDocument/2006/relationships/hyperlink" Target="http://localhost:60151/goto?locus=chr5:79950708" TargetMode="External"/><Relationship Id="rId27" Type="http://schemas.openxmlformats.org/officeDocument/2006/relationships/hyperlink" Target="http://localhost:60151/goto?locus=chr3:142281612" TargetMode="External"/><Relationship Id="rId48" Type="http://schemas.openxmlformats.org/officeDocument/2006/relationships/hyperlink" Target="http://localhost:60151/goto?locus=chr17:16068340" TargetMode="External"/><Relationship Id="rId69" Type="http://schemas.openxmlformats.org/officeDocument/2006/relationships/hyperlink" Target="http://localhost:60151/goto?locus=chr11:108183167" TargetMode="External"/><Relationship Id="rId113" Type="http://schemas.openxmlformats.org/officeDocument/2006/relationships/hyperlink" Target="http://localhost:60151/goto?locus=chr11:95826485" TargetMode="External"/><Relationship Id="rId134" Type="http://schemas.openxmlformats.org/officeDocument/2006/relationships/hyperlink" Target="http://localhost:60151/goto?locus=chr13:42803263" TargetMode="External"/><Relationship Id="rId80" Type="http://schemas.openxmlformats.org/officeDocument/2006/relationships/hyperlink" Target="http://localhost:60151/goto?locus=chr7:55229255" TargetMode="External"/><Relationship Id="rId155" Type="http://schemas.openxmlformats.org/officeDocument/2006/relationships/hyperlink" Target="http://localhost:60151/goto?locus=chr2:29543736" TargetMode="External"/><Relationship Id="rId176" Type="http://schemas.openxmlformats.org/officeDocument/2006/relationships/hyperlink" Target="http://localhost:60151/goto?locus=chr10:89720653" TargetMode="External"/><Relationship Id="rId197" Type="http://schemas.openxmlformats.org/officeDocument/2006/relationships/hyperlink" Target="http://localhost:60151/goto?locus=chr7:41729740" TargetMode="External"/><Relationship Id="rId201" Type="http://schemas.openxmlformats.org/officeDocument/2006/relationships/hyperlink" Target="http://localhost:60151/goto?locus=chr3:121263720" TargetMode="External"/><Relationship Id="rId222" Type="http://schemas.openxmlformats.org/officeDocument/2006/relationships/hyperlink" Target="http://localhost:60151/goto?locus=chr15:41991315" TargetMode="External"/><Relationship Id="rId243" Type="http://schemas.openxmlformats.org/officeDocument/2006/relationships/hyperlink" Target="http://localhost:60151/goto?locus=chr6:160494409" TargetMode="External"/><Relationship Id="rId264" Type="http://schemas.openxmlformats.org/officeDocument/2006/relationships/hyperlink" Target="http://localhost:60151/goto?locus=chr1:23885498" TargetMode="External"/><Relationship Id="rId285" Type="http://schemas.openxmlformats.org/officeDocument/2006/relationships/hyperlink" Target="http://localhost:60151/goto?locus=chr17:41372116" TargetMode="External"/><Relationship Id="rId17" Type="http://schemas.openxmlformats.org/officeDocument/2006/relationships/hyperlink" Target="http://localhost:60151/goto?locus=chr17:41244435" TargetMode="External"/><Relationship Id="rId38" Type="http://schemas.openxmlformats.org/officeDocument/2006/relationships/hyperlink" Target="http://localhost:60151/goto?locus=chr17:16097870" TargetMode="External"/><Relationship Id="rId59" Type="http://schemas.openxmlformats.org/officeDocument/2006/relationships/hyperlink" Target="http://localhost:60151/goto?locus=chr21:42852497" TargetMode="External"/><Relationship Id="rId103" Type="http://schemas.openxmlformats.org/officeDocument/2006/relationships/hyperlink" Target="http://localhost:60151/goto?locus=chr5:79950781" TargetMode="External"/><Relationship Id="rId124" Type="http://schemas.openxmlformats.org/officeDocument/2006/relationships/hyperlink" Target="http://localhost:60151/goto?locus=chr20:9288522" TargetMode="External"/><Relationship Id="rId70" Type="http://schemas.openxmlformats.org/officeDocument/2006/relationships/hyperlink" Target="http://localhost:60151/goto?locus=chr16:89849480" TargetMode="External"/><Relationship Id="rId91" Type="http://schemas.openxmlformats.org/officeDocument/2006/relationships/hyperlink" Target="http://localhost:60151/goto?locus=chr5:176520243" TargetMode="External"/><Relationship Id="rId145" Type="http://schemas.openxmlformats.org/officeDocument/2006/relationships/hyperlink" Target="http://localhost:60151/goto?locus=chr17:37884037" TargetMode="External"/><Relationship Id="rId166" Type="http://schemas.openxmlformats.org/officeDocument/2006/relationships/hyperlink" Target="http://localhost:60151/goto?locus=chr12:53670545" TargetMode="External"/><Relationship Id="rId187" Type="http://schemas.openxmlformats.org/officeDocument/2006/relationships/hyperlink" Target="http://localhost:60151/goto?locus=chr12:498247" TargetMode="External"/><Relationship Id="rId1" Type="http://schemas.openxmlformats.org/officeDocument/2006/relationships/hyperlink" Target="http://localhost:60151/goto?locus=chr17:16068343" TargetMode="External"/><Relationship Id="rId212" Type="http://schemas.openxmlformats.org/officeDocument/2006/relationships/hyperlink" Target="http://localhost:60151/goto?locus=chr8:41792053" TargetMode="External"/><Relationship Id="rId233" Type="http://schemas.openxmlformats.org/officeDocument/2006/relationships/hyperlink" Target="http://localhost:60151/goto?locus=chr14:71206812" TargetMode="External"/><Relationship Id="rId254" Type="http://schemas.openxmlformats.org/officeDocument/2006/relationships/hyperlink" Target="http://localhost:60151/goto?locus=chr17:16029508" TargetMode="External"/><Relationship Id="rId28" Type="http://schemas.openxmlformats.org/officeDocument/2006/relationships/hyperlink" Target="http://localhost:60151/goto?locus=chr5:112176756" TargetMode="External"/><Relationship Id="rId49" Type="http://schemas.openxmlformats.org/officeDocument/2006/relationships/hyperlink" Target="http://localhost:60151/goto?locus=chr13:73349359" TargetMode="External"/><Relationship Id="rId114" Type="http://schemas.openxmlformats.org/officeDocument/2006/relationships/hyperlink" Target="http://localhost:60151/goto?locus=chr4:187557893" TargetMode="External"/><Relationship Id="rId275" Type="http://schemas.openxmlformats.org/officeDocument/2006/relationships/hyperlink" Target="http://localhost:60151/goto?locus=chr19:54201810" TargetMode="External"/><Relationship Id="rId296" Type="http://schemas.openxmlformats.org/officeDocument/2006/relationships/hyperlink" Target="http://localhost:60151/goto?locus=chr19:10614345" TargetMode="External"/><Relationship Id="rId300" Type="http://schemas.openxmlformats.org/officeDocument/2006/relationships/hyperlink" Target="http://localhost:60151/goto?locus=chr16:89883148" TargetMode="External"/><Relationship Id="rId60" Type="http://schemas.openxmlformats.org/officeDocument/2006/relationships/hyperlink" Target="http://localhost:60151/goto?locus=chr5:80149981" TargetMode="External"/><Relationship Id="rId81" Type="http://schemas.openxmlformats.org/officeDocument/2006/relationships/hyperlink" Target="http://localhost:60151/goto?locus=chr10:43610119" TargetMode="External"/><Relationship Id="rId135" Type="http://schemas.openxmlformats.org/officeDocument/2006/relationships/hyperlink" Target="http://localhost:60151/goto?locus=chr8:30999280" TargetMode="External"/><Relationship Id="rId156" Type="http://schemas.openxmlformats.org/officeDocument/2006/relationships/hyperlink" Target="http://localhost:60151/goto?locus=chrX:100645467" TargetMode="External"/><Relationship Id="rId177" Type="http://schemas.openxmlformats.org/officeDocument/2006/relationships/hyperlink" Target="http://localhost:60151/goto?locus=chr1:2488153" TargetMode="External"/><Relationship Id="rId198" Type="http://schemas.openxmlformats.org/officeDocument/2006/relationships/hyperlink" Target="http://localhost:60151/goto?locus=chr14:75513883" TargetMode="External"/><Relationship Id="rId202" Type="http://schemas.openxmlformats.org/officeDocument/2006/relationships/hyperlink" Target="http://localhost:60151/goto?locus=chr5:1309168" TargetMode="External"/><Relationship Id="rId223" Type="http://schemas.openxmlformats.org/officeDocument/2006/relationships/hyperlink" Target="http://localhost:60151/goto?locus=chr11:55578987" TargetMode="External"/><Relationship Id="rId244" Type="http://schemas.openxmlformats.org/officeDocument/2006/relationships/hyperlink" Target="http://localhost:60151/goto?locus=chr5:110407273" TargetMode="External"/><Relationship Id="rId18" Type="http://schemas.openxmlformats.org/officeDocument/2006/relationships/hyperlink" Target="http://localhost:60151/goto?locus=chr3:47125385" TargetMode="External"/><Relationship Id="rId39" Type="http://schemas.openxmlformats.org/officeDocument/2006/relationships/hyperlink" Target="http://localhost:60151/goto?locus=chr1:16256007" TargetMode="External"/><Relationship Id="rId265" Type="http://schemas.openxmlformats.org/officeDocument/2006/relationships/hyperlink" Target="http://localhost:60151/goto?locus=chr19:18273047" TargetMode="External"/><Relationship Id="rId286" Type="http://schemas.openxmlformats.org/officeDocument/2006/relationships/hyperlink" Target="http://localhost:60151/goto?locus=chr17:41372116" TargetMode="External"/><Relationship Id="rId50" Type="http://schemas.openxmlformats.org/officeDocument/2006/relationships/hyperlink" Target="http://localhost:60151/goto?locus=chr1:16259813" TargetMode="External"/><Relationship Id="rId104" Type="http://schemas.openxmlformats.org/officeDocument/2006/relationships/hyperlink" Target="http://localhost:60151/goto?locus=chr19:45867259" TargetMode="External"/><Relationship Id="rId125" Type="http://schemas.openxmlformats.org/officeDocument/2006/relationships/hyperlink" Target="http://localhost:60151/goto?locus=chr8:77768498" TargetMode="External"/><Relationship Id="rId146" Type="http://schemas.openxmlformats.org/officeDocument/2006/relationships/hyperlink" Target="http://localhost:60151/goto?locus=chr1:40363054" TargetMode="External"/><Relationship Id="rId167" Type="http://schemas.openxmlformats.org/officeDocument/2006/relationships/hyperlink" Target="http://localhost:60151/goto?locus=chr3:128204960" TargetMode="External"/><Relationship Id="rId188" Type="http://schemas.openxmlformats.org/officeDocument/2006/relationships/hyperlink" Target="http://localhost:60151/goto?locus=chr2:215674224" TargetMode="External"/><Relationship Id="rId71" Type="http://schemas.openxmlformats.org/officeDocument/2006/relationships/hyperlink" Target="http://localhost:60151/goto?locus=chr12:6711147" TargetMode="External"/><Relationship Id="rId92" Type="http://schemas.openxmlformats.org/officeDocument/2006/relationships/hyperlink" Target="http://localhost:60151/goto?locus=chr6:160448324" TargetMode="External"/><Relationship Id="rId213" Type="http://schemas.openxmlformats.org/officeDocument/2006/relationships/hyperlink" Target="http://localhost:60151/goto?locus=chr18:49867224" TargetMode="External"/><Relationship Id="rId234" Type="http://schemas.openxmlformats.org/officeDocument/2006/relationships/hyperlink" Target="http://localhost:60151/goto?locus=chr2:234590970" TargetMode="External"/><Relationship Id="rId2" Type="http://schemas.openxmlformats.org/officeDocument/2006/relationships/hyperlink" Target="http://localhost:60151/goto?locus=chr2:190670539" TargetMode="External"/><Relationship Id="rId29" Type="http://schemas.openxmlformats.org/officeDocument/2006/relationships/hyperlink" Target="http://localhost:60151/goto?locus=chr14:62207557" TargetMode="External"/><Relationship Id="rId255" Type="http://schemas.openxmlformats.org/officeDocument/2006/relationships/hyperlink" Target="http://localhost:60151/goto?locus=chr12:53686703" TargetMode="External"/><Relationship Id="rId276" Type="http://schemas.openxmlformats.org/officeDocument/2006/relationships/hyperlink" Target="http://localhost:60151/goto?locus=chr19:54201810" TargetMode="External"/><Relationship Id="rId297" Type="http://schemas.openxmlformats.org/officeDocument/2006/relationships/hyperlink" Target="http://localhost:60151/goto?locus=chr19:10614345" TargetMode="External"/><Relationship Id="rId40" Type="http://schemas.openxmlformats.org/officeDocument/2006/relationships/hyperlink" Target="http://localhost:60151/goto?locus=chr6:152708310" TargetMode="External"/><Relationship Id="rId115" Type="http://schemas.openxmlformats.org/officeDocument/2006/relationships/hyperlink" Target="http://localhost:60151/goto?locus=chr4:106155199" TargetMode="External"/><Relationship Id="rId136" Type="http://schemas.openxmlformats.org/officeDocument/2006/relationships/hyperlink" Target="http://localhost:60151/goto?locus=chr5:35876274" TargetMode="External"/><Relationship Id="rId157" Type="http://schemas.openxmlformats.org/officeDocument/2006/relationships/hyperlink" Target="http://localhost:60151/goto?locus=chr1:158584091" TargetMode="External"/><Relationship Id="rId178" Type="http://schemas.openxmlformats.org/officeDocument/2006/relationships/hyperlink" Target="http://localhost:60151/goto?locus=chr13:110435231" TargetMode="External"/><Relationship Id="rId301" Type="http://schemas.openxmlformats.org/officeDocument/2006/relationships/hyperlink" Target="http://localhost:60151/goto?locus=chr3:47205502" TargetMode="External"/><Relationship Id="rId61" Type="http://schemas.openxmlformats.org/officeDocument/2006/relationships/hyperlink" Target="http://localhost:60151/goto?locus=chr12:57865321" TargetMode="External"/><Relationship Id="rId82" Type="http://schemas.openxmlformats.org/officeDocument/2006/relationships/hyperlink" Target="http://localhost:60151/goto?locus=chr12:49448463" TargetMode="External"/><Relationship Id="rId199" Type="http://schemas.openxmlformats.org/officeDocument/2006/relationships/hyperlink" Target="http://localhost:60151/goto?locus=chr11:92534442" TargetMode="External"/><Relationship Id="rId203" Type="http://schemas.openxmlformats.org/officeDocument/2006/relationships/hyperlink" Target="http://localhost:60151/goto?locus=chr11:92531356" TargetMode="External"/><Relationship Id="rId19" Type="http://schemas.openxmlformats.org/officeDocument/2006/relationships/hyperlink" Target="http://localhost:60151/goto?locus=chr17:41244936" TargetMode="External"/><Relationship Id="rId224" Type="http://schemas.openxmlformats.org/officeDocument/2006/relationships/hyperlink" Target="http://localhost:60151/goto?locus=chr1:210001048" TargetMode="External"/><Relationship Id="rId245" Type="http://schemas.openxmlformats.org/officeDocument/2006/relationships/hyperlink" Target="http://localhost:60151/goto?locus=chr14:20343768" TargetMode="External"/><Relationship Id="rId266" Type="http://schemas.openxmlformats.org/officeDocument/2006/relationships/hyperlink" Target="http://localhost:60151/goto?locus=chr6:43638636" TargetMode="External"/><Relationship Id="rId287" Type="http://schemas.openxmlformats.org/officeDocument/2006/relationships/hyperlink" Target="http://localhost:60151/goto?locus=chr17:41372116" TargetMode="External"/><Relationship Id="rId30" Type="http://schemas.openxmlformats.org/officeDocument/2006/relationships/hyperlink" Target="http://localhost:60151/goto?locus=chr5:56177743" TargetMode="External"/><Relationship Id="rId105" Type="http://schemas.openxmlformats.org/officeDocument/2006/relationships/hyperlink" Target="http://localhost:60151/goto?locus=chr17:59763347" TargetMode="External"/><Relationship Id="rId126" Type="http://schemas.openxmlformats.org/officeDocument/2006/relationships/hyperlink" Target="http://localhost:60151/goto?locus=chr11:55579801" TargetMode="External"/><Relationship Id="rId147" Type="http://schemas.openxmlformats.org/officeDocument/2006/relationships/hyperlink" Target="http://localhost:60151/goto?locus=chr1:46505309" TargetMode="External"/><Relationship Id="rId168" Type="http://schemas.openxmlformats.org/officeDocument/2006/relationships/hyperlink" Target="http://localhost:60151/goto?locus=chr22:21400282" TargetMode="External"/><Relationship Id="rId51" Type="http://schemas.openxmlformats.org/officeDocument/2006/relationships/hyperlink" Target="http://localhost:60151/goto?locus=chr2:29416481" TargetMode="External"/><Relationship Id="rId72" Type="http://schemas.openxmlformats.org/officeDocument/2006/relationships/hyperlink" Target="http://localhost:60151/goto?locus=chr8:48805816" TargetMode="External"/><Relationship Id="rId93" Type="http://schemas.openxmlformats.org/officeDocument/2006/relationships/hyperlink" Target="http://localhost:60151/goto?locus=chrX:129147079" TargetMode="External"/><Relationship Id="rId189" Type="http://schemas.openxmlformats.org/officeDocument/2006/relationships/hyperlink" Target="http://localhost:60151/goto?locus=chr12:48398080" TargetMode="External"/><Relationship Id="rId3" Type="http://schemas.openxmlformats.org/officeDocument/2006/relationships/hyperlink" Target="http://localhost:60151/goto?locus=chr2:192011485" TargetMode="External"/><Relationship Id="rId214" Type="http://schemas.openxmlformats.org/officeDocument/2006/relationships/hyperlink" Target="http://localhost:60151/goto?locus=chr17:16068340" TargetMode="External"/><Relationship Id="rId235" Type="http://schemas.openxmlformats.org/officeDocument/2006/relationships/hyperlink" Target="http://localhost:60151/goto?locus=chr2:215617178" TargetMode="External"/><Relationship Id="rId256" Type="http://schemas.openxmlformats.org/officeDocument/2006/relationships/hyperlink" Target="http://localhost:60151/goto?locus=chr9:133760592" TargetMode="External"/><Relationship Id="rId277" Type="http://schemas.openxmlformats.org/officeDocument/2006/relationships/hyperlink" Target="http://localhost:60151/goto?locus=chr15:34502467" TargetMode="External"/><Relationship Id="rId298" Type="http://schemas.openxmlformats.org/officeDocument/2006/relationships/hyperlink" Target="http://localhost:60151/goto?locus=chr9:98270535" TargetMode="External"/><Relationship Id="rId116" Type="http://schemas.openxmlformats.org/officeDocument/2006/relationships/hyperlink" Target="http://localhost:60151/goto?locus=chr11:55579102" TargetMode="External"/><Relationship Id="rId137" Type="http://schemas.openxmlformats.org/officeDocument/2006/relationships/hyperlink" Target="http://localhost:60151/goto?locus=chr6:112382313" TargetMode="External"/><Relationship Id="rId158" Type="http://schemas.openxmlformats.org/officeDocument/2006/relationships/hyperlink" Target="http://localhost:60151/goto?locus=chr11:95825374" TargetMode="External"/><Relationship Id="rId302" Type="http://schemas.openxmlformats.org/officeDocument/2006/relationships/hyperlink" Target="http://localhost:60151/goto?locus=chr19:2164102" TargetMode="External"/><Relationship Id="rId20" Type="http://schemas.openxmlformats.org/officeDocument/2006/relationships/hyperlink" Target="http://localhost:60151/goto?locus=chr4:106155751" TargetMode="External"/><Relationship Id="rId41" Type="http://schemas.openxmlformats.org/officeDocument/2006/relationships/hyperlink" Target="http://localhost:60151/goto?locus=chr20:31022959" TargetMode="External"/><Relationship Id="rId62" Type="http://schemas.openxmlformats.org/officeDocument/2006/relationships/hyperlink" Target="http://localhost:60151/goto?locus=chr6:152665261" TargetMode="External"/><Relationship Id="rId83" Type="http://schemas.openxmlformats.org/officeDocument/2006/relationships/hyperlink" Target="http://localhost:60151/goto?locus=chr19:41743861" TargetMode="External"/><Relationship Id="rId179" Type="http://schemas.openxmlformats.org/officeDocument/2006/relationships/hyperlink" Target="http://localhost:60151/goto?locus=chr20:46279836" TargetMode="External"/><Relationship Id="rId190" Type="http://schemas.openxmlformats.org/officeDocument/2006/relationships/hyperlink" Target="http://localhost:60151/goto?locus=chr22:21336549" TargetMode="External"/><Relationship Id="rId204" Type="http://schemas.openxmlformats.org/officeDocument/2006/relationships/hyperlink" Target="http://localhost:60151/goto?locus=chr3:121154974" TargetMode="External"/><Relationship Id="rId225" Type="http://schemas.openxmlformats.org/officeDocument/2006/relationships/hyperlink" Target="http://localhost:60151/goto?locus=chr6:117622184" TargetMode="External"/><Relationship Id="rId246" Type="http://schemas.openxmlformats.org/officeDocument/2006/relationships/hyperlink" Target="http://localhost:60151/goto?locus=chr11:125525195" TargetMode="External"/><Relationship Id="rId267" Type="http://schemas.openxmlformats.org/officeDocument/2006/relationships/hyperlink" Target="http://localhost:60151/goto?locus=chr1:16475123" TargetMode="External"/><Relationship Id="rId288" Type="http://schemas.openxmlformats.org/officeDocument/2006/relationships/hyperlink" Target="http://localhost:60151/goto?locus=chr15:34502311" TargetMode="External"/><Relationship Id="rId106" Type="http://schemas.openxmlformats.org/officeDocument/2006/relationships/hyperlink" Target="http://localhost:60151/goto?locus=chr3:121208176" TargetMode="External"/><Relationship Id="rId127" Type="http://schemas.openxmlformats.org/officeDocument/2006/relationships/hyperlink" Target="http://localhost:60151/goto?locus=chr8:77616519" TargetMode="External"/><Relationship Id="rId10" Type="http://schemas.openxmlformats.org/officeDocument/2006/relationships/hyperlink" Target="http://localhost:60151/goto?locus=chr19:36214632" TargetMode="External"/><Relationship Id="rId31" Type="http://schemas.openxmlformats.org/officeDocument/2006/relationships/hyperlink" Target="http://localhost:60151/goto?locus=chr4:187629140" TargetMode="External"/><Relationship Id="rId52" Type="http://schemas.openxmlformats.org/officeDocument/2006/relationships/hyperlink" Target="http://localhost:60151/goto?locus=chr4:55972974" TargetMode="External"/><Relationship Id="rId73" Type="http://schemas.openxmlformats.org/officeDocument/2006/relationships/hyperlink" Target="http://localhost:60151/goto?locus=chrX:44929077" TargetMode="External"/><Relationship Id="rId94" Type="http://schemas.openxmlformats.org/officeDocument/2006/relationships/hyperlink" Target="http://localhost:60151/goto?locus=chr6:36651971" TargetMode="External"/><Relationship Id="rId148" Type="http://schemas.openxmlformats.org/officeDocument/2006/relationships/hyperlink" Target="http://localhost:60151/goto?locus=chr11:92573911" TargetMode="External"/><Relationship Id="rId169" Type="http://schemas.openxmlformats.org/officeDocument/2006/relationships/hyperlink" Target="http://localhost:60151/goto?locus=chr17:8108331" TargetMode="External"/><Relationship Id="rId4" Type="http://schemas.openxmlformats.org/officeDocument/2006/relationships/hyperlink" Target="http://localhost:60151/goto?locus=chr19:54649670" TargetMode="External"/><Relationship Id="rId180" Type="http://schemas.openxmlformats.org/officeDocument/2006/relationships/hyperlink" Target="http://localhost:60151/goto?locus=chr9:36840623" TargetMode="External"/><Relationship Id="rId215" Type="http://schemas.openxmlformats.org/officeDocument/2006/relationships/hyperlink" Target="http://localhost:60151/goto?locus=chr6:152540278" TargetMode="External"/><Relationship Id="rId236" Type="http://schemas.openxmlformats.org/officeDocument/2006/relationships/hyperlink" Target="http://localhost:60151/goto?locus=chr8:68993013" TargetMode="External"/><Relationship Id="rId257" Type="http://schemas.openxmlformats.org/officeDocument/2006/relationships/hyperlink" Target="http://localhost:60151/goto?locus=chr3:9005381" TargetMode="External"/><Relationship Id="rId278" Type="http://schemas.openxmlformats.org/officeDocument/2006/relationships/hyperlink" Target="http://localhost:60151/goto?locus=chr5:148520213" TargetMode="External"/><Relationship Id="rId303" Type="http://schemas.openxmlformats.org/officeDocument/2006/relationships/hyperlink" Target="http://localhost:60151/goto?locus=chr20:57466810" TargetMode="External"/><Relationship Id="rId42" Type="http://schemas.openxmlformats.org/officeDocument/2006/relationships/hyperlink" Target="http://localhost:60151/goto?locus=chr4:187627792" TargetMode="External"/><Relationship Id="rId84" Type="http://schemas.openxmlformats.org/officeDocument/2006/relationships/hyperlink" Target="http://localhost:60151/goto?locus=chr6:41903782" TargetMode="External"/><Relationship Id="rId138" Type="http://schemas.openxmlformats.org/officeDocument/2006/relationships/hyperlink" Target="http://localhost:60151/goto?locus=chr6:152772264" TargetMode="External"/><Relationship Id="rId191" Type="http://schemas.openxmlformats.org/officeDocument/2006/relationships/hyperlink" Target="http://localhost:60151/goto?locus=chrX:66765158" TargetMode="External"/><Relationship Id="rId205" Type="http://schemas.openxmlformats.org/officeDocument/2006/relationships/hyperlink" Target="http://localhost:60151/goto?locus=chr15:41988439" TargetMode="External"/><Relationship Id="rId247" Type="http://schemas.openxmlformats.org/officeDocument/2006/relationships/hyperlink" Target="http://localhost:60151/goto?locus=chr19:47421900" TargetMode="External"/><Relationship Id="rId107" Type="http://schemas.openxmlformats.org/officeDocument/2006/relationships/hyperlink" Target="http://localhost:60151/goto?locus=chr2:215645464" TargetMode="External"/><Relationship Id="rId289" Type="http://schemas.openxmlformats.org/officeDocument/2006/relationships/hyperlink" Target="http://localhost:60151/goto?locus=chr5:79950709" TargetMode="External"/><Relationship Id="rId11" Type="http://schemas.openxmlformats.org/officeDocument/2006/relationships/hyperlink" Target="http://localhost:60151/goto?locus=chr2:141625834" TargetMode="External"/><Relationship Id="rId53" Type="http://schemas.openxmlformats.org/officeDocument/2006/relationships/hyperlink" Target="http://localhost:60151/goto?locus=chr6:117622188" TargetMode="External"/><Relationship Id="rId149" Type="http://schemas.openxmlformats.org/officeDocument/2006/relationships/hyperlink" Target="http://localhost:60151/goto?locus=chr6:160670282" TargetMode="External"/><Relationship Id="rId95" Type="http://schemas.openxmlformats.org/officeDocument/2006/relationships/hyperlink" Target="http://localhost:60151/goto?locus=chr12:53682457" TargetMode="External"/><Relationship Id="rId160" Type="http://schemas.openxmlformats.org/officeDocument/2006/relationships/hyperlink" Target="http://localhost:60151/goto?locus=chr11:92085199" TargetMode="External"/><Relationship Id="rId216" Type="http://schemas.openxmlformats.org/officeDocument/2006/relationships/hyperlink" Target="http://localhost:60151/goto?locus=chr2:215632255" TargetMode="External"/><Relationship Id="rId258" Type="http://schemas.openxmlformats.org/officeDocument/2006/relationships/hyperlink" Target="http://localhost:60151/goto?locus=chr19:54182518" TargetMode="External"/><Relationship Id="rId22" Type="http://schemas.openxmlformats.org/officeDocument/2006/relationships/hyperlink" Target="http://localhost:60151/goto?locus=chr17:41244000" TargetMode="External"/><Relationship Id="rId64" Type="http://schemas.openxmlformats.org/officeDocument/2006/relationships/hyperlink" Target="http://localhost:60151/goto?locus=chr11:108175462" TargetMode="External"/><Relationship Id="rId118" Type="http://schemas.openxmlformats.org/officeDocument/2006/relationships/hyperlink" Target="http://localhost:60151/goto?locus=chr8:108970367" TargetMode="External"/><Relationship Id="rId171" Type="http://schemas.openxmlformats.org/officeDocument/2006/relationships/hyperlink" Target="http://localhost:60151/goto?locus=chr4:55147769" TargetMode="External"/><Relationship Id="rId227" Type="http://schemas.openxmlformats.org/officeDocument/2006/relationships/hyperlink" Target="http://localhost:60151/goto?locus=chr16:89866043" TargetMode="External"/><Relationship Id="rId269" Type="http://schemas.openxmlformats.org/officeDocument/2006/relationships/hyperlink" Target="http://localhost:60151/goto?locus=chr3:137742541" TargetMode="External"/><Relationship Id="rId33" Type="http://schemas.openxmlformats.org/officeDocument/2006/relationships/hyperlink" Target="http://localhost:60151/goto?locus=chr4:187525020" TargetMode="External"/><Relationship Id="rId129" Type="http://schemas.openxmlformats.org/officeDocument/2006/relationships/hyperlink" Target="http://localhost:60151/goto?locus=chr6:152647681" TargetMode="External"/><Relationship Id="rId280" Type="http://schemas.openxmlformats.org/officeDocument/2006/relationships/hyperlink" Target="http://localhost:60151/goto?locus=chr15:40674920" TargetMode="External"/><Relationship Id="rId75" Type="http://schemas.openxmlformats.org/officeDocument/2006/relationships/hyperlink" Target="http://localhost:60151/goto?locus=chr13:80911525" TargetMode="External"/><Relationship Id="rId140" Type="http://schemas.openxmlformats.org/officeDocument/2006/relationships/hyperlink" Target="http://localhost:60151/goto?locus=chr9:8497250" TargetMode="External"/><Relationship Id="rId182" Type="http://schemas.openxmlformats.org/officeDocument/2006/relationships/hyperlink" Target="http://localhost:60151/goto?locus=chr17:48265495" TargetMode="External"/><Relationship Id="rId6" Type="http://schemas.openxmlformats.org/officeDocument/2006/relationships/hyperlink" Target="http://localhost:60151/goto?locus=chrX:123184969" TargetMode="External"/><Relationship Id="rId238" Type="http://schemas.openxmlformats.org/officeDocument/2006/relationships/hyperlink" Target="http://localhost:60151/goto?locus=chr2:2941657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44"/>
  <sheetViews>
    <sheetView workbookViewId="0"/>
  </sheetViews>
  <sheetFormatPr defaultRowHeight="14.4" x14ac:dyDescent="0.3"/>
  <sheetData>
    <row r="1" spans="1:3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</row>
    <row r="2" spans="1:32" x14ac:dyDescent="0.3">
      <c r="A2" s="1" t="s">
        <v>32</v>
      </c>
      <c r="B2" t="s">
        <v>33</v>
      </c>
      <c r="C2" t="s">
        <v>34</v>
      </c>
      <c r="D2" t="s">
        <v>35</v>
      </c>
      <c r="E2" t="s">
        <v>36</v>
      </c>
      <c r="F2" t="s">
        <v>37</v>
      </c>
      <c r="G2" t="str">
        <f>"11010"</f>
        <v>11010</v>
      </c>
      <c r="H2" t="str">
        <f>"TP53 p.Y163C"</f>
        <v>TP53 p.Y163C</v>
      </c>
      <c r="I2" t="str">
        <f>"NM_000546"</f>
        <v>NM_000546</v>
      </c>
      <c r="K2" t="s">
        <v>38</v>
      </c>
      <c r="L2" t="str">
        <f>"84%"</f>
        <v>84%</v>
      </c>
      <c r="M2" t="str">
        <f>"0.01"</f>
        <v>0.01</v>
      </c>
      <c r="N2" t="str">
        <f>"000"</f>
        <v>000</v>
      </c>
      <c r="O2" t="s">
        <v>39</v>
      </c>
      <c r="P2" t="str">
        <f>"0%"</f>
        <v>0%</v>
      </c>
      <c r="Q2" t="str">
        <f>"0.03"</f>
        <v>0.03</v>
      </c>
      <c r="S2" t="s">
        <v>40</v>
      </c>
      <c r="T2" t="s">
        <v>41</v>
      </c>
      <c r="U2" t="str">
        <f>""</f>
        <v/>
      </c>
      <c r="V2" t="str">
        <f>""</f>
        <v/>
      </c>
      <c r="W2" t="str">
        <f>""</f>
        <v/>
      </c>
      <c r="X2" t="str">
        <f>""</f>
        <v/>
      </c>
      <c r="Y2" t="s">
        <v>42</v>
      </c>
      <c r="Z2" t="str">
        <f>""</f>
        <v/>
      </c>
      <c r="AA2" t="str">
        <f>""</f>
        <v/>
      </c>
      <c r="AB2" t="s">
        <v>43</v>
      </c>
      <c r="AC2" t="s">
        <v>44</v>
      </c>
      <c r="AD2" t="s">
        <v>45</v>
      </c>
      <c r="AE2" t="str">
        <f>"14.54"</f>
        <v>14.54</v>
      </c>
    </row>
    <row r="3" spans="1:32" x14ac:dyDescent="0.3">
      <c r="A3" s="1" t="s">
        <v>46</v>
      </c>
      <c r="B3" t="s">
        <v>47</v>
      </c>
      <c r="C3" t="s">
        <v>48</v>
      </c>
      <c r="D3" t="s">
        <v>49</v>
      </c>
      <c r="E3" t="s">
        <v>50</v>
      </c>
      <c r="F3" t="s">
        <v>37</v>
      </c>
      <c r="G3" t="str">
        <f>"11101"</f>
        <v>11101</v>
      </c>
      <c r="H3" t="str">
        <f>"ATRX p.E886fs"</f>
        <v>ATRX p.E886fs</v>
      </c>
      <c r="I3" t="str">
        <f>"NM_000489"</f>
        <v>NM_000489</v>
      </c>
      <c r="K3" t="s">
        <v>51</v>
      </c>
      <c r="L3" t="str">
        <f>"35%"</f>
        <v>35%</v>
      </c>
      <c r="M3" t="str">
        <f>"-0.81"</f>
        <v>-0.81</v>
      </c>
      <c r="N3" t="str">
        <f>"000"</f>
        <v>000</v>
      </c>
      <c r="O3" t="s">
        <v>52</v>
      </c>
      <c r="P3" t="str">
        <f>"0%"</f>
        <v>0%</v>
      </c>
      <c r="Q3" t="str">
        <f>"-0.55"</f>
        <v>-0.55</v>
      </c>
      <c r="S3" t="s">
        <v>53</v>
      </c>
      <c r="T3" t="s">
        <v>54</v>
      </c>
      <c r="U3" t="str">
        <f>""</f>
        <v/>
      </c>
      <c r="V3" t="str">
        <f>""</f>
        <v/>
      </c>
      <c r="W3" t="str">
        <f>""</f>
        <v/>
      </c>
      <c r="X3" t="str">
        <f>""</f>
        <v/>
      </c>
      <c r="Z3" t="str">
        <f>""</f>
        <v/>
      </c>
      <c r="AA3" t="str">
        <f>""</f>
        <v/>
      </c>
      <c r="AB3" t="s">
        <v>55</v>
      </c>
      <c r="AC3" t="s">
        <v>56</v>
      </c>
      <c r="AE3" t="str">
        <f>""</f>
        <v/>
      </c>
    </row>
    <row r="4" spans="1:32" x14ac:dyDescent="0.3">
      <c r="A4" s="1" t="s">
        <v>57</v>
      </c>
      <c r="B4" t="s">
        <v>58</v>
      </c>
      <c r="C4" t="s">
        <v>59</v>
      </c>
      <c r="D4" t="s">
        <v>60</v>
      </c>
      <c r="E4" t="s">
        <v>36</v>
      </c>
      <c r="F4" t="s">
        <v>37</v>
      </c>
      <c r="G4" t="str">
        <f>"10100"</f>
        <v>10100</v>
      </c>
      <c r="H4" t="str">
        <f>"SPRED1 p.S308fs"</f>
        <v>SPRED1 p.S308fs</v>
      </c>
      <c r="I4" t="str">
        <f>"NM_152594"</f>
        <v>NM_152594</v>
      </c>
      <c r="K4" t="s">
        <v>61</v>
      </c>
      <c r="L4" t="str">
        <f>"13%"</f>
        <v>13%</v>
      </c>
      <c r="M4" t="str">
        <f>"-0.03"</f>
        <v>-0.03</v>
      </c>
      <c r="N4" t="str">
        <f>"000"</f>
        <v>000</v>
      </c>
      <c r="O4" t="s">
        <v>62</v>
      </c>
      <c r="P4" t="str">
        <f>"0%"</f>
        <v>0%</v>
      </c>
      <c r="Q4" t="str">
        <f>"-0.00"</f>
        <v>-0.00</v>
      </c>
      <c r="S4" t="s">
        <v>53</v>
      </c>
      <c r="T4" t="s">
        <v>63</v>
      </c>
      <c r="U4" t="str">
        <f>""</f>
        <v/>
      </c>
      <c r="V4" t="str">
        <f>""</f>
        <v/>
      </c>
      <c r="W4" t="str">
        <f>""</f>
        <v/>
      </c>
      <c r="X4" t="str">
        <f>""</f>
        <v/>
      </c>
      <c r="Z4" t="str">
        <f>""</f>
        <v/>
      </c>
      <c r="AA4" t="str">
        <f>""</f>
        <v/>
      </c>
      <c r="AE4" t="str">
        <f>""</f>
        <v/>
      </c>
    </row>
    <row r="5" spans="1:32" x14ac:dyDescent="0.3">
      <c r="A5" s="1" t="s">
        <v>64</v>
      </c>
      <c r="B5" t="s">
        <v>65</v>
      </c>
      <c r="C5" t="s">
        <v>66</v>
      </c>
      <c r="D5" t="s">
        <v>36</v>
      </c>
      <c r="E5" t="s">
        <v>35</v>
      </c>
      <c r="F5" t="s">
        <v>37</v>
      </c>
      <c r="G5" t="str">
        <f>"11010"</f>
        <v>11010</v>
      </c>
      <c r="H5" t="str">
        <f>"IGF2R p.Q1135*"</f>
        <v>IGF2R p.Q1135*</v>
      </c>
      <c r="I5" t="str">
        <f>"NM_000876"</f>
        <v>NM_000876</v>
      </c>
      <c r="K5" t="s">
        <v>67</v>
      </c>
      <c r="L5" t="str">
        <f>"21%"</f>
        <v>21%</v>
      </c>
      <c r="M5" t="str">
        <f>"0.15"</f>
        <v>0.15</v>
      </c>
      <c r="N5" t="str">
        <f>"000"</f>
        <v>000</v>
      </c>
      <c r="O5" t="s">
        <v>68</v>
      </c>
      <c r="P5" t="str">
        <f>"0%"</f>
        <v>0%</v>
      </c>
      <c r="Q5" t="str">
        <f>"0.01"</f>
        <v>0.01</v>
      </c>
      <c r="S5" t="s">
        <v>69</v>
      </c>
      <c r="T5" t="s">
        <v>70</v>
      </c>
      <c r="U5" t="str">
        <f>""</f>
        <v/>
      </c>
      <c r="V5" t="str">
        <f>""</f>
        <v/>
      </c>
      <c r="W5" t="str">
        <f>""</f>
        <v/>
      </c>
      <c r="X5" t="str">
        <f>""</f>
        <v/>
      </c>
      <c r="Z5" t="str">
        <f>""</f>
        <v/>
      </c>
      <c r="AA5" t="str">
        <f>""</f>
        <v/>
      </c>
      <c r="AE5" t="str">
        <f>"41"</f>
        <v>41</v>
      </c>
    </row>
    <row r="6" spans="1:32" x14ac:dyDescent="0.3">
      <c r="A6" s="1" t="s">
        <v>71</v>
      </c>
      <c r="B6" t="s">
        <v>33</v>
      </c>
      <c r="C6" t="s">
        <v>72</v>
      </c>
      <c r="D6" t="s">
        <v>73</v>
      </c>
      <c r="E6" t="s">
        <v>74</v>
      </c>
      <c r="F6" t="s">
        <v>37</v>
      </c>
      <c r="G6" t="str">
        <f>"00000"</f>
        <v>00000</v>
      </c>
      <c r="H6" t="str">
        <f>"COL1A1 c.3219_3223CCCCG"</f>
        <v>COL1A1 c.3219_3223CCCCG</v>
      </c>
      <c r="I6" t="str">
        <f>"NM_000088"</f>
        <v>NM_000088</v>
      </c>
      <c r="K6" t="s">
        <v>75</v>
      </c>
      <c r="L6" t="str">
        <f>"6%"</f>
        <v>6%</v>
      </c>
      <c r="M6" t="str">
        <f>"-0.04"</f>
        <v>-0.04</v>
      </c>
      <c r="N6" t="str">
        <f>"000"</f>
        <v>000</v>
      </c>
      <c r="O6" t="s">
        <v>76</v>
      </c>
      <c r="P6" t="str">
        <f>"4%"</f>
        <v>4%</v>
      </c>
      <c r="Q6" t="str">
        <f>"0.00"</f>
        <v>0.00</v>
      </c>
      <c r="S6" t="s">
        <v>77</v>
      </c>
      <c r="T6" t="s">
        <v>78</v>
      </c>
      <c r="U6" t="str">
        <f>""</f>
        <v/>
      </c>
      <c r="V6" t="str">
        <f>""</f>
        <v/>
      </c>
      <c r="W6" t="str">
        <f>""</f>
        <v/>
      </c>
      <c r="X6" t="str">
        <f>""</f>
        <v/>
      </c>
      <c r="Z6" t="str">
        <f>"0.1600%"</f>
        <v>0.1600%</v>
      </c>
      <c r="AA6" t="str">
        <f>""</f>
        <v/>
      </c>
      <c r="AE6" t="str">
        <f>""</f>
        <v/>
      </c>
    </row>
    <row r="7" spans="1:32" x14ac:dyDescent="0.3">
      <c r="A7" s="1" t="s">
        <v>79</v>
      </c>
      <c r="B7" t="s">
        <v>80</v>
      </c>
      <c r="C7" t="s">
        <v>81</v>
      </c>
      <c r="D7" t="s">
        <v>36</v>
      </c>
      <c r="E7" t="s">
        <v>82</v>
      </c>
      <c r="F7" t="s">
        <v>37</v>
      </c>
      <c r="G7" t="str">
        <f>"10000"</f>
        <v>10000</v>
      </c>
      <c r="H7" t="str">
        <f>"PTEN p.D268E"</f>
        <v>PTEN p.D268E</v>
      </c>
      <c r="I7" t="str">
        <f>"NM_000314"</f>
        <v>NM_000314</v>
      </c>
      <c r="K7" t="s">
        <v>83</v>
      </c>
      <c r="L7" t="str">
        <f>"8%"</f>
        <v>8%</v>
      </c>
      <c r="M7" t="str">
        <f>"0.01"</f>
        <v>0.01</v>
      </c>
      <c r="N7" t="str">
        <f>"100"</f>
        <v>100</v>
      </c>
      <c r="O7" t="s">
        <v>75</v>
      </c>
      <c r="P7" t="str">
        <f>"5%"</f>
        <v>5%</v>
      </c>
      <c r="Q7" t="str">
        <f>"-0.01"</f>
        <v>-0.01</v>
      </c>
      <c r="S7" t="s">
        <v>40</v>
      </c>
      <c r="T7" t="s">
        <v>84</v>
      </c>
      <c r="U7" t="str">
        <f>"0.0900%"</f>
        <v>0.0900%</v>
      </c>
      <c r="V7" t="str">
        <f>"0.0700%"</f>
        <v>0.0700%</v>
      </c>
      <c r="W7" t="str">
        <f>""</f>
        <v/>
      </c>
      <c r="X7" t="str">
        <f>""</f>
        <v/>
      </c>
      <c r="Y7" t="s">
        <v>85</v>
      </c>
      <c r="Z7" t="str">
        <f>"27.5310%"</f>
        <v>27.5310%</v>
      </c>
      <c r="AA7" t="str">
        <f>""</f>
        <v/>
      </c>
      <c r="AB7" t="s">
        <v>86</v>
      </c>
      <c r="AE7" t="str">
        <f>"1.928"</f>
        <v>1.928</v>
      </c>
    </row>
    <row r="8" spans="1:32" x14ac:dyDescent="0.3">
      <c r="A8" s="1" t="s">
        <v>87</v>
      </c>
      <c r="B8" t="s">
        <v>88</v>
      </c>
      <c r="C8" t="s">
        <v>89</v>
      </c>
      <c r="D8" t="s">
        <v>36</v>
      </c>
      <c r="E8" t="s">
        <v>35</v>
      </c>
      <c r="F8" t="s">
        <v>37</v>
      </c>
      <c r="G8" t="str">
        <f>"11000"</f>
        <v>11000</v>
      </c>
      <c r="H8" t="str">
        <f>"IDH1 p.R132H"</f>
        <v>IDH1 p.R132H</v>
      </c>
      <c r="I8" t="str">
        <f>"NM_001282387"</f>
        <v>NM_001282387</v>
      </c>
      <c r="K8" t="s">
        <v>90</v>
      </c>
      <c r="L8" t="str">
        <f>"42%"</f>
        <v>42%</v>
      </c>
      <c r="M8" t="str">
        <f>"-0.01"</f>
        <v>-0.01</v>
      </c>
      <c r="N8" t="str">
        <f>"000"</f>
        <v>000</v>
      </c>
      <c r="O8" t="s">
        <v>91</v>
      </c>
      <c r="P8" t="str">
        <f>"6%"</f>
        <v>6%</v>
      </c>
      <c r="Q8" t="str">
        <f>"-0.01"</f>
        <v>-0.01</v>
      </c>
      <c r="S8" t="s">
        <v>40</v>
      </c>
      <c r="T8" t="s">
        <v>92</v>
      </c>
      <c r="U8" t="str">
        <f>"0.0016%"</f>
        <v>0.0016%</v>
      </c>
      <c r="V8" t="str">
        <f>"0.0000%"</f>
        <v>0.0000%</v>
      </c>
      <c r="W8" t="str">
        <f>""</f>
        <v/>
      </c>
      <c r="X8" t="str">
        <f>""</f>
        <v/>
      </c>
      <c r="Y8" t="s">
        <v>93</v>
      </c>
      <c r="Z8" t="str">
        <f>""</f>
        <v/>
      </c>
      <c r="AA8" t="str">
        <f>""</f>
        <v/>
      </c>
      <c r="AB8" t="s">
        <v>94</v>
      </c>
      <c r="AC8" t="s">
        <v>95</v>
      </c>
      <c r="AD8" t="s">
        <v>96</v>
      </c>
      <c r="AE8" t="str">
        <f>"25.6"</f>
        <v>25.6</v>
      </c>
    </row>
    <row r="9" spans="1:32" x14ac:dyDescent="0.3">
      <c r="A9" s="1" t="s">
        <v>97</v>
      </c>
      <c r="B9" t="s">
        <v>88</v>
      </c>
      <c r="C9" t="s">
        <v>98</v>
      </c>
      <c r="D9" t="s">
        <v>35</v>
      </c>
      <c r="E9" t="s">
        <v>99</v>
      </c>
      <c r="F9" t="s">
        <v>100</v>
      </c>
      <c r="G9" t="str">
        <f t="shared" ref="G9:G17" si="0">"10000"</f>
        <v>10000</v>
      </c>
      <c r="H9" t="str">
        <f>"LRP1B c.4170-2-&gt;T"</f>
        <v>LRP1B c.4170-2-&gt;T</v>
      </c>
      <c r="I9" t="str">
        <f>"NM_018557"</f>
        <v>NM_018557</v>
      </c>
      <c r="K9" t="s">
        <v>101</v>
      </c>
      <c r="L9" t="str">
        <f>"12%"</f>
        <v>12%</v>
      </c>
      <c r="M9" t="str">
        <f>"-0.01"</f>
        <v>-0.01</v>
      </c>
      <c r="N9" t="str">
        <f t="shared" ref="N9:N17" si="1">"100"</f>
        <v>100</v>
      </c>
      <c r="O9" t="s">
        <v>102</v>
      </c>
      <c r="P9" t="str">
        <f>"6%"</f>
        <v>6%</v>
      </c>
      <c r="Q9" t="str">
        <f>"-0.01"</f>
        <v>-0.01</v>
      </c>
      <c r="R9" t="s">
        <v>103</v>
      </c>
      <c r="U9" t="str">
        <f>"3.1700%"</f>
        <v>3.1700%</v>
      </c>
      <c r="V9" t="str">
        <f>"8.0000%"</f>
        <v>8.0000%</v>
      </c>
      <c r="W9" t="str">
        <f>""</f>
        <v/>
      </c>
      <c r="X9" t="str">
        <f>""</f>
        <v/>
      </c>
      <c r="Y9" t="s">
        <v>104</v>
      </c>
      <c r="Z9" t="str">
        <f>"40.6780%"</f>
        <v>40.6780%</v>
      </c>
      <c r="AA9" t="str">
        <f>"5.1990%"</f>
        <v>5.1990%</v>
      </c>
      <c r="AE9" t="str">
        <f>""</f>
        <v/>
      </c>
    </row>
    <row r="10" spans="1:32" x14ac:dyDescent="0.3">
      <c r="A10" s="1" t="s">
        <v>105</v>
      </c>
      <c r="B10" t="s">
        <v>106</v>
      </c>
      <c r="C10" t="s">
        <v>107</v>
      </c>
      <c r="D10" t="s">
        <v>82</v>
      </c>
      <c r="E10" t="s">
        <v>35</v>
      </c>
      <c r="F10" t="s">
        <v>100</v>
      </c>
      <c r="G10" t="str">
        <f t="shared" si="0"/>
        <v>10000</v>
      </c>
      <c r="H10" t="str">
        <f>"CHD1 c.2964+2T&gt;A"</f>
        <v>CHD1 c.2964+2T&gt;A</v>
      </c>
      <c r="I10" t="str">
        <f>"NM_001270"</f>
        <v>NM_001270</v>
      </c>
      <c r="K10" t="s">
        <v>108</v>
      </c>
      <c r="L10" t="str">
        <f>"7%"</f>
        <v>7%</v>
      </c>
      <c r="M10" t="str">
        <f>"-0.00"</f>
        <v>-0.00</v>
      </c>
      <c r="N10" t="str">
        <f t="shared" si="1"/>
        <v>100</v>
      </c>
      <c r="O10" t="s">
        <v>109</v>
      </c>
      <c r="P10" t="str">
        <f>"6%"</f>
        <v>6%</v>
      </c>
      <c r="Q10" t="str">
        <f>"-0.01"</f>
        <v>-0.01</v>
      </c>
      <c r="R10" t="s">
        <v>110</v>
      </c>
      <c r="U10" t="str">
        <f>"0.0200%"</f>
        <v>0.0200%</v>
      </c>
      <c r="V10" t="str">
        <f>"0.1100%"</f>
        <v>0.1100%</v>
      </c>
      <c r="W10" t="str">
        <f>""</f>
        <v/>
      </c>
      <c r="X10" t="str">
        <f>""</f>
        <v/>
      </c>
      <c r="Y10" t="s">
        <v>111</v>
      </c>
      <c r="Z10" t="str">
        <f>"4.2370%"</f>
        <v>4.2370%</v>
      </c>
      <c r="AA10" t="str">
        <f>""</f>
        <v/>
      </c>
      <c r="AE10" t="str">
        <f>"15.36"</f>
        <v>15.36</v>
      </c>
    </row>
    <row r="11" spans="1:32" x14ac:dyDescent="0.3">
      <c r="A11" s="1" t="s">
        <v>112</v>
      </c>
      <c r="B11" t="s">
        <v>113</v>
      </c>
      <c r="C11" t="s">
        <v>114</v>
      </c>
      <c r="D11" t="s">
        <v>35</v>
      </c>
      <c r="E11" t="s">
        <v>115</v>
      </c>
      <c r="F11" t="s">
        <v>37</v>
      </c>
      <c r="G11" t="str">
        <f t="shared" si="0"/>
        <v>10000</v>
      </c>
      <c r="H11" t="str">
        <f>"BRD4 c.2865delinsCC"</f>
        <v>BRD4 c.2865delinsCC</v>
      </c>
      <c r="I11" t="str">
        <f>"NM_058243"</f>
        <v>NM_058243</v>
      </c>
      <c r="K11" t="s">
        <v>108</v>
      </c>
      <c r="L11" t="str">
        <f>"0%"</f>
        <v>0%</v>
      </c>
      <c r="M11" t="str">
        <f>"0.14"</f>
        <v>0.14</v>
      </c>
      <c r="N11" t="str">
        <f t="shared" si="1"/>
        <v>100</v>
      </c>
      <c r="O11" t="s">
        <v>116</v>
      </c>
      <c r="P11" t="str">
        <f>"6%"</f>
        <v>6%</v>
      </c>
      <c r="Q11" t="str">
        <f>"-0.04"</f>
        <v>-0.04</v>
      </c>
      <c r="S11" t="s">
        <v>117</v>
      </c>
      <c r="T11" t="s">
        <v>118</v>
      </c>
      <c r="U11" t="str">
        <f>""</f>
        <v/>
      </c>
      <c r="V11" t="str">
        <f>""</f>
        <v/>
      </c>
      <c r="W11" t="str">
        <f>""</f>
        <v/>
      </c>
      <c r="X11" t="str">
        <f>""</f>
        <v/>
      </c>
      <c r="Z11" t="str">
        <f>"0.0690%"</f>
        <v>0.0690%</v>
      </c>
      <c r="AA11" t="str">
        <f>""</f>
        <v/>
      </c>
      <c r="AE11" t="str">
        <f>""</f>
        <v/>
      </c>
    </row>
    <row r="12" spans="1:32" x14ac:dyDescent="0.3">
      <c r="A12" s="1" t="s">
        <v>119</v>
      </c>
      <c r="B12" t="s">
        <v>120</v>
      </c>
      <c r="C12" t="s">
        <v>121</v>
      </c>
      <c r="D12" t="s">
        <v>35</v>
      </c>
      <c r="E12" t="s">
        <v>99</v>
      </c>
      <c r="F12" t="s">
        <v>100</v>
      </c>
      <c r="G12" t="str">
        <f t="shared" si="0"/>
        <v>10000</v>
      </c>
      <c r="H12" t="str">
        <f>"FUBP1 c.121-2-&gt;T"</f>
        <v>FUBP1 c.121-2-&gt;T</v>
      </c>
      <c r="I12" t="str">
        <f>"NM_003902"</f>
        <v>NM_003902</v>
      </c>
      <c r="K12" t="s">
        <v>122</v>
      </c>
      <c r="L12" t="str">
        <f>"8%"</f>
        <v>8%</v>
      </c>
      <c r="M12" t="str">
        <f>"0.01"</f>
        <v>0.01</v>
      </c>
      <c r="N12" t="str">
        <f t="shared" si="1"/>
        <v>100</v>
      </c>
      <c r="O12" t="s">
        <v>123</v>
      </c>
      <c r="P12" t="str">
        <f>"7%"</f>
        <v>7%</v>
      </c>
      <c r="Q12" t="str">
        <f>"-0.01"</f>
        <v>-0.01</v>
      </c>
      <c r="R12" t="s">
        <v>124</v>
      </c>
      <c r="U12" t="str">
        <f>"1.0100%"</f>
        <v>1.0100%</v>
      </c>
      <c r="V12" t="str">
        <f>"2.7200%"</f>
        <v>2.7200%</v>
      </c>
      <c r="W12" t="str">
        <f>"0.9400%"</f>
        <v>0.9400%</v>
      </c>
      <c r="X12" t="str">
        <f>""</f>
        <v/>
      </c>
      <c r="Y12" t="s">
        <v>125</v>
      </c>
      <c r="Z12" t="str">
        <f>"42.7390%"</f>
        <v>42.7390%</v>
      </c>
      <c r="AA12" t="str">
        <f>"0.0460%"</f>
        <v>0.0460%</v>
      </c>
      <c r="AE12" t="str">
        <f>""</f>
        <v/>
      </c>
    </row>
    <row r="13" spans="1:32" x14ac:dyDescent="0.3">
      <c r="A13" s="1" t="s">
        <v>126</v>
      </c>
      <c r="B13" t="s">
        <v>106</v>
      </c>
      <c r="C13" t="s">
        <v>127</v>
      </c>
      <c r="D13" t="s">
        <v>36</v>
      </c>
      <c r="E13" t="s">
        <v>128</v>
      </c>
      <c r="F13" t="s">
        <v>129</v>
      </c>
      <c r="G13" t="str">
        <f t="shared" si="0"/>
        <v>10000</v>
      </c>
      <c r="H13" t="str">
        <f>"TSLP"</f>
        <v>TSLP</v>
      </c>
      <c r="I13" t="str">
        <f>""</f>
        <v/>
      </c>
      <c r="K13" t="s">
        <v>130</v>
      </c>
      <c r="L13" t="str">
        <f>"5%"</f>
        <v>5%</v>
      </c>
      <c r="M13" t="str">
        <f>"-0.00"</f>
        <v>-0.00</v>
      </c>
      <c r="N13" t="str">
        <f t="shared" si="1"/>
        <v>100</v>
      </c>
      <c r="O13" t="s">
        <v>52</v>
      </c>
      <c r="P13" t="str">
        <f>"7%"</f>
        <v>7%</v>
      </c>
      <c r="Q13" t="str">
        <f>"-0.01"</f>
        <v>-0.01</v>
      </c>
      <c r="R13" t="s">
        <v>131</v>
      </c>
      <c r="U13" t="str">
        <f>""</f>
        <v/>
      </c>
      <c r="V13" t="str">
        <f>""</f>
        <v/>
      </c>
      <c r="W13" t="str">
        <f>""</f>
        <v/>
      </c>
      <c r="X13" t="str">
        <f>""</f>
        <v/>
      </c>
      <c r="Y13" t="s">
        <v>132</v>
      </c>
      <c r="Z13" t="str">
        <f>"39.8530%"</f>
        <v>39.8530%</v>
      </c>
      <c r="AA13" t="str">
        <f>"0.2520%"</f>
        <v>0.2520%</v>
      </c>
      <c r="AE13" t="str">
        <f>""</f>
        <v/>
      </c>
    </row>
    <row r="14" spans="1:32" x14ac:dyDescent="0.3">
      <c r="A14" s="1" t="s">
        <v>133</v>
      </c>
      <c r="B14" t="s">
        <v>33</v>
      </c>
      <c r="C14" t="s">
        <v>134</v>
      </c>
      <c r="D14" t="s">
        <v>35</v>
      </c>
      <c r="E14" t="s">
        <v>99</v>
      </c>
      <c r="F14" t="s">
        <v>100</v>
      </c>
      <c r="G14" t="str">
        <f t="shared" si="0"/>
        <v>10000</v>
      </c>
      <c r="H14" t="str">
        <f>"YWHAE c.265-2-&gt;T"</f>
        <v>YWHAE c.265-2-&gt;T</v>
      </c>
      <c r="I14" t="str">
        <f>"NM_006761"</f>
        <v>NM_006761</v>
      </c>
      <c r="K14" t="s">
        <v>135</v>
      </c>
      <c r="L14" t="str">
        <f>"3%"</f>
        <v>3%</v>
      </c>
      <c r="M14" t="str">
        <f>"0.01"</f>
        <v>0.01</v>
      </c>
      <c r="N14" t="str">
        <f t="shared" si="1"/>
        <v>100</v>
      </c>
      <c r="O14" t="s">
        <v>102</v>
      </c>
      <c r="P14" t="str">
        <f>"8%"</f>
        <v>8%</v>
      </c>
      <c r="Q14" t="str">
        <f>"0.03"</f>
        <v>0.03</v>
      </c>
      <c r="R14" t="s">
        <v>136</v>
      </c>
      <c r="U14" t="str">
        <f>"4.7600%"</f>
        <v>4.7600%</v>
      </c>
      <c r="V14" t="str">
        <f>"7.1400%"</f>
        <v>7.1400%</v>
      </c>
      <c r="W14" t="str">
        <f>"12.3500%"</f>
        <v>12.3500%</v>
      </c>
      <c r="X14" t="str">
        <f>"11.5415%"</f>
        <v>11.5415%</v>
      </c>
      <c r="Y14" t="s">
        <v>137</v>
      </c>
      <c r="Z14" t="str">
        <f>"24.8280%"</f>
        <v>24.8280%</v>
      </c>
      <c r="AA14" t="str">
        <f>"4.5810%"</f>
        <v>4.5810%</v>
      </c>
      <c r="AE14" t="str">
        <f>""</f>
        <v/>
      </c>
    </row>
    <row r="15" spans="1:32" x14ac:dyDescent="0.3">
      <c r="A15" s="1" t="s">
        <v>112</v>
      </c>
      <c r="B15" t="s">
        <v>113</v>
      </c>
      <c r="C15" t="s">
        <v>114</v>
      </c>
      <c r="D15" t="s">
        <v>35</v>
      </c>
      <c r="E15" t="s">
        <v>138</v>
      </c>
      <c r="F15" t="s">
        <v>37</v>
      </c>
      <c r="G15" t="str">
        <f t="shared" si="0"/>
        <v>10000</v>
      </c>
      <c r="H15" t="str">
        <f>"BRD4 p.P955fs"</f>
        <v>BRD4 p.P955fs</v>
      </c>
      <c r="I15" t="str">
        <f>"NM_058243"</f>
        <v>NM_058243</v>
      </c>
      <c r="K15" t="s">
        <v>108</v>
      </c>
      <c r="L15" t="str">
        <f>"2%"</f>
        <v>2%</v>
      </c>
      <c r="M15" t="str">
        <f>"0.14"</f>
        <v>0.14</v>
      </c>
      <c r="N15" t="str">
        <f t="shared" si="1"/>
        <v>100</v>
      </c>
      <c r="O15" t="s">
        <v>116</v>
      </c>
      <c r="P15" t="str">
        <f>"8%"</f>
        <v>8%</v>
      </c>
      <c r="Q15" t="str">
        <f>"-0.04"</f>
        <v>-0.04</v>
      </c>
      <c r="S15" t="s">
        <v>139</v>
      </c>
      <c r="T15" t="s">
        <v>140</v>
      </c>
      <c r="U15" t="str">
        <f>""</f>
        <v/>
      </c>
      <c r="V15" t="str">
        <f>""</f>
        <v/>
      </c>
      <c r="W15" t="str">
        <f>""</f>
        <v/>
      </c>
      <c r="X15" t="str">
        <f>""</f>
        <v/>
      </c>
      <c r="Z15" t="str">
        <f>"4.4660%"</f>
        <v>4.4660%</v>
      </c>
      <c r="AA15" t="str">
        <f>""</f>
        <v/>
      </c>
      <c r="AE15" t="str">
        <f>""</f>
        <v/>
      </c>
    </row>
    <row r="16" spans="1:32" x14ac:dyDescent="0.3">
      <c r="A16" s="1" t="s">
        <v>141</v>
      </c>
      <c r="B16" t="s">
        <v>113</v>
      </c>
      <c r="C16" t="s">
        <v>142</v>
      </c>
      <c r="D16" t="s">
        <v>50</v>
      </c>
      <c r="E16" t="s">
        <v>35</v>
      </c>
      <c r="F16" t="s">
        <v>143</v>
      </c>
      <c r="G16" t="str">
        <f t="shared" si="0"/>
        <v>10000</v>
      </c>
      <c r="H16" t="str">
        <f>"MIR523;MIR525"</f>
        <v>MIR523;MIR525</v>
      </c>
      <c r="I16" t="str">
        <f>""</f>
        <v/>
      </c>
      <c r="K16" t="s">
        <v>144</v>
      </c>
      <c r="L16" t="str">
        <f>"6%"</f>
        <v>6%</v>
      </c>
      <c r="M16" t="str">
        <f>"-0.08"</f>
        <v>-0.08</v>
      </c>
      <c r="N16" t="str">
        <f t="shared" si="1"/>
        <v>100</v>
      </c>
      <c r="O16" t="s">
        <v>145</v>
      </c>
      <c r="P16" t="str">
        <f>"8%"</f>
        <v>8%</v>
      </c>
      <c r="Q16" t="str">
        <f>"-0.01"</f>
        <v>-0.01</v>
      </c>
      <c r="R16" t="s">
        <v>146</v>
      </c>
      <c r="U16" t="str">
        <f>""</f>
        <v/>
      </c>
      <c r="V16" t="str">
        <f>""</f>
        <v/>
      </c>
      <c r="W16" t="str">
        <f>""</f>
        <v/>
      </c>
      <c r="X16" t="str">
        <f>""</f>
        <v/>
      </c>
      <c r="Y16" t="s">
        <v>147</v>
      </c>
      <c r="Z16" t="str">
        <f>"11.3610%"</f>
        <v>11.3610%</v>
      </c>
      <c r="AA16" t="str">
        <f>""</f>
        <v/>
      </c>
      <c r="AE16" t="str">
        <f>""</f>
        <v/>
      </c>
    </row>
    <row r="17" spans="1:31" x14ac:dyDescent="0.3">
      <c r="A17" s="1" t="s">
        <v>148</v>
      </c>
      <c r="B17" t="s">
        <v>88</v>
      </c>
      <c r="C17" t="s">
        <v>149</v>
      </c>
      <c r="D17" t="s">
        <v>35</v>
      </c>
      <c r="E17" t="s">
        <v>99</v>
      </c>
      <c r="F17" t="s">
        <v>100</v>
      </c>
      <c r="G17" t="str">
        <f t="shared" si="0"/>
        <v>10000</v>
      </c>
      <c r="H17" t="str">
        <f>"STAT4 c.129-2-&gt;T"</f>
        <v>STAT4 c.129-2-&gt;T</v>
      </c>
      <c r="I17" t="str">
        <f>"NM_003151"</f>
        <v>NM_003151</v>
      </c>
      <c r="K17" t="s">
        <v>150</v>
      </c>
      <c r="L17" t="str">
        <f>"10%"</f>
        <v>10%</v>
      </c>
      <c r="M17" t="str">
        <f>"-0.01"</f>
        <v>-0.01</v>
      </c>
      <c r="N17" t="str">
        <f t="shared" si="1"/>
        <v>100</v>
      </c>
      <c r="O17" t="s">
        <v>151</v>
      </c>
      <c r="P17" t="str">
        <f>"9%"</f>
        <v>9%</v>
      </c>
      <c r="Q17" t="str">
        <f>"-0.01"</f>
        <v>-0.01</v>
      </c>
      <c r="R17" t="s">
        <v>152</v>
      </c>
      <c r="U17" t="str">
        <f>"8.7100%"</f>
        <v>8.7100%</v>
      </c>
      <c r="V17" t="str">
        <f>"11.5900%"</f>
        <v>11.5900%</v>
      </c>
      <c r="W17" t="str">
        <f>"3.9600%"</f>
        <v>3.9600%</v>
      </c>
      <c r="X17" t="str">
        <f>""</f>
        <v/>
      </c>
      <c r="Y17" t="s">
        <v>153</v>
      </c>
      <c r="Z17" t="str">
        <f>"49.1750%"</f>
        <v>49.1750%</v>
      </c>
      <c r="AA17" t="str">
        <f>"17.5220%"</f>
        <v>17.5220%</v>
      </c>
      <c r="AB17" t="s">
        <v>154</v>
      </c>
      <c r="AE17" t="str">
        <f>""</f>
        <v/>
      </c>
    </row>
    <row r="18" spans="1:31" x14ac:dyDescent="0.3">
      <c r="A18" s="1" t="s">
        <v>155</v>
      </c>
      <c r="B18" t="s">
        <v>47</v>
      </c>
      <c r="C18" t="s">
        <v>156</v>
      </c>
      <c r="D18" t="s">
        <v>157</v>
      </c>
      <c r="E18" t="s">
        <v>35</v>
      </c>
      <c r="F18" t="s">
        <v>37</v>
      </c>
      <c r="G18" t="str">
        <f>"00000"</f>
        <v>00000</v>
      </c>
      <c r="H18" t="str">
        <f>"AR p.57_61del"</f>
        <v>AR p.57_61del</v>
      </c>
      <c r="I18" t="str">
        <f>"NM_000044"</f>
        <v>NM_000044</v>
      </c>
      <c r="K18" t="s">
        <v>158</v>
      </c>
      <c r="L18" t="str">
        <f>"7%"</f>
        <v>7%</v>
      </c>
      <c r="M18" t="str">
        <f>"-0.54"</f>
        <v>-0.54</v>
      </c>
      <c r="N18" t="str">
        <f>"000"</f>
        <v>000</v>
      </c>
      <c r="O18" t="s">
        <v>159</v>
      </c>
      <c r="P18" t="str">
        <f>"9%"</f>
        <v>9%</v>
      </c>
      <c r="Q18" t="str">
        <f>"-0.55"</f>
        <v>-0.55</v>
      </c>
      <c r="S18" t="s">
        <v>160</v>
      </c>
      <c r="T18" t="s">
        <v>161</v>
      </c>
      <c r="U18" t="str">
        <f>"0.8500%"</f>
        <v>0.8500%</v>
      </c>
      <c r="V18" t="str">
        <f>""</f>
        <v/>
      </c>
      <c r="W18" t="str">
        <f>""</f>
        <v/>
      </c>
      <c r="X18" t="str">
        <f>""</f>
        <v/>
      </c>
      <c r="Y18" t="s">
        <v>162</v>
      </c>
      <c r="Z18" t="str">
        <f>"6.7380%"</f>
        <v>6.7380%</v>
      </c>
      <c r="AA18" t="str">
        <f>"6.8840%"</f>
        <v>6.8840%</v>
      </c>
      <c r="AB18" t="s">
        <v>163</v>
      </c>
      <c r="AC18" t="s">
        <v>164</v>
      </c>
      <c r="AD18" t="s">
        <v>165</v>
      </c>
      <c r="AE18" t="str">
        <f>""</f>
        <v/>
      </c>
    </row>
    <row r="19" spans="1:31" x14ac:dyDescent="0.3">
      <c r="A19" s="1" t="s">
        <v>166</v>
      </c>
      <c r="B19" t="s">
        <v>113</v>
      </c>
      <c r="C19" t="s">
        <v>167</v>
      </c>
      <c r="D19" t="s">
        <v>36</v>
      </c>
      <c r="E19" t="s">
        <v>128</v>
      </c>
      <c r="F19" t="s">
        <v>129</v>
      </c>
      <c r="G19" t="str">
        <f t="shared" ref="G19:G27" si="2">"10000"</f>
        <v>10000</v>
      </c>
      <c r="H19" t="str">
        <f>"KEAP1"</f>
        <v>KEAP1</v>
      </c>
      <c r="I19" t="str">
        <f>""</f>
        <v/>
      </c>
      <c r="K19" t="s">
        <v>168</v>
      </c>
      <c r="L19" t="str">
        <f>"10%"</f>
        <v>10%</v>
      </c>
      <c r="M19" t="str">
        <f>"-0.16"</f>
        <v>-0.16</v>
      </c>
      <c r="N19" t="str">
        <f>"100"</f>
        <v>100</v>
      </c>
      <c r="O19" t="s">
        <v>169</v>
      </c>
      <c r="P19" t="str">
        <f>"9%"</f>
        <v>9%</v>
      </c>
      <c r="Q19" t="str">
        <f>"-0.04"</f>
        <v>-0.04</v>
      </c>
      <c r="R19" t="s">
        <v>170</v>
      </c>
      <c r="U19" t="str">
        <f>""</f>
        <v/>
      </c>
      <c r="V19" t="str">
        <f>""</f>
        <v/>
      </c>
      <c r="W19" t="str">
        <f>""</f>
        <v/>
      </c>
      <c r="X19" t="str">
        <f>""</f>
        <v/>
      </c>
      <c r="Z19" t="str">
        <f>"12.5290%"</f>
        <v>12.5290%</v>
      </c>
      <c r="AA19" t="str">
        <f>"0.3210%"</f>
        <v>0.3210%</v>
      </c>
      <c r="AE19" t="str">
        <f>""</f>
        <v/>
      </c>
    </row>
    <row r="20" spans="1:31" x14ac:dyDescent="0.3">
      <c r="A20" s="1" t="s">
        <v>171</v>
      </c>
      <c r="B20" t="s">
        <v>47</v>
      </c>
      <c r="C20" t="s">
        <v>172</v>
      </c>
      <c r="D20" t="s">
        <v>82</v>
      </c>
      <c r="E20" t="s">
        <v>35</v>
      </c>
      <c r="F20" t="s">
        <v>100</v>
      </c>
      <c r="G20" t="str">
        <f t="shared" si="2"/>
        <v>10000</v>
      </c>
      <c r="H20" t="str">
        <f>"STAG2 c.1018-2A&gt;T"</f>
        <v>STAG2 c.1018-2A&gt;T</v>
      </c>
      <c r="I20" t="str">
        <f>"NM_001042751"</f>
        <v>NM_001042751</v>
      </c>
      <c r="K20" t="s">
        <v>76</v>
      </c>
      <c r="L20" t="str">
        <f>"4%"</f>
        <v>4%</v>
      </c>
      <c r="M20" t="str">
        <f>"-0.51"</f>
        <v>-0.51</v>
      </c>
      <c r="N20" t="str">
        <f>"100"</f>
        <v>100</v>
      </c>
      <c r="O20" t="s">
        <v>173</v>
      </c>
      <c r="P20" t="str">
        <f>"10%"</f>
        <v>10%</v>
      </c>
      <c r="Q20" t="str">
        <f>"-0.55"</f>
        <v>-0.55</v>
      </c>
      <c r="R20" t="s">
        <v>174</v>
      </c>
      <c r="U20" t="str">
        <f>""</f>
        <v/>
      </c>
      <c r="V20" t="str">
        <f>"0.0500%"</f>
        <v>0.0500%</v>
      </c>
      <c r="W20" t="str">
        <f>""</f>
        <v/>
      </c>
      <c r="X20" t="str">
        <f>""</f>
        <v/>
      </c>
      <c r="Z20" t="str">
        <f>"18.3560%"</f>
        <v>18.3560%</v>
      </c>
      <c r="AA20" t="str">
        <f>""</f>
        <v/>
      </c>
      <c r="AB20" t="s">
        <v>175</v>
      </c>
      <c r="AE20" t="str">
        <f>"16.64"</f>
        <v>16.64</v>
      </c>
    </row>
    <row r="21" spans="1:31" x14ac:dyDescent="0.3">
      <c r="A21" s="1" t="s">
        <v>176</v>
      </c>
      <c r="B21" t="s">
        <v>33</v>
      </c>
      <c r="C21" t="s">
        <v>177</v>
      </c>
      <c r="D21" t="s">
        <v>128</v>
      </c>
      <c r="E21" t="s">
        <v>36</v>
      </c>
      <c r="F21" t="s">
        <v>143</v>
      </c>
      <c r="G21" t="str">
        <f t="shared" si="2"/>
        <v>10000</v>
      </c>
      <c r="H21" t="str">
        <f>"TMEM106A"</f>
        <v>TMEM106A</v>
      </c>
      <c r="I21" t="str">
        <f>""</f>
        <v/>
      </c>
      <c r="K21" t="s">
        <v>178</v>
      </c>
      <c r="L21" t="str">
        <f>"8%"</f>
        <v>8%</v>
      </c>
      <c r="M21" t="str">
        <f>"-0.04"</f>
        <v>-0.04</v>
      </c>
      <c r="N21" t="str">
        <f>"100"</f>
        <v>100</v>
      </c>
      <c r="O21" t="s">
        <v>179</v>
      </c>
      <c r="P21" t="str">
        <f>"10%"</f>
        <v>10%</v>
      </c>
      <c r="Q21" t="str">
        <f>"0.00"</f>
        <v>0.00</v>
      </c>
      <c r="R21" t="s">
        <v>180</v>
      </c>
      <c r="U21" t="str">
        <f>""</f>
        <v/>
      </c>
      <c r="V21" t="str">
        <f>""</f>
        <v/>
      </c>
      <c r="W21" t="str">
        <f>""</f>
        <v/>
      </c>
      <c r="X21" t="str">
        <f>""</f>
        <v/>
      </c>
      <c r="Z21" t="str">
        <f>"36.7160%"</f>
        <v>36.7160%</v>
      </c>
      <c r="AA21" t="str">
        <f>"4.2370%"</f>
        <v>4.2370%</v>
      </c>
      <c r="AE21" t="str">
        <f>""</f>
        <v/>
      </c>
    </row>
    <row r="22" spans="1:31" x14ac:dyDescent="0.3">
      <c r="A22" s="1" t="s">
        <v>181</v>
      </c>
      <c r="B22" t="s">
        <v>106</v>
      </c>
      <c r="C22" t="s">
        <v>182</v>
      </c>
      <c r="D22" t="s">
        <v>183</v>
      </c>
      <c r="E22" t="s">
        <v>184</v>
      </c>
      <c r="F22" t="s">
        <v>37</v>
      </c>
      <c r="G22" t="str">
        <f t="shared" si="2"/>
        <v>10000</v>
      </c>
      <c r="H22" t="str">
        <f>"MSH3 c.162_172CGCAGCGCCCC"</f>
        <v>MSH3 c.162_172CGCAGCGCCCC</v>
      </c>
      <c r="I22" t="str">
        <f>"NM_002439"</f>
        <v>NM_002439</v>
      </c>
      <c r="K22" t="s">
        <v>185</v>
      </c>
      <c r="L22" t="str">
        <f>"8%"</f>
        <v>8%</v>
      </c>
      <c r="M22" t="str">
        <f>"-0.00"</f>
        <v>-0.00</v>
      </c>
      <c r="N22" t="str">
        <f>"100"</f>
        <v>100</v>
      </c>
      <c r="O22" t="s">
        <v>186</v>
      </c>
      <c r="P22" t="str">
        <f>"10%"</f>
        <v>10%</v>
      </c>
      <c r="Q22" t="str">
        <f>"-0.01"</f>
        <v>-0.01</v>
      </c>
      <c r="S22" t="s">
        <v>77</v>
      </c>
      <c r="T22" t="s">
        <v>187</v>
      </c>
      <c r="U22" t="str">
        <f>""</f>
        <v/>
      </c>
      <c r="V22" t="str">
        <f>""</f>
        <v/>
      </c>
      <c r="W22" t="str">
        <f>""</f>
        <v/>
      </c>
      <c r="X22" t="str">
        <f>""</f>
        <v/>
      </c>
      <c r="Z22" t="str">
        <f>"17.0640%"</f>
        <v>17.0640%</v>
      </c>
      <c r="AA22" t="str">
        <f>"1.9010%"</f>
        <v>1.9010%</v>
      </c>
      <c r="AE22" t="str">
        <f>""</f>
        <v/>
      </c>
    </row>
    <row r="23" spans="1:31" x14ac:dyDescent="0.3">
      <c r="A23" s="1" t="s">
        <v>188</v>
      </c>
      <c r="B23" t="s">
        <v>88</v>
      </c>
      <c r="C23" t="s">
        <v>189</v>
      </c>
      <c r="D23" t="s">
        <v>35</v>
      </c>
      <c r="E23" t="s">
        <v>99</v>
      </c>
      <c r="F23" t="s">
        <v>100</v>
      </c>
      <c r="G23" t="str">
        <f t="shared" si="2"/>
        <v>10000</v>
      </c>
      <c r="H23" t="str">
        <f>"XPO1 c.591-2-&gt;T"</f>
        <v>XPO1 c.591-2-&gt;T</v>
      </c>
      <c r="I23" t="str">
        <f>"NM_003400"</f>
        <v>NM_003400</v>
      </c>
      <c r="K23" t="s">
        <v>190</v>
      </c>
      <c r="L23" t="str">
        <f>"9%"</f>
        <v>9%</v>
      </c>
      <c r="M23" t="str">
        <f>"-0.01"</f>
        <v>-0.01</v>
      </c>
      <c r="N23" t="str">
        <f>"110"</f>
        <v>110</v>
      </c>
      <c r="O23" t="s">
        <v>191</v>
      </c>
      <c r="P23" t="str">
        <f>"11%"</f>
        <v>11%</v>
      </c>
      <c r="Q23" t="str">
        <f>"-0.01"</f>
        <v>-0.01</v>
      </c>
      <c r="R23" t="s">
        <v>192</v>
      </c>
      <c r="U23" t="str">
        <f>"8.6200%"</f>
        <v>8.6200%</v>
      </c>
      <c r="V23" t="str">
        <f>"9.9200%"</f>
        <v>9.9200%</v>
      </c>
      <c r="W23" t="str">
        <f>"4.7700%"</f>
        <v>4.7700%</v>
      </c>
      <c r="X23" t="str">
        <f>""</f>
        <v/>
      </c>
      <c r="Z23" t="str">
        <f>"32.6160%"</f>
        <v>32.6160%</v>
      </c>
      <c r="AA23" t="str">
        <f>"4.4430%"</f>
        <v>4.4430%</v>
      </c>
      <c r="AB23" t="s">
        <v>193</v>
      </c>
      <c r="AE23" t="str">
        <f>""</f>
        <v/>
      </c>
    </row>
    <row r="24" spans="1:31" x14ac:dyDescent="0.3">
      <c r="A24" s="1" t="s">
        <v>141</v>
      </c>
      <c r="B24" t="s">
        <v>113</v>
      </c>
      <c r="C24" t="s">
        <v>142</v>
      </c>
      <c r="D24" t="s">
        <v>194</v>
      </c>
      <c r="E24" t="s">
        <v>50</v>
      </c>
      <c r="F24" t="s">
        <v>143</v>
      </c>
      <c r="G24" t="str">
        <f t="shared" si="2"/>
        <v>10000</v>
      </c>
      <c r="H24" t="str">
        <f>"MIR523;MIR525"</f>
        <v>MIR523;MIR525</v>
      </c>
      <c r="I24" t="str">
        <f>""</f>
        <v/>
      </c>
      <c r="K24" t="s">
        <v>144</v>
      </c>
      <c r="L24" t="str">
        <f>"12%"</f>
        <v>12%</v>
      </c>
      <c r="M24" t="str">
        <f>"-0.08"</f>
        <v>-0.08</v>
      </c>
      <c r="N24" t="str">
        <f>"100"</f>
        <v>100</v>
      </c>
      <c r="O24" t="s">
        <v>145</v>
      </c>
      <c r="P24" t="str">
        <f>"11%"</f>
        <v>11%</v>
      </c>
      <c r="Q24" t="str">
        <f>"-0.01"</f>
        <v>-0.01</v>
      </c>
      <c r="R24" t="s">
        <v>195</v>
      </c>
      <c r="U24" t="str">
        <f>""</f>
        <v/>
      </c>
      <c r="V24" t="str">
        <f>""</f>
        <v/>
      </c>
      <c r="W24" t="str">
        <f>""</f>
        <v/>
      </c>
      <c r="X24" t="str">
        <f>""</f>
        <v/>
      </c>
      <c r="Y24" t="s">
        <v>196</v>
      </c>
      <c r="Z24" t="str">
        <f>"41.3190%"</f>
        <v>41.3190%</v>
      </c>
      <c r="AA24" t="str">
        <f>"7.3520%"</f>
        <v>7.3520%</v>
      </c>
      <c r="AE24" t="str">
        <f>""</f>
        <v/>
      </c>
    </row>
    <row r="25" spans="1:31" x14ac:dyDescent="0.3">
      <c r="A25" s="1" t="s">
        <v>197</v>
      </c>
      <c r="B25" t="s">
        <v>88</v>
      </c>
      <c r="C25" t="s">
        <v>198</v>
      </c>
      <c r="D25" t="s">
        <v>99</v>
      </c>
      <c r="E25" t="s">
        <v>35</v>
      </c>
      <c r="F25" t="s">
        <v>37</v>
      </c>
      <c r="G25" t="str">
        <f t="shared" si="2"/>
        <v>10000</v>
      </c>
      <c r="H25" t="str">
        <f>"PMS1 p.K160fs"</f>
        <v>PMS1 p.K160fs</v>
      </c>
      <c r="I25" t="str">
        <f>"NM_001321049"</f>
        <v>NM_001321049</v>
      </c>
      <c r="K25" t="s">
        <v>199</v>
      </c>
      <c r="L25" t="str">
        <f>"10%"</f>
        <v>10%</v>
      </c>
      <c r="M25" t="str">
        <f>"-0.01"</f>
        <v>-0.01</v>
      </c>
      <c r="N25" t="str">
        <f>"110"</f>
        <v>110</v>
      </c>
      <c r="O25" t="s">
        <v>200</v>
      </c>
      <c r="P25" t="str">
        <f>"12%"</f>
        <v>12%</v>
      </c>
      <c r="Q25" t="str">
        <f>"-0.01"</f>
        <v>-0.01</v>
      </c>
      <c r="S25" t="s">
        <v>53</v>
      </c>
      <c r="T25" t="s">
        <v>201</v>
      </c>
      <c r="U25" t="str">
        <f>"5.9900%"</f>
        <v>5.9900%</v>
      </c>
      <c r="V25" t="str">
        <f>"2.5000%"</f>
        <v>2.5000%</v>
      </c>
      <c r="W25" t="str">
        <f>""</f>
        <v/>
      </c>
      <c r="X25" t="str">
        <f>""</f>
        <v/>
      </c>
      <c r="Y25" t="s">
        <v>202</v>
      </c>
      <c r="Z25" t="str">
        <f>"38.6170%"</f>
        <v>38.6170%</v>
      </c>
      <c r="AA25" t="str">
        <f>"6.1380%"</f>
        <v>6.1380%</v>
      </c>
      <c r="AB25" t="s">
        <v>203</v>
      </c>
      <c r="AE25" t="str">
        <f>""</f>
        <v/>
      </c>
    </row>
    <row r="26" spans="1:31" x14ac:dyDescent="0.3">
      <c r="A26" s="1" t="s">
        <v>126</v>
      </c>
      <c r="B26" t="s">
        <v>106</v>
      </c>
      <c r="C26" t="s">
        <v>127</v>
      </c>
      <c r="D26" t="s">
        <v>128</v>
      </c>
      <c r="E26" t="s">
        <v>36</v>
      </c>
      <c r="F26" t="s">
        <v>129</v>
      </c>
      <c r="G26" t="str">
        <f t="shared" si="2"/>
        <v>10000</v>
      </c>
      <c r="H26" t="str">
        <f>"TSLP"</f>
        <v>TSLP</v>
      </c>
      <c r="I26" t="str">
        <f>""</f>
        <v/>
      </c>
      <c r="K26" t="s">
        <v>130</v>
      </c>
      <c r="L26" t="str">
        <f>"14%"</f>
        <v>14%</v>
      </c>
      <c r="M26" t="str">
        <f>"-0.00"</f>
        <v>-0.00</v>
      </c>
      <c r="N26" t="str">
        <f>"110"</f>
        <v>110</v>
      </c>
      <c r="O26" t="s">
        <v>204</v>
      </c>
      <c r="P26" t="str">
        <f>"13%"</f>
        <v>13%</v>
      </c>
      <c r="Q26" t="str">
        <f>"-0.01"</f>
        <v>-0.01</v>
      </c>
      <c r="R26" t="s">
        <v>205</v>
      </c>
      <c r="U26" t="str">
        <f>""</f>
        <v/>
      </c>
      <c r="V26" t="str">
        <f>""</f>
        <v/>
      </c>
      <c r="W26" t="str">
        <f>""</f>
        <v/>
      </c>
      <c r="X26" t="str">
        <f>""</f>
        <v/>
      </c>
      <c r="Y26" t="s">
        <v>206</v>
      </c>
      <c r="Z26" t="str">
        <f>"48.6030%"</f>
        <v>48.6030%</v>
      </c>
      <c r="AA26" t="str">
        <f>"44.6400%"</f>
        <v>44.6400%</v>
      </c>
      <c r="AB26" t="s">
        <v>207</v>
      </c>
      <c r="AE26" t="str">
        <f>""</f>
        <v/>
      </c>
    </row>
    <row r="27" spans="1:31" x14ac:dyDescent="0.3">
      <c r="A27" s="1" t="s">
        <v>208</v>
      </c>
      <c r="B27" t="s">
        <v>209</v>
      </c>
      <c r="C27" t="s">
        <v>210</v>
      </c>
      <c r="D27" t="s">
        <v>211</v>
      </c>
      <c r="E27" t="s">
        <v>50</v>
      </c>
      <c r="F27" t="s">
        <v>37</v>
      </c>
      <c r="G27" t="str">
        <f t="shared" si="2"/>
        <v>10000</v>
      </c>
      <c r="H27" t="str">
        <f>"MAP3K9 p.38_39del"</f>
        <v>MAP3K9 p.38_39del</v>
      </c>
      <c r="I27" t="str">
        <f>"NM_033141"</f>
        <v>NM_033141</v>
      </c>
      <c r="K27" t="s">
        <v>212</v>
      </c>
      <c r="L27" t="str">
        <f>"11%"</f>
        <v>11%</v>
      </c>
      <c r="M27" t="str">
        <f>"0.00"</f>
        <v>0.00</v>
      </c>
      <c r="N27" t="str">
        <f>"110"</f>
        <v>110</v>
      </c>
      <c r="O27" t="s">
        <v>213</v>
      </c>
      <c r="P27" t="str">
        <f>"14%"</f>
        <v>14%</v>
      </c>
      <c r="Q27" t="str">
        <f>"-0.00"</f>
        <v>-0.00</v>
      </c>
      <c r="S27" t="s">
        <v>160</v>
      </c>
      <c r="T27" t="s">
        <v>214</v>
      </c>
      <c r="U27" t="str">
        <f>"4.3800%"</f>
        <v>4.3800%</v>
      </c>
      <c r="V27" t="str">
        <f>"23.2200%"</f>
        <v>23.2200%</v>
      </c>
      <c r="W27" t="str">
        <f>"13.7800%"</f>
        <v>13.7800%</v>
      </c>
      <c r="X27" t="str">
        <f>""</f>
        <v/>
      </c>
      <c r="Y27" t="s">
        <v>215</v>
      </c>
      <c r="Z27" t="str">
        <f>"21.9880%"</f>
        <v>21.9880%</v>
      </c>
      <c r="AA27" t="str">
        <f>"30.7380%"</f>
        <v>30.7380%</v>
      </c>
      <c r="AB27" t="s">
        <v>216</v>
      </c>
      <c r="AC27" t="s">
        <v>217</v>
      </c>
      <c r="AE27" t="str">
        <f>""</f>
        <v/>
      </c>
    </row>
    <row r="28" spans="1:31" x14ac:dyDescent="0.3">
      <c r="A28" s="1" t="s">
        <v>218</v>
      </c>
      <c r="B28" t="s">
        <v>219</v>
      </c>
      <c r="C28" t="s">
        <v>220</v>
      </c>
      <c r="D28" t="s">
        <v>221</v>
      </c>
      <c r="E28" t="s">
        <v>35</v>
      </c>
      <c r="F28" t="s">
        <v>37</v>
      </c>
      <c r="G28" t="str">
        <f>"01000"</f>
        <v>01000</v>
      </c>
      <c r="H28" t="str">
        <f>"MAML2 p.603_607del"</f>
        <v>MAML2 p.603_607del</v>
      </c>
      <c r="I28" t="str">
        <f>"NM_032427"</f>
        <v>NM_032427</v>
      </c>
      <c r="K28" t="s">
        <v>222</v>
      </c>
      <c r="L28" t="str">
        <f>"8%"</f>
        <v>8%</v>
      </c>
      <c r="M28" t="str">
        <f>"0.04"</f>
        <v>0.04</v>
      </c>
      <c r="N28" t="str">
        <f>"010"</f>
        <v>010</v>
      </c>
      <c r="O28" t="s">
        <v>223</v>
      </c>
      <c r="P28" t="str">
        <f>"14%"</f>
        <v>14%</v>
      </c>
      <c r="Q28" t="str">
        <f>"-0.01"</f>
        <v>-0.01</v>
      </c>
      <c r="S28" t="s">
        <v>160</v>
      </c>
      <c r="T28" t="s">
        <v>224</v>
      </c>
      <c r="U28" t="str">
        <f>"10.5900%"</f>
        <v>10.5900%</v>
      </c>
      <c r="V28" t="str">
        <f>"2.8100%"</f>
        <v>2.8100%</v>
      </c>
      <c r="W28" t="str">
        <f>"7.8400%"</f>
        <v>7.8400%</v>
      </c>
      <c r="X28" t="str">
        <f>""</f>
        <v/>
      </c>
      <c r="Y28" t="s">
        <v>225</v>
      </c>
      <c r="Z28" t="str">
        <f>"31.5620%"</f>
        <v>31.5620%</v>
      </c>
      <c r="AA28" t="str">
        <f>"18.7810%"</f>
        <v>18.7810%</v>
      </c>
      <c r="AB28" t="s">
        <v>226</v>
      </c>
      <c r="AC28" t="s">
        <v>227</v>
      </c>
      <c r="AE28" t="str">
        <f>""</f>
        <v/>
      </c>
    </row>
    <row r="29" spans="1:31" x14ac:dyDescent="0.3">
      <c r="A29" s="1" t="s">
        <v>176</v>
      </c>
      <c r="B29" t="s">
        <v>33</v>
      </c>
      <c r="C29" t="s">
        <v>177</v>
      </c>
      <c r="D29" t="s">
        <v>36</v>
      </c>
      <c r="E29" t="s">
        <v>35</v>
      </c>
      <c r="F29" t="s">
        <v>143</v>
      </c>
      <c r="G29" t="str">
        <f>"11000"</f>
        <v>11000</v>
      </c>
      <c r="H29" t="str">
        <f>"TMEM106A"</f>
        <v>TMEM106A</v>
      </c>
      <c r="I29" t="str">
        <f>""</f>
        <v/>
      </c>
      <c r="K29" t="s">
        <v>190</v>
      </c>
      <c r="L29" t="str">
        <f>"14%"</f>
        <v>14%</v>
      </c>
      <c r="M29" t="str">
        <f>"-0.04"</f>
        <v>-0.04</v>
      </c>
      <c r="N29" t="str">
        <f>"100"</f>
        <v>100</v>
      </c>
      <c r="O29" t="s">
        <v>179</v>
      </c>
      <c r="P29" t="str">
        <f>"14%"</f>
        <v>14%</v>
      </c>
      <c r="Q29" t="str">
        <f>"0.00"</f>
        <v>0.00</v>
      </c>
      <c r="R29" t="s">
        <v>228</v>
      </c>
      <c r="U29" t="str">
        <f>""</f>
        <v/>
      </c>
      <c r="V29" t="str">
        <f>""</f>
        <v/>
      </c>
      <c r="W29" t="str">
        <f>""</f>
        <v/>
      </c>
      <c r="X29" t="str">
        <f>""</f>
        <v/>
      </c>
      <c r="Z29" t="str">
        <f>"42.0750%"</f>
        <v>42.0750%</v>
      </c>
      <c r="AA29" t="str">
        <f>"1.5120%"</f>
        <v>1.5120%</v>
      </c>
      <c r="AE29" t="str">
        <f>""</f>
        <v/>
      </c>
    </row>
    <row r="30" spans="1:31" x14ac:dyDescent="0.3">
      <c r="A30" s="1" t="s">
        <v>176</v>
      </c>
      <c r="B30" t="s">
        <v>33</v>
      </c>
      <c r="C30" t="s">
        <v>177</v>
      </c>
      <c r="D30" t="s">
        <v>36</v>
      </c>
      <c r="E30" t="s">
        <v>229</v>
      </c>
      <c r="F30" t="s">
        <v>143</v>
      </c>
      <c r="G30" t="str">
        <f>"10000"</f>
        <v>10000</v>
      </c>
      <c r="H30" t="str">
        <f>"TMEM106A"</f>
        <v>TMEM106A</v>
      </c>
      <c r="I30" t="str">
        <f>""</f>
        <v/>
      </c>
      <c r="K30" t="s">
        <v>178</v>
      </c>
      <c r="L30" t="str">
        <f>"7%"</f>
        <v>7%</v>
      </c>
      <c r="M30" t="str">
        <f>"-0.04"</f>
        <v>-0.04</v>
      </c>
      <c r="N30" t="str">
        <f>"100"</f>
        <v>100</v>
      </c>
      <c r="O30" t="s">
        <v>179</v>
      </c>
      <c r="P30" t="str">
        <f>"14%"</f>
        <v>14%</v>
      </c>
      <c r="Q30" t="str">
        <f>"0.00"</f>
        <v>0.00</v>
      </c>
      <c r="R30" t="s">
        <v>228</v>
      </c>
      <c r="U30" t="str">
        <f>""</f>
        <v/>
      </c>
      <c r="V30" t="str">
        <f>""</f>
        <v/>
      </c>
      <c r="W30" t="str">
        <f>""</f>
        <v/>
      </c>
      <c r="X30" t="str">
        <f>""</f>
        <v/>
      </c>
      <c r="Z30" t="str">
        <f>"23.2710%"</f>
        <v>23.2710%</v>
      </c>
      <c r="AA30" t="str">
        <f>"0.6410%"</f>
        <v>0.6410%</v>
      </c>
      <c r="AE30" t="str">
        <f>""</f>
        <v/>
      </c>
    </row>
    <row r="31" spans="1:31" x14ac:dyDescent="0.3">
      <c r="A31" s="1" t="s">
        <v>230</v>
      </c>
      <c r="B31" t="s">
        <v>231</v>
      </c>
      <c r="C31" t="s">
        <v>232</v>
      </c>
      <c r="D31" t="s">
        <v>233</v>
      </c>
      <c r="E31" t="s">
        <v>50</v>
      </c>
      <c r="F31" t="s">
        <v>37</v>
      </c>
      <c r="G31" t="str">
        <f>"00000"</f>
        <v>00000</v>
      </c>
      <c r="H31" t="str">
        <f>"LZTR1 p.216_217del"</f>
        <v>LZTR1 p.216_217del</v>
      </c>
      <c r="I31" t="str">
        <f>"NM_006767"</f>
        <v>NM_006767</v>
      </c>
      <c r="K31" t="s">
        <v>234</v>
      </c>
      <c r="L31" t="str">
        <f>"34%"</f>
        <v>34%</v>
      </c>
      <c r="M31" t="str">
        <f>"0.05"</f>
        <v>0.05</v>
      </c>
      <c r="N31" t="str">
        <f t="shared" ref="N31:N44" si="3">"000"</f>
        <v>000</v>
      </c>
      <c r="O31" t="s">
        <v>235</v>
      </c>
      <c r="P31" t="str">
        <f>"29%"</f>
        <v>29%</v>
      </c>
      <c r="Q31" t="str">
        <f>"0.02"</f>
        <v>0.02</v>
      </c>
      <c r="S31" t="s">
        <v>160</v>
      </c>
      <c r="T31" t="s">
        <v>236</v>
      </c>
      <c r="U31" t="str">
        <f>"0.0100%"</f>
        <v>0.0100%</v>
      </c>
      <c r="V31" t="str">
        <f>"0.0200%"</f>
        <v>0.0200%</v>
      </c>
      <c r="W31" t="str">
        <f>""</f>
        <v/>
      </c>
      <c r="X31" t="str">
        <f>"17.9113%"</f>
        <v>17.9113%</v>
      </c>
      <c r="Y31" t="s">
        <v>237</v>
      </c>
      <c r="Z31" t="str">
        <f>"21.6220%"</f>
        <v>21.6220%</v>
      </c>
      <c r="AA31" t="str">
        <f>"6.0010%"</f>
        <v>6.0010%</v>
      </c>
      <c r="AB31" t="s">
        <v>238</v>
      </c>
      <c r="AC31" t="s">
        <v>239</v>
      </c>
      <c r="AD31" t="s">
        <v>240</v>
      </c>
      <c r="AE31" t="str">
        <f>""</f>
        <v/>
      </c>
    </row>
    <row r="32" spans="1:31" x14ac:dyDescent="0.3">
      <c r="A32" s="1" t="s">
        <v>241</v>
      </c>
      <c r="B32" t="s">
        <v>120</v>
      </c>
      <c r="C32" t="s">
        <v>242</v>
      </c>
      <c r="D32" t="s">
        <v>243</v>
      </c>
      <c r="E32" t="s">
        <v>50</v>
      </c>
      <c r="F32" t="s">
        <v>37</v>
      </c>
      <c r="G32" t="str">
        <f>"00100"</f>
        <v>00100</v>
      </c>
      <c r="H32" t="str">
        <f>"MCL1 p.171_172del"</f>
        <v>MCL1 p.171_172del</v>
      </c>
      <c r="I32" t="str">
        <f>"NM_021960"</f>
        <v>NM_021960</v>
      </c>
      <c r="K32" t="s">
        <v>244</v>
      </c>
      <c r="L32" t="str">
        <f>"4%"</f>
        <v>4%</v>
      </c>
      <c r="M32" t="str">
        <f>"-0.03"</f>
        <v>-0.03</v>
      </c>
      <c r="N32" t="str">
        <f t="shared" si="3"/>
        <v>000</v>
      </c>
      <c r="O32" t="s">
        <v>245</v>
      </c>
      <c r="P32" t="str">
        <f t="shared" ref="P32:P44" si="4">"."</f>
        <v>.</v>
      </c>
      <c r="Q32" t="str">
        <f>"-0.00"</f>
        <v>-0.00</v>
      </c>
      <c r="S32" t="s">
        <v>160</v>
      </c>
      <c r="T32" t="s">
        <v>246</v>
      </c>
      <c r="U32" t="str">
        <f>"0.0083%"</f>
        <v>0.0083%</v>
      </c>
      <c r="V32" t="str">
        <f>"0.0094%"</f>
        <v>0.0094%</v>
      </c>
      <c r="W32" t="str">
        <f>"1.4300%"</f>
        <v>1.4300%</v>
      </c>
      <c r="X32" t="str">
        <f>""</f>
        <v/>
      </c>
      <c r="Y32" t="s">
        <v>247</v>
      </c>
      <c r="Z32" t="str">
        <f>"7.7870%"</f>
        <v>7.7870%</v>
      </c>
      <c r="AA32" t="str">
        <f>"7.7870%"</f>
        <v>7.7870%</v>
      </c>
      <c r="AB32" t="s">
        <v>248</v>
      </c>
      <c r="AC32" t="s">
        <v>249</v>
      </c>
      <c r="AE32" t="str">
        <f>""</f>
        <v/>
      </c>
    </row>
    <row r="33" spans="1:31" x14ac:dyDescent="0.3">
      <c r="A33" s="1" t="s">
        <v>250</v>
      </c>
      <c r="B33" t="s">
        <v>33</v>
      </c>
      <c r="C33" t="s">
        <v>251</v>
      </c>
      <c r="D33" t="s">
        <v>252</v>
      </c>
      <c r="E33" t="s">
        <v>82</v>
      </c>
      <c r="F33" t="s">
        <v>37</v>
      </c>
      <c r="G33" t="str">
        <f>"00000"</f>
        <v>00000</v>
      </c>
      <c r="H33" t="str">
        <f>"NF1 p.T1273fs"</f>
        <v>NF1 p.T1273fs</v>
      </c>
      <c r="I33" t="str">
        <f>"NM_001042492"</f>
        <v>NM_001042492</v>
      </c>
      <c r="K33" t="s">
        <v>253</v>
      </c>
      <c r="L33" t="str">
        <f>"3%"</f>
        <v>3%</v>
      </c>
      <c r="M33" t="str">
        <f>"-0.01"</f>
        <v>-0.01</v>
      </c>
      <c r="N33" t="str">
        <f t="shared" si="3"/>
        <v>000</v>
      </c>
      <c r="O33" t="s">
        <v>245</v>
      </c>
      <c r="P33" t="str">
        <f t="shared" si="4"/>
        <v>.</v>
      </c>
      <c r="Q33" t="str">
        <f>"0.00"</f>
        <v>0.00</v>
      </c>
      <c r="S33" t="s">
        <v>53</v>
      </c>
      <c r="T33" t="s">
        <v>254</v>
      </c>
      <c r="U33" t="str">
        <f>""</f>
        <v/>
      </c>
      <c r="V33" t="str">
        <f>""</f>
        <v/>
      </c>
      <c r="W33" t="str">
        <f>""</f>
        <v/>
      </c>
      <c r="X33" t="str">
        <f>""</f>
        <v/>
      </c>
      <c r="Z33" t="str">
        <f>""</f>
        <v/>
      </c>
      <c r="AA33" t="str">
        <f>""</f>
        <v/>
      </c>
      <c r="AB33" t="s">
        <v>255</v>
      </c>
      <c r="AC33" t="s">
        <v>256</v>
      </c>
      <c r="AD33" t="s">
        <v>257</v>
      </c>
      <c r="AE33" t="str">
        <f>""</f>
        <v/>
      </c>
    </row>
    <row r="34" spans="1:31" x14ac:dyDescent="0.3">
      <c r="A34" s="1" t="s">
        <v>258</v>
      </c>
      <c r="B34" t="s">
        <v>47</v>
      </c>
      <c r="C34" t="s">
        <v>259</v>
      </c>
      <c r="D34" t="s">
        <v>260</v>
      </c>
      <c r="E34" t="s">
        <v>36</v>
      </c>
      <c r="F34" t="s">
        <v>37</v>
      </c>
      <c r="G34" t="str">
        <f>"00100"</f>
        <v>00100</v>
      </c>
      <c r="H34" t="str">
        <f>"ATRX p.I360fs"</f>
        <v>ATRX p.I360fs</v>
      </c>
      <c r="I34" t="str">
        <f>"NM_000489"</f>
        <v>NM_000489</v>
      </c>
      <c r="K34" t="s">
        <v>261</v>
      </c>
      <c r="L34" t="str">
        <f>"11%"</f>
        <v>11%</v>
      </c>
      <c r="M34" t="str">
        <f>"-0.81"</f>
        <v>-0.81</v>
      </c>
      <c r="N34" t="str">
        <f t="shared" si="3"/>
        <v>000</v>
      </c>
      <c r="O34" t="s">
        <v>245</v>
      </c>
      <c r="P34" t="str">
        <f t="shared" si="4"/>
        <v>.</v>
      </c>
      <c r="Q34" t="str">
        <f>"-0.55"</f>
        <v>-0.55</v>
      </c>
      <c r="S34" t="s">
        <v>53</v>
      </c>
      <c r="T34" t="s">
        <v>262</v>
      </c>
      <c r="U34" t="str">
        <f>""</f>
        <v/>
      </c>
      <c r="V34" t="str">
        <f>""</f>
        <v/>
      </c>
      <c r="W34" t="str">
        <f>""</f>
        <v/>
      </c>
      <c r="X34" t="str">
        <f>""</f>
        <v/>
      </c>
      <c r="Z34" t="str">
        <f>""</f>
        <v/>
      </c>
      <c r="AA34" t="str">
        <f>""</f>
        <v/>
      </c>
      <c r="AB34" t="s">
        <v>263</v>
      </c>
      <c r="AC34" t="s">
        <v>264</v>
      </c>
      <c r="AE34" t="str">
        <f>""</f>
        <v/>
      </c>
    </row>
    <row r="35" spans="1:31" x14ac:dyDescent="0.3">
      <c r="A35" s="1" t="s">
        <v>265</v>
      </c>
      <c r="B35" t="s">
        <v>266</v>
      </c>
      <c r="C35" t="s">
        <v>267</v>
      </c>
      <c r="D35" t="s">
        <v>268</v>
      </c>
      <c r="E35" t="s">
        <v>36</v>
      </c>
      <c r="F35" t="s">
        <v>37</v>
      </c>
      <c r="G35" t="str">
        <f>"00100"</f>
        <v>00100</v>
      </c>
      <c r="H35" t="str">
        <f>"NOTCH1 p.S990fs"</f>
        <v>NOTCH1 p.S990fs</v>
      </c>
      <c r="I35" t="str">
        <f>"NM_017617"</f>
        <v>NM_017617</v>
      </c>
      <c r="K35" t="s">
        <v>269</v>
      </c>
      <c r="L35" t="str">
        <f>"11%"</f>
        <v>11%</v>
      </c>
      <c r="M35" t="str">
        <f>"0.00"</f>
        <v>0.00</v>
      </c>
      <c r="N35" t="str">
        <f t="shared" si="3"/>
        <v>000</v>
      </c>
      <c r="O35" t="s">
        <v>245</v>
      </c>
      <c r="P35" t="str">
        <f t="shared" si="4"/>
        <v>.</v>
      </c>
      <c r="Q35" t="str">
        <f>"-0.01"</f>
        <v>-0.01</v>
      </c>
      <c r="S35" t="s">
        <v>53</v>
      </c>
      <c r="T35" t="s">
        <v>270</v>
      </c>
      <c r="U35" t="str">
        <f>""</f>
        <v/>
      </c>
      <c r="V35" t="str">
        <f>""</f>
        <v/>
      </c>
      <c r="W35" t="str">
        <f>""</f>
        <v/>
      </c>
      <c r="X35" t="str">
        <f>""</f>
        <v/>
      </c>
      <c r="Z35" t="str">
        <f>""</f>
        <v/>
      </c>
      <c r="AA35" t="str">
        <f>""</f>
        <v/>
      </c>
      <c r="AB35" t="s">
        <v>271</v>
      </c>
      <c r="AC35" t="s">
        <v>272</v>
      </c>
      <c r="AE35" t="str">
        <f>""</f>
        <v/>
      </c>
    </row>
    <row r="36" spans="1:31" x14ac:dyDescent="0.3">
      <c r="A36" s="1" t="s">
        <v>273</v>
      </c>
      <c r="B36" t="s">
        <v>274</v>
      </c>
      <c r="C36" t="s">
        <v>275</v>
      </c>
      <c r="D36" t="s">
        <v>276</v>
      </c>
      <c r="E36" t="s">
        <v>50</v>
      </c>
      <c r="F36" t="s">
        <v>37</v>
      </c>
      <c r="G36" t="str">
        <f>"00100"</f>
        <v>00100</v>
      </c>
      <c r="H36" t="str">
        <f>"ZFHX3 p.777_778del"</f>
        <v>ZFHX3 p.777_778del</v>
      </c>
      <c r="I36" t="str">
        <f>"NM_006885"</f>
        <v>NM_006885</v>
      </c>
      <c r="K36" t="s">
        <v>277</v>
      </c>
      <c r="L36" t="str">
        <f>"4%"</f>
        <v>4%</v>
      </c>
      <c r="M36" t="str">
        <f>"0.25"</f>
        <v>0.25</v>
      </c>
      <c r="N36" t="str">
        <f t="shared" si="3"/>
        <v>000</v>
      </c>
      <c r="O36" t="s">
        <v>245</v>
      </c>
      <c r="P36" t="str">
        <f t="shared" si="4"/>
        <v>.</v>
      </c>
      <c r="Q36" t="str">
        <f>"-0.00"</f>
        <v>-0.00</v>
      </c>
      <c r="S36" t="s">
        <v>160</v>
      </c>
      <c r="T36" t="s">
        <v>278</v>
      </c>
      <c r="U36" t="str">
        <f>"3.7400%"</f>
        <v>3.7400%</v>
      </c>
      <c r="V36" t="str">
        <f>"0.0700%"</f>
        <v>0.0700%</v>
      </c>
      <c r="W36" t="str">
        <f>"55.9700%"</f>
        <v>55.9700%</v>
      </c>
      <c r="X36" t="str">
        <f>""</f>
        <v/>
      </c>
      <c r="Y36" t="s">
        <v>279</v>
      </c>
      <c r="Z36" t="str">
        <f>"23.5680%"</f>
        <v>23.5680%</v>
      </c>
      <c r="AA36" t="str">
        <f>"23.5000%"</f>
        <v>23.5000%</v>
      </c>
      <c r="AB36" t="s">
        <v>280</v>
      </c>
      <c r="AC36" t="s">
        <v>281</v>
      </c>
      <c r="AE36" t="str">
        <f>""</f>
        <v/>
      </c>
    </row>
    <row r="37" spans="1:31" x14ac:dyDescent="0.3">
      <c r="A37" s="1" t="s">
        <v>282</v>
      </c>
      <c r="B37" t="s">
        <v>283</v>
      </c>
      <c r="C37" t="s">
        <v>284</v>
      </c>
      <c r="D37" t="s">
        <v>285</v>
      </c>
      <c r="E37" t="s">
        <v>35</v>
      </c>
      <c r="F37" t="s">
        <v>37</v>
      </c>
      <c r="G37" t="str">
        <f>"00000"</f>
        <v>00000</v>
      </c>
      <c r="H37" t="str">
        <f>"INHBA p.262_263del"</f>
        <v>INHBA p.262_263del</v>
      </c>
      <c r="I37" t="str">
        <f>"NM_002192"</f>
        <v>NM_002192</v>
      </c>
      <c r="K37" t="s">
        <v>286</v>
      </c>
      <c r="L37" t="str">
        <f>"3%"</f>
        <v>3%</v>
      </c>
      <c r="M37" t="str">
        <f>"0.05"</f>
        <v>0.05</v>
      </c>
      <c r="N37" t="str">
        <f t="shared" si="3"/>
        <v>000</v>
      </c>
      <c r="O37" t="s">
        <v>245</v>
      </c>
      <c r="P37" t="str">
        <f t="shared" si="4"/>
        <v>.</v>
      </c>
      <c r="Q37" t="str">
        <f>"0.01"</f>
        <v>0.01</v>
      </c>
      <c r="S37" t="s">
        <v>160</v>
      </c>
      <c r="T37" t="s">
        <v>287</v>
      </c>
      <c r="U37" t="str">
        <f>"0.2700%"</f>
        <v>0.2700%</v>
      </c>
      <c r="V37" t="str">
        <f>"0.0100%"</f>
        <v>0.0100%</v>
      </c>
      <c r="W37" t="str">
        <f>""</f>
        <v/>
      </c>
      <c r="X37" t="str">
        <f>""</f>
        <v/>
      </c>
      <c r="Y37" t="s">
        <v>288</v>
      </c>
      <c r="Z37" t="str">
        <f>"25.0110%"</f>
        <v>25.0110%</v>
      </c>
      <c r="AA37" t="str">
        <f>"24.9890%"</f>
        <v>24.9890%</v>
      </c>
      <c r="AB37" t="s">
        <v>289</v>
      </c>
      <c r="AC37" t="s">
        <v>290</v>
      </c>
      <c r="AE37" t="str">
        <f>""</f>
        <v/>
      </c>
    </row>
    <row r="38" spans="1:31" x14ac:dyDescent="0.3">
      <c r="A38" s="1" t="s">
        <v>291</v>
      </c>
      <c r="B38" t="s">
        <v>80</v>
      </c>
      <c r="C38" t="s">
        <v>292</v>
      </c>
      <c r="D38" t="s">
        <v>293</v>
      </c>
      <c r="E38" t="s">
        <v>82</v>
      </c>
      <c r="F38" t="s">
        <v>37</v>
      </c>
      <c r="G38" t="str">
        <f>"00100"</f>
        <v>00100</v>
      </c>
      <c r="H38" t="str">
        <f>"TCF7L2 p.402_402del"</f>
        <v>TCF7L2 p.402_402del</v>
      </c>
      <c r="I38" t="str">
        <f>"NM_030756"</f>
        <v>NM_030756</v>
      </c>
      <c r="K38" t="s">
        <v>294</v>
      </c>
      <c r="L38" t="str">
        <f>"3%"</f>
        <v>3%</v>
      </c>
      <c r="M38" t="str">
        <f>"-0.19"</f>
        <v>-0.19</v>
      </c>
      <c r="N38" t="str">
        <f t="shared" si="3"/>
        <v>000</v>
      </c>
      <c r="O38" t="s">
        <v>245</v>
      </c>
      <c r="P38" t="str">
        <f t="shared" si="4"/>
        <v>.</v>
      </c>
      <c r="Q38" t="str">
        <f>"-0.01"</f>
        <v>-0.01</v>
      </c>
      <c r="S38" t="s">
        <v>160</v>
      </c>
      <c r="T38" t="s">
        <v>295</v>
      </c>
      <c r="U38" t="str">
        <f>"0.0700%"</f>
        <v>0.0700%</v>
      </c>
      <c r="V38" t="str">
        <f>"0.0200%"</f>
        <v>0.0200%</v>
      </c>
      <c r="W38" t="str">
        <f>""</f>
        <v/>
      </c>
      <c r="X38" t="str">
        <f>""</f>
        <v/>
      </c>
      <c r="Y38" t="s">
        <v>296</v>
      </c>
      <c r="Z38" t="str">
        <f>"6.2070%"</f>
        <v>6.2070%</v>
      </c>
      <c r="AA38" t="str">
        <f>"6.2070%"</f>
        <v>6.2070%</v>
      </c>
      <c r="AB38" t="s">
        <v>297</v>
      </c>
      <c r="AC38" t="s">
        <v>298</v>
      </c>
      <c r="AE38" t="str">
        <f>""</f>
        <v/>
      </c>
    </row>
    <row r="39" spans="1:31" x14ac:dyDescent="0.3">
      <c r="A39" s="1" t="s">
        <v>299</v>
      </c>
      <c r="B39" t="s">
        <v>113</v>
      </c>
      <c r="C39" t="s">
        <v>300</v>
      </c>
      <c r="D39" t="s">
        <v>35</v>
      </c>
      <c r="E39" t="s">
        <v>36</v>
      </c>
      <c r="F39" t="s">
        <v>37</v>
      </c>
      <c r="G39" t="str">
        <f>"01000"</f>
        <v>01000</v>
      </c>
      <c r="H39" t="str">
        <f>"KMT2B p.S632P"</f>
        <v>KMT2B p.S632P</v>
      </c>
      <c r="I39" t="str">
        <f>"NM_014727"</f>
        <v>NM_014727</v>
      </c>
      <c r="K39" t="s">
        <v>301</v>
      </c>
      <c r="L39" t="str">
        <f>"16%"</f>
        <v>16%</v>
      </c>
      <c r="M39" t="str">
        <f>"-0.08"</f>
        <v>-0.08</v>
      </c>
      <c r="N39" t="str">
        <f t="shared" si="3"/>
        <v>000</v>
      </c>
      <c r="O39" t="s">
        <v>245</v>
      </c>
      <c r="P39" t="str">
        <f t="shared" si="4"/>
        <v>.</v>
      </c>
      <c r="Q39" t="str">
        <f>"-0.01"</f>
        <v>-0.01</v>
      </c>
      <c r="S39" t="s">
        <v>40</v>
      </c>
      <c r="T39" t="s">
        <v>302</v>
      </c>
      <c r="U39" t="str">
        <f>"0.0400%"</f>
        <v>0.0400%</v>
      </c>
      <c r="V39" t="str">
        <f>"4.2700%"</f>
        <v>4.2700%</v>
      </c>
      <c r="W39" t="str">
        <f>""</f>
        <v/>
      </c>
      <c r="X39" t="str">
        <f>""</f>
        <v/>
      </c>
      <c r="Y39" t="s">
        <v>303</v>
      </c>
      <c r="Z39" t="str">
        <f>"26.5920%"</f>
        <v>26.5920%</v>
      </c>
      <c r="AA39" t="str">
        <f>"9.5050%"</f>
        <v>9.5050%</v>
      </c>
      <c r="AB39" t="s">
        <v>304</v>
      </c>
      <c r="AE39" t="str">
        <f>"0.137"</f>
        <v>0.137</v>
      </c>
    </row>
    <row r="40" spans="1:31" x14ac:dyDescent="0.3">
      <c r="A40" s="1" t="s">
        <v>305</v>
      </c>
      <c r="B40" t="s">
        <v>120</v>
      </c>
      <c r="C40" t="s">
        <v>306</v>
      </c>
      <c r="D40" t="s">
        <v>82</v>
      </c>
      <c r="E40" t="s">
        <v>36</v>
      </c>
      <c r="F40" t="s">
        <v>37</v>
      </c>
      <c r="G40" t="str">
        <f>"01000"</f>
        <v>01000</v>
      </c>
      <c r="H40" t="str">
        <f>"SPEN p.T3246P"</f>
        <v>SPEN p.T3246P</v>
      </c>
      <c r="I40" t="str">
        <f>"NM_015001"</f>
        <v>NM_015001</v>
      </c>
      <c r="K40" t="s">
        <v>307</v>
      </c>
      <c r="L40" t="str">
        <f>"16%"</f>
        <v>16%</v>
      </c>
      <c r="M40" t="str">
        <f>"0.01"</f>
        <v>0.01</v>
      </c>
      <c r="N40" t="str">
        <f t="shared" si="3"/>
        <v>000</v>
      </c>
      <c r="O40" t="s">
        <v>245</v>
      </c>
      <c r="P40" t="str">
        <f t="shared" si="4"/>
        <v>.</v>
      </c>
      <c r="Q40" t="str">
        <f>"-0.01"</f>
        <v>-0.01</v>
      </c>
      <c r="S40" t="s">
        <v>40</v>
      </c>
      <c r="T40" t="s">
        <v>308</v>
      </c>
      <c r="U40" t="str">
        <f>"13.4400%"</f>
        <v>13.4400%</v>
      </c>
      <c r="V40" t="str">
        <f>"5.2200%"</f>
        <v>5.2200%</v>
      </c>
      <c r="W40" t="str">
        <f>""</f>
        <v/>
      </c>
      <c r="X40" t="str">
        <f>""</f>
        <v/>
      </c>
      <c r="Y40" t="s">
        <v>309</v>
      </c>
      <c r="Z40" t="str">
        <f>"6.1380%"</f>
        <v>6.1380%</v>
      </c>
      <c r="AA40" t="str">
        <f>"1.9010%"</f>
        <v>1.9010%</v>
      </c>
      <c r="AB40" t="s">
        <v>310</v>
      </c>
      <c r="AC40" t="s">
        <v>311</v>
      </c>
      <c r="AD40" t="s">
        <v>312</v>
      </c>
      <c r="AE40" t="str">
        <f>"0.004"</f>
        <v>0.004</v>
      </c>
    </row>
    <row r="41" spans="1:31" x14ac:dyDescent="0.3">
      <c r="A41" s="1" t="s">
        <v>313</v>
      </c>
      <c r="B41" t="s">
        <v>274</v>
      </c>
      <c r="C41" t="s">
        <v>314</v>
      </c>
      <c r="D41" t="s">
        <v>315</v>
      </c>
      <c r="E41" t="s">
        <v>35</v>
      </c>
      <c r="F41" t="s">
        <v>37</v>
      </c>
      <c r="G41" t="str">
        <f>"00100"</f>
        <v>00100</v>
      </c>
      <c r="H41" t="str">
        <f>"ZFHX3 p.3242_3242del"</f>
        <v>ZFHX3 p.3242_3242del</v>
      </c>
      <c r="I41" t="str">
        <f>"NM_006885"</f>
        <v>NM_006885</v>
      </c>
      <c r="K41" t="s">
        <v>316</v>
      </c>
      <c r="L41" t="str">
        <f>"7%"</f>
        <v>7%</v>
      </c>
      <c r="M41" t="str">
        <f>"0.25"</f>
        <v>0.25</v>
      </c>
      <c r="N41" t="str">
        <f t="shared" si="3"/>
        <v>000</v>
      </c>
      <c r="O41" t="s">
        <v>245</v>
      </c>
      <c r="P41" t="str">
        <f t="shared" si="4"/>
        <v>.</v>
      </c>
      <c r="Q41" t="str">
        <f>"-0.00"</f>
        <v>-0.00</v>
      </c>
      <c r="S41" t="s">
        <v>160</v>
      </c>
      <c r="T41" t="s">
        <v>317</v>
      </c>
      <c r="U41" t="str">
        <f>"0.0016%"</f>
        <v>0.0016%</v>
      </c>
      <c r="V41" t="str">
        <f>"0.0020%"</f>
        <v>0.0020%</v>
      </c>
      <c r="W41" t="str">
        <f>""</f>
        <v/>
      </c>
      <c r="X41" t="str">
        <f>""</f>
        <v/>
      </c>
      <c r="Y41" t="s">
        <v>318</v>
      </c>
      <c r="Z41" t="str">
        <f>""</f>
        <v/>
      </c>
      <c r="AA41" t="str">
        <f>""</f>
        <v/>
      </c>
      <c r="AE41" t="str">
        <f>""</f>
        <v/>
      </c>
    </row>
    <row r="42" spans="1:31" x14ac:dyDescent="0.3">
      <c r="A42" s="1" t="s">
        <v>319</v>
      </c>
      <c r="B42" t="s">
        <v>320</v>
      </c>
      <c r="C42" t="s">
        <v>321</v>
      </c>
      <c r="D42" t="s">
        <v>322</v>
      </c>
      <c r="E42" t="s">
        <v>36</v>
      </c>
      <c r="F42" t="s">
        <v>37</v>
      </c>
      <c r="G42" t="str">
        <f>"00000"</f>
        <v>00000</v>
      </c>
      <c r="H42" t="str">
        <f>"TET2 p.1545_1545del"</f>
        <v>TET2 p.1545_1545del</v>
      </c>
      <c r="I42" t="str">
        <f>"NM_001127208"</f>
        <v>NM_001127208</v>
      </c>
      <c r="K42" t="s">
        <v>323</v>
      </c>
      <c r="L42" t="str">
        <f>"2%"</f>
        <v>2%</v>
      </c>
      <c r="M42" t="str">
        <f>"-0.07"</f>
        <v>-0.07</v>
      </c>
      <c r="N42" t="str">
        <f t="shared" si="3"/>
        <v>000</v>
      </c>
      <c r="O42" t="s">
        <v>245</v>
      </c>
      <c r="P42" t="str">
        <f t="shared" si="4"/>
        <v>.</v>
      </c>
      <c r="Q42" t="str">
        <f>"-0.01"</f>
        <v>-0.01</v>
      </c>
      <c r="S42" t="s">
        <v>160</v>
      </c>
      <c r="T42" t="s">
        <v>324</v>
      </c>
      <c r="U42" t="str">
        <f>""</f>
        <v/>
      </c>
      <c r="V42" t="str">
        <f>"0.0000%"</f>
        <v>0.0000%</v>
      </c>
      <c r="W42" t="str">
        <f>""</f>
        <v/>
      </c>
      <c r="X42" t="str">
        <f>""</f>
        <v/>
      </c>
      <c r="Z42" t="str">
        <f>"0.0230%"</f>
        <v>0.0230%</v>
      </c>
      <c r="AA42" t="str">
        <f>"0.0230%"</f>
        <v>0.0230%</v>
      </c>
      <c r="AE42" t="str">
        <f>""</f>
        <v/>
      </c>
    </row>
    <row r="43" spans="1:31" x14ac:dyDescent="0.3">
      <c r="A43" s="1" t="s">
        <v>325</v>
      </c>
      <c r="B43" t="s">
        <v>274</v>
      </c>
      <c r="C43" t="s">
        <v>326</v>
      </c>
      <c r="D43" t="s">
        <v>327</v>
      </c>
      <c r="E43" t="s">
        <v>35</v>
      </c>
      <c r="F43" t="s">
        <v>37</v>
      </c>
      <c r="G43" t="str">
        <f>"00000"</f>
        <v>00000</v>
      </c>
      <c r="H43" t="str">
        <f>"ZFHX3 p.782_783del"</f>
        <v>ZFHX3 p.782_783del</v>
      </c>
      <c r="I43" t="str">
        <f>"NM_006885"</f>
        <v>NM_006885</v>
      </c>
      <c r="K43" t="s">
        <v>91</v>
      </c>
      <c r="L43" t="str">
        <f>"3%"</f>
        <v>3%</v>
      </c>
      <c r="M43" t="str">
        <f>"0.25"</f>
        <v>0.25</v>
      </c>
      <c r="N43" t="str">
        <f t="shared" si="3"/>
        <v>000</v>
      </c>
      <c r="O43" t="s">
        <v>245</v>
      </c>
      <c r="P43" t="str">
        <f t="shared" si="4"/>
        <v>.</v>
      </c>
      <c r="Q43" t="str">
        <f>"-0.00"</f>
        <v>-0.00</v>
      </c>
      <c r="S43" t="s">
        <v>160</v>
      </c>
      <c r="T43" t="s">
        <v>328</v>
      </c>
      <c r="U43" t="str">
        <f>""</f>
        <v/>
      </c>
      <c r="V43" t="str">
        <f>""</f>
        <v/>
      </c>
      <c r="W43" t="str">
        <f>""</f>
        <v/>
      </c>
      <c r="X43" t="str">
        <f>""</f>
        <v/>
      </c>
      <c r="Z43" t="str">
        <f>"1.0770%"</f>
        <v>1.0770%</v>
      </c>
      <c r="AA43" t="str">
        <f>"1.0770%"</f>
        <v>1.0770%</v>
      </c>
      <c r="AE43" t="str">
        <f>""</f>
        <v/>
      </c>
    </row>
    <row r="44" spans="1:31" x14ac:dyDescent="0.3">
      <c r="A44" s="1" t="s">
        <v>329</v>
      </c>
      <c r="B44" t="s">
        <v>330</v>
      </c>
      <c r="C44" t="s">
        <v>331</v>
      </c>
      <c r="D44" t="s">
        <v>332</v>
      </c>
      <c r="E44" t="s">
        <v>82</v>
      </c>
      <c r="F44" t="s">
        <v>37</v>
      </c>
      <c r="G44" t="str">
        <f>"01000"</f>
        <v>01000</v>
      </c>
      <c r="H44" t="str">
        <f>"NCOA3 p.1255_1256del"</f>
        <v>NCOA3 p.1255_1256del</v>
      </c>
      <c r="I44" t="str">
        <f>"NM_181659"</f>
        <v>NM_181659</v>
      </c>
      <c r="K44" t="s">
        <v>333</v>
      </c>
      <c r="L44" t="str">
        <f>"10%"</f>
        <v>10%</v>
      </c>
      <c r="M44" t="str">
        <f>"0.05"</f>
        <v>0.05</v>
      </c>
      <c r="N44" t="str">
        <f t="shared" si="3"/>
        <v>000</v>
      </c>
      <c r="O44" t="s">
        <v>245</v>
      </c>
      <c r="P44" t="str">
        <f t="shared" si="4"/>
        <v>.</v>
      </c>
      <c r="Q44" t="str">
        <f>"-0.01"</f>
        <v>-0.01</v>
      </c>
      <c r="S44" t="s">
        <v>160</v>
      </c>
      <c r="T44" t="s">
        <v>334</v>
      </c>
      <c r="U44" t="str">
        <f>"0.9100%"</f>
        <v>0.9100%</v>
      </c>
      <c r="V44" t="str">
        <f>""</f>
        <v/>
      </c>
      <c r="W44" t="str">
        <f>""</f>
        <v/>
      </c>
      <c r="X44" t="str">
        <f>""</f>
        <v/>
      </c>
      <c r="Y44" t="s">
        <v>335</v>
      </c>
      <c r="Z44" t="str">
        <f>"1.6720%"</f>
        <v>1.6720%</v>
      </c>
      <c r="AA44" t="str">
        <f>"0.0690%"</f>
        <v>0.0690%</v>
      </c>
      <c r="AE44" t="str">
        <f>""</f>
        <v/>
      </c>
    </row>
  </sheetData>
  <autoFilter ref="A1:AE44" xr:uid="{00000000-0009-0000-0000-000001000000}"/>
  <hyperlinks>
    <hyperlink ref="A2" r:id="rId1" xr:uid="{00000000-0004-0000-0100-000000000000}"/>
    <hyperlink ref="A3" r:id="rId2" xr:uid="{00000000-0004-0000-0100-000001000000}"/>
    <hyperlink ref="A4" r:id="rId3" xr:uid="{00000000-0004-0000-0100-000002000000}"/>
    <hyperlink ref="A5" r:id="rId4" xr:uid="{00000000-0004-0000-0100-000003000000}"/>
    <hyperlink ref="A6" r:id="rId5" xr:uid="{00000000-0004-0000-0100-000004000000}"/>
    <hyperlink ref="A7" r:id="rId6" xr:uid="{00000000-0004-0000-0100-000005000000}"/>
    <hyperlink ref="A8" r:id="rId7" xr:uid="{00000000-0004-0000-0100-000006000000}"/>
    <hyperlink ref="A9" r:id="rId8" xr:uid="{00000000-0004-0000-0100-000007000000}"/>
    <hyperlink ref="A10" r:id="rId9" xr:uid="{00000000-0004-0000-0100-000008000000}"/>
    <hyperlink ref="A11" r:id="rId10" xr:uid="{00000000-0004-0000-0100-000009000000}"/>
    <hyperlink ref="A12" r:id="rId11" xr:uid="{00000000-0004-0000-0100-00000A000000}"/>
    <hyperlink ref="A13" r:id="rId12" xr:uid="{00000000-0004-0000-0100-00000B000000}"/>
    <hyperlink ref="A14" r:id="rId13" xr:uid="{00000000-0004-0000-0100-00000C000000}"/>
    <hyperlink ref="A15" r:id="rId14" xr:uid="{00000000-0004-0000-0100-00000D000000}"/>
    <hyperlink ref="A16" r:id="rId15" xr:uid="{00000000-0004-0000-0100-00000E000000}"/>
    <hyperlink ref="A17" r:id="rId16" xr:uid="{00000000-0004-0000-0100-00000F000000}"/>
    <hyperlink ref="A18" r:id="rId17" xr:uid="{00000000-0004-0000-0100-000010000000}"/>
    <hyperlink ref="A19" r:id="rId18" xr:uid="{00000000-0004-0000-0100-000011000000}"/>
    <hyperlink ref="A20" r:id="rId19" xr:uid="{00000000-0004-0000-0100-000012000000}"/>
    <hyperlink ref="A21" r:id="rId20" xr:uid="{00000000-0004-0000-0100-000013000000}"/>
    <hyperlink ref="A22" r:id="rId21" xr:uid="{00000000-0004-0000-0100-000014000000}"/>
    <hyperlink ref="A23" r:id="rId22" xr:uid="{00000000-0004-0000-0100-000015000000}"/>
    <hyperlink ref="A24" r:id="rId23" xr:uid="{00000000-0004-0000-0100-000016000000}"/>
    <hyperlink ref="A25" r:id="rId24" xr:uid="{00000000-0004-0000-0100-000017000000}"/>
    <hyperlink ref="A26" r:id="rId25" xr:uid="{00000000-0004-0000-0100-000018000000}"/>
    <hyperlink ref="A27" r:id="rId26" xr:uid="{00000000-0004-0000-0100-000019000000}"/>
    <hyperlink ref="A28" r:id="rId27" xr:uid="{00000000-0004-0000-0100-00001A000000}"/>
    <hyperlink ref="A29" r:id="rId28" xr:uid="{00000000-0004-0000-0100-00001B000000}"/>
    <hyperlink ref="A30" r:id="rId29" xr:uid="{00000000-0004-0000-0100-00001C000000}"/>
    <hyperlink ref="A31" r:id="rId30" xr:uid="{00000000-0004-0000-0100-00001D000000}"/>
    <hyperlink ref="A32" r:id="rId31" xr:uid="{00000000-0004-0000-0100-00001E000000}"/>
    <hyperlink ref="A33" r:id="rId32" xr:uid="{00000000-0004-0000-0100-00001F000000}"/>
    <hyperlink ref="A34" r:id="rId33" xr:uid="{00000000-0004-0000-0100-000020000000}"/>
    <hyperlink ref="A35" r:id="rId34" xr:uid="{00000000-0004-0000-0100-000021000000}"/>
    <hyperlink ref="A36" r:id="rId35" xr:uid="{00000000-0004-0000-0100-000022000000}"/>
    <hyperlink ref="A37" r:id="rId36" xr:uid="{00000000-0004-0000-0100-000023000000}"/>
    <hyperlink ref="A38" r:id="rId37" xr:uid="{00000000-0004-0000-0100-000024000000}"/>
    <hyperlink ref="A39" r:id="rId38" xr:uid="{00000000-0004-0000-0100-000025000000}"/>
    <hyperlink ref="A40" r:id="rId39" xr:uid="{00000000-0004-0000-0100-000026000000}"/>
    <hyperlink ref="A41" r:id="rId40" xr:uid="{00000000-0004-0000-0100-000027000000}"/>
    <hyperlink ref="A42" r:id="rId41" xr:uid="{00000000-0004-0000-0100-000028000000}"/>
    <hyperlink ref="A43" r:id="rId42" xr:uid="{00000000-0004-0000-0100-000029000000}"/>
    <hyperlink ref="A44" r:id="rId43" xr:uid="{00000000-0004-0000-0100-00002A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309"/>
  <sheetViews>
    <sheetView tabSelected="1" workbookViewId="0"/>
  </sheetViews>
  <sheetFormatPr defaultRowHeight="14.4" x14ac:dyDescent="0.3"/>
  <sheetData>
    <row r="1" spans="1:3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10</v>
      </c>
      <c r="I1" t="s">
        <v>11</v>
      </c>
      <c r="J1" t="s">
        <v>12</v>
      </c>
      <c r="K1" t="s">
        <v>13</v>
      </c>
      <c r="L1" t="s">
        <v>7</v>
      </c>
      <c r="M1" t="s">
        <v>8</v>
      </c>
      <c r="N1" t="s">
        <v>9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 x14ac:dyDescent="0.3">
      <c r="A2" s="1" t="s">
        <v>336</v>
      </c>
      <c r="B2" t="s">
        <v>33</v>
      </c>
      <c r="C2" t="s">
        <v>337</v>
      </c>
      <c r="D2" t="s">
        <v>50</v>
      </c>
      <c r="E2" t="s">
        <v>82</v>
      </c>
      <c r="F2" t="s">
        <v>37</v>
      </c>
      <c r="G2" t="str">
        <f>"01000"</f>
        <v>01000</v>
      </c>
      <c r="H2" t="s">
        <v>338</v>
      </c>
      <c r="I2" t="str">
        <f>"37%"</f>
        <v>37%</v>
      </c>
      <c r="J2" t="str">
        <f>"0.01"</f>
        <v>0.01</v>
      </c>
      <c r="K2" t="str">
        <f>"010"</f>
        <v>010</v>
      </c>
      <c r="L2" t="str">
        <f>"NCOR1 p.R190*"</f>
        <v>NCOR1 p.R190*</v>
      </c>
      <c r="M2" t="str">
        <f>"NM_006311"</f>
        <v>NM_006311</v>
      </c>
      <c r="O2" t="s">
        <v>339</v>
      </c>
      <c r="P2" t="str">
        <f>"31%"</f>
        <v>31%</v>
      </c>
      <c r="Q2" t="str">
        <f>"0.03"</f>
        <v>0.03</v>
      </c>
      <c r="S2" t="s">
        <v>69</v>
      </c>
      <c r="T2" t="s">
        <v>340</v>
      </c>
      <c r="U2" t="str">
        <f>"42.8500%"</f>
        <v>42.8500%</v>
      </c>
      <c r="V2" t="str">
        <f>"26.4900%"</f>
        <v>26.4900%</v>
      </c>
      <c r="W2" t="str">
        <f>""</f>
        <v/>
      </c>
      <c r="X2" t="str">
        <f>""</f>
        <v/>
      </c>
      <c r="Y2" t="s">
        <v>341</v>
      </c>
      <c r="Z2" t="str">
        <f>"49.9310%"</f>
        <v>49.9310%</v>
      </c>
      <c r="AA2" t="str">
        <f>"49.8850%"</f>
        <v>49.8850%</v>
      </c>
      <c r="AB2" t="s">
        <v>342</v>
      </c>
      <c r="AC2" t="s">
        <v>343</v>
      </c>
      <c r="AE2" t="str">
        <f>"29.9"</f>
        <v>29.9</v>
      </c>
    </row>
    <row r="3" spans="1:31" x14ac:dyDescent="0.3">
      <c r="A3" s="1" t="s">
        <v>197</v>
      </c>
      <c r="B3" t="s">
        <v>88</v>
      </c>
      <c r="C3" t="s">
        <v>198</v>
      </c>
      <c r="D3" t="s">
        <v>99</v>
      </c>
      <c r="E3" t="s">
        <v>35</v>
      </c>
      <c r="F3" t="s">
        <v>37</v>
      </c>
      <c r="G3" t="str">
        <f>"10000"</f>
        <v>10000</v>
      </c>
      <c r="H3" t="s">
        <v>199</v>
      </c>
      <c r="I3" t="str">
        <f>"10%"</f>
        <v>10%</v>
      </c>
      <c r="J3" t="str">
        <f>"-0.01"</f>
        <v>-0.01</v>
      </c>
      <c r="K3" t="str">
        <f>"110"</f>
        <v>110</v>
      </c>
      <c r="L3" t="str">
        <f>"PMS1 p.K160fs"</f>
        <v>PMS1 p.K160fs</v>
      </c>
      <c r="M3" t="str">
        <f>"NM_001321049"</f>
        <v>NM_001321049</v>
      </c>
      <c r="O3" t="s">
        <v>200</v>
      </c>
      <c r="P3" t="str">
        <f>"12%"</f>
        <v>12%</v>
      </c>
      <c r="Q3" t="str">
        <f>"-0.01"</f>
        <v>-0.01</v>
      </c>
      <c r="S3" t="s">
        <v>53</v>
      </c>
      <c r="T3" t="s">
        <v>201</v>
      </c>
      <c r="U3" t="str">
        <f>"5.9900%"</f>
        <v>5.9900%</v>
      </c>
      <c r="V3" t="str">
        <f>"2.5000%"</f>
        <v>2.5000%</v>
      </c>
      <c r="W3" t="str">
        <f>""</f>
        <v/>
      </c>
      <c r="X3" t="str">
        <f>""</f>
        <v/>
      </c>
      <c r="Y3" t="s">
        <v>202</v>
      </c>
      <c r="Z3" t="str">
        <f>"38.6170%"</f>
        <v>38.6170%</v>
      </c>
      <c r="AA3" t="str">
        <f>"6.1380%"</f>
        <v>6.1380%</v>
      </c>
      <c r="AB3" t="s">
        <v>203</v>
      </c>
      <c r="AE3" t="str">
        <f>""</f>
        <v/>
      </c>
    </row>
    <row r="4" spans="1:31" x14ac:dyDescent="0.3">
      <c r="A4" s="1" t="s">
        <v>148</v>
      </c>
      <c r="B4" t="s">
        <v>88</v>
      </c>
      <c r="C4" t="s">
        <v>149</v>
      </c>
      <c r="D4" t="s">
        <v>35</v>
      </c>
      <c r="E4" t="s">
        <v>99</v>
      </c>
      <c r="F4" t="s">
        <v>100</v>
      </c>
      <c r="G4" t="str">
        <f>"10000"</f>
        <v>10000</v>
      </c>
      <c r="H4" t="s">
        <v>150</v>
      </c>
      <c r="I4" t="str">
        <f>"10%"</f>
        <v>10%</v>
      </c>
      <c r="J4" t="str">
        <f>"-0.01"</f>
        <v>-0.01</v>
      </c>
      <c r="K4" t="str">
        <f>"100"</f>
        <v>100</v>
      </c>
      <c r="L4" t="str">
        <f>"STAT4 c.129-2-&gt;T"</f>
        <v>STAT4 c.129-2-&gt;T</v>
      </c>
      <c r="M4" t="str">
        <f>"NM_003151"</f>
        <v>NM_003151</v>
      </c>
      <c r="O4" t="s">
        <v>151</v>
      </c>
      <c r="P4" t="str">
        <f>"9%"</f>
        <v>9%</v>
      </c>
      <c r="Q4" t="str">
        <f>"-0.01"</f>
        <v>-0.01</v>
      </c>
      <c r="R4" t="s">
        <v>152</v>
      </c>
      <c r="U4" t="str">
        <f>"8.7100%"</f>
        <v>8.7100%</v>
      </c>
      <c r="V4" t="str">
        <f>"11.5900%"</f>
        <v>11.5900%</v>
      </c>
      <c r="W4" t="str">
        <f>"3.9600%"</f>
        <v>3.9600%</v>
      </c>
      <c r="X4" t="str">
        <f>""</f>
        <v/>
      </c>
      <c r="Y4" t="s">
        <v>153</v>
      </c>
      <c r="Z4" t="str">
        <f>"49.1750%"</f>
        <v>49.1750%</v>
      </c>
      <c r="AA4" t="str">
        <f>"17.5220%"</f>
        <v>17.5220%</v>
      </c>
      <c r="AB4" t="s">
        <v>154</v>
      </c>
      <c r="AE4" t="str">
        <f>""</f>
        <v/>
      </c>
    </row>
    <row r="5" spans="1:31" x14ac:dyDescent="0.3">
      <c r="A5" s="1" t="s">
        <v>344</v>
      </c>
      <c r="B5" t="s">
        <v>113</v>
      </c>
      <c r="C5" t="s">
        <v>345</v>
      </c>
      <c r="D5" t="s">
        <v>128</v>
      </c>
      <c r="E5" t="s">
        <v>36</v>
      </c>
      <c r="F5" t="s">
        <v>37</v>
      </c>
      <c r="G5" t="str">
        <f>"00000"</f>
        <v>00000</v>
      </c>
      <c r="H5" t="s">
        <v>245</v>
      </c>
      <c r="I5" t="str">
        <f>"."</f>
        <v>.</v>
      </c>
      <c r="J5" t="str">
        <f>"-0.08"</f>
        <v>-0.08</v>
      </c>
      <c r="K5" t="str">
        <f>"001"</f>
        <v>001</v>
      </c>
      <c r="L5" t="str">
        <f>"CNOT3 p.P243fs"</f>
        <v>CNOT3 p.P243fs</v>
      </c>
      <c r="M5" t="str">
        <f>"NM_014516"</f>
        <v>NM_014516</v>
      </c>
      <c r="O5" t="s">
        <v>346</v>
      </c>
      <c r="P5" t="str">
        <f>"6%"</f>
        <v>6%</v>
      </c>
      <c r="Q5" t="str">
        <f>"-0.01"</f>
        <v>-0.01</v>
      </c>
      <c r="S5" t="s">
        <v>53</v>
      </c>
      <c r="T5" t="s">
        <v>347</v>
      </c>
      <c r="U5" t="str">
        <f>""</f>
        <v/>
      </c>
      <c r="V5" t="str">
        <f>"0.0025%"</f>
        <v>0.0025%</v>
      </c>
      <c r="W5" t="str">
        <f>""</f>
        <v/>
      </c>
      <c r="X5" t="str">
        <f>""</f>
        <v/>
      </c>
      <c r="Z5" t="str">
        <f>"13.1700%"</f>
        <v>13.1700%</v>
      </c>
      <c r="AA5" t="str">
        <f>"13.1470%"</f>
        <v>13.1470%</v>
      </c>
      <c r="AB5" t="s">
        <v>348</v>
      </c>
      <c r="AC5" t="s">
        <v>349</v>
      </c>
      <c r="AE5" t="str">
        <f>""</f>
        <v/>
      </c>
    </row>
    <row r="6" spans="1:31" x14ac:dyDescent="0.3">
      <c r="A6" s="1" t="s">
        <v>188</v>
      </c>
      <c r="B6" t="s">
        <v>88</v>
      </c>
      <c r="C6" t="s">
        <v>189</v>
      </c>
      <c r="D6" t="s">
        <v>35</v>
      </c>
      <c r="E6" t="s">
        <v>99</v>
      </c>
      <c r="F6" t="s">
        <v>100</v>
      </c>
      <c r="G6" t="str">
        <f>"10000"</f>
        <v>10000</v>
      </c>
      <c r="H6" t="s">
        <v>190</v>
      </c>
      <c r="I6" t="str">
        <f>"9%"</f>
        <v>9%</v>
      </c>
      <c r="J6" t="str">
        <f>"-0.01"</f>
        <v>-0.01</v>
      </c>
      <c r="K6" t="str">
        <f>"110"</f>
        <v>110</v>
      </c>
      <c r="L6" t="str">
        <f>"XPO1 c.591-2-&gt;T"</f>
        <v>XPO1 c.591-2-&gt;T</v>
      </c>
      <c r="M6" t="str">
        <f>"NM_003400"</f>
        <v>NM_003400</v>
      </c>
      <c r="O6" t="s">
        <v>191</v>
      </c>
      <c r="P6" t="str">
        <f>"11%"</f>
        <v>11%</v>
      </c>
      <c r="Q6" t="str">
        <f>"-0.01"</f>
        <v>-0.01</v>
      </c>
      <c r="R6" t="s">
        <v>192</v>
      </c>
      <c r="U6" t="str">
        <f>"8.6200%"</f>
        <v>8.6200%</v>
      </c>
      <c r="V6" t="str">
        <f>"9.9200%"</f>
        <v>9.9200%</v>
      </c>
      <c r="W6" t="str">
        <f>"4.7700%"</f>
        <v>4.7700%</v>
      </c>
      <c r="X6" t="str">
        <f>""</f>
        <v/>
      </c>
      <c r="Z6" t="str">
        <f>"32.6160%"</f>
        <v>32.6160%</v>
      </c>
      <c r="AA6" t="str">
        <f>"4.4430%"</f>
        <v>4.4430%</v>
      </c>
      <c r="AB6" t="s">
        <v>193</v>
      </c>
      <c r="AE6" t="str">
        <f>""</f>
        <v/>
      </c>
    </row>
    <row r="7" spans="1:31" x14ac:dyDescent="0.3">
      <c r="A7" s="1" t="s">
        <v>171</v>
      </c>
      <c r="B7" t="s">
        <v>47</v>
      </c>
      <c r="C7" t="s">
        <v>172</v>
      </c>
      <c r="D7" t="s">
        <v>82</v>
      </c>
      <c r="E7" t="s">
        <v>35</v>
      </c>
      <c r="F7" t="s">
        <v>100</v>
      </c>
      <c r="G7" t="str">
        <f>"10000"</f>
        <v>10000</v>
      </c>
      <c r="H7" t="s">
        <v>76</v>
      </c>
      <c r="I7" t="str">
        <f>"4%"</f>
        <v>4%</v>
      </c>
      <c r="J7" t="str">
        <f>"-0.51"</f>
        <v>-0.51</v>
      </c>
      <c r="K7" t="str">
        <f>"100"</f>
        <v>100</v>
      </c>
      <c r="L7" t="str">
        <f>"STAG2 c.1018-2A&gt;T"</f>
        <v>STAG2 c.1018-2A&gt;T</v>
      </c>
      <c r="M7" t="str">
        <f>"NM_001042751"</f>
        <v>NM_001042751</v>
      </c>
      <c r="O7" t="s">
        <v>173</v>
      </c>
      <c r="P7" t="str">
        <f>"10%"</f>
        <v>10%</v>
      </c>
      <c r="Q7" t="str">
        <f>"-0.55"</f>
        <v>-0.55</v>
      </c>
      <c r="R7" t="s">
        <v>174</v>
      </c>
      <c r="U7" t="str">
        <f>""</f>
        <v/>
      </c>
      <c r="V7" t="str">
        <f>"0.0500%"</f>
        <v>0.0500%</v>
      </c>
      <c r="W7" t="str">
        <f>""</f>
        <v/>
      </c>
      <c r="X7" t="str">
        <f>""</f>
        <v/>
      </c>
      <c r="Z7" t="str">
        <f>"18.3560%"</f>
        <v>18.3560%</v>
      </c>
      <c r="AA7" t="str">
        <f>""</f>
        <v/>
      </c>
      <c r="AB7" t="s">
        <v>175</v>
      </c>
      <c r="AE7" t="str">
        <f>"16.64"</f>
        <v>16.64</v>
      </c>
    </row>
    <row r="8" spans="1:31" x14ac:dyDescent="0.3">
      <c r="A8" s="1" t="s">
        <v>250</v>
      </c>
      <c r="B8" t="s">
        <v>33</v>
      </c>
      <c r="C8" t="s">
        <v>251</v>
      </c>
      <c r="D8" t="s">
        <v>252</v>
      </c>
      <c r="E8" t="s">
        <v>82</v>
      </c>
      <c r="F8" t="s">
        <v>37</v>
      </c>
      <c r="G8" t="str">
        <f>"00000"</f>
        <v>00000</v>
      </c>
      <c r="H8" t="s">
        <v>253</v>
      </c>
      <c r="I8" t="str">
        <f>"3%"</f>
        <v>3%</v>
      </c>
      <c r="J8" t="str">
        <f>"-0.01"</f>
        <v>-0.01</v>
      </c>
      <c r="K8" t="str">
        <f>"000"</f>
        <v>000</v>
      </c>
      <c r="L8" t="str">
        <f>"NF1 p.T1273fs"</f>
        <v>NF1 p.T1273fs</v>
      </c>
      <c r="M8" t="str">
        <f>"NM_001042492"</f>
        <v>NM_001042492</v>
      </c>
      <c r="O8" t="s">
        <v>245</v>
      </c>
      <c r="P8" t="str">
        <f>"."</f>
        <v>.</v>
      </c>
      <c r="Q8" t="str">
        <f>"0.00"</f>
        <v>0.00</v>
      </c>
      <c r="S8" t="s">
        <v>53</v>
      </c>
      <c r="T8" t="s">
        <v>254</v>
      </c>
      <c r="U8" t="str">
        <f>""</f>
        <v/>
      </c>
      <c r="V8" t="str">
        <f>""</f>
        <v/>
      </c>
      <c r="W8" t="str">
        <f>""</f>
        <v/>
      </c>
      <c r="X8" t="str">
        <f>""</f>
        <v/>
      </c>
      <c r="Z8" t="str">
        <f>""</f>
        <v/>
      </c>
      <c r="AA8" t="str">
        <f>""</f>
        <v/>
      </c>
      <c r="AB8" t="s">
        <v>255</v>
      </c>
      <c r="AC8" t="s">
        <v>256</v>
      </c>
      <c r="AD8" t="s">
        <v>257</v>
      </c>
      <c r="AE8" t="str">
        <f>""</f>
        <v/>
      </c>
    </row>
    <row r="9" spans="1:31" x14ac:dyDescent="0.3">
      <c r="A9" s="1" t="s">
        <v>350</v>
      </c>
      <c r="B9" t="s">
        <v>351</v>
      </c>
      <c r="C9" t="s">
        <v>352</v>
      </c>
      <c r="D9" t="s">
        <v>50</v>
      </c>
      <c r="E9" t="s">
        <v>35</v>
      </c>
      <c r="F9" t="s">
        <v>37</v>
      </c>
      <c r="G9" t="str">
        <f>"11000"</f>
        <v>11000</v>
      </c>
      <c r="H9" t="s">
        <v>353</v>
      </c>
      <c r="I9" t="str">
        <f>"52%"</f>
        <v>52%</v>
      </c>
      <c r="J9" t="str">
        <f>"-0.01"</f>
        <v>-0.01</v>
      </c>
      <c r="K9" t="str">
        <f>"110"</f>
        <v>110</v>
      </c>
      <c r="L9" t="str">
        <f>"MITF p.E26*"</f>
        <v>MITF p.E26*</v>
      </c>
      <c r="M9" t="str">
        <f>"NM_198159"</f>
        <v>NM_198159</v>
      </c>
      <c r="O9" t="s">
        <v>354</v>
      </c>
      <c r="P9" t="str">
        <f>"52%"</f>
        <v>52%</v>
      </c>
      <c r="Q9" t="str">
        <f>"-0.01"</f>
        <v>-0.01</v>
      </c>
      <c r="S9" t="s">
        <v>69</v>
      </c>
      <c r="T9" t="s">
        <v>355</v>
      </c>
      <c r="U9" t="str">
        <f>""</f>
        <v/>
      </c>
      <c r="V9" t="str">
        <f>"0.0011%"</f>
        <v>0.0011%</v>
      </c>
      <c r="W9" t="str">
        <f>""</f>
        <v/>
      </c>
      <c r="X9" t="str">
        <f>""</f>
        <v/>
      </c>
      <c r="Z9" t="str">
        <f>""</f>
        <v/>
      </c>
      <c r="AA9" t="str">
        <f>""</f>
        <v/>
      </c>
      <c r="AE9" t="str">
        <f>"40"</f>
        <v>40</v>
      </c>
    </row>
    <row r="10" spans="1:31" x14ac:dyDescent="0.3">
      <c r="A10" s="1" t="s">
        <v>119</v>
      </c>
      <c r="B10" t="s">
        <v>120</v>
      </c>
      <c r="C10" t="s">
        <v>121</v>
      </c>
      <c r="D10" t="s">
        <v>35</v>
      </c>
      <c r="E10" t="s">
        <v>99</v>
      </c>
      <c r="F10" t="s">
        <v>100</v>
      </c>
      <c r="G10" t="str">
        <f>"10000"</f>
        <v>10000</v>
      </c>
      <c r="H10" t="s">
        <v>122</v>
      </c>
      <c r="I10" t="str">
        <f>"8%"</f>
        <v>8%</v>
      </c>
      <c r="J10" t="str">
        <f>"0.01"</f>
        <v>0.01</v>
      </c>
      <c r="K10" t="str">
        <f>"100"</f>
        <v>100</v>
      </c>
      <c r="L10" t="str">
        <f>"FUBP1 c.121-2-&gt;T"</f>
        <v>FUBP1 c.121-2-&gt;T</v>
      </c>
      <c r="M10" t="str">
        <f>"NM_003902"</f>
        <v>NM_003902</v>
      </c>
      <c r="O10" t="s">
        <v>123</v>
      </c>
      <c r="P10" t="str">
        <f>"7%"</f>
        <v>7%</v>
      </c>
      <c r="Q10" t="str">
        <f>"-0.01"</f>
        <v>-0.01</v>
      </c>
      <c r="R10" t="s">
        <v>124</v>
      </c>
      <c r="U10" t="str">
        <f>"1.0100%"</f>
        <v>1.0100%</v>
      </c>
      <c r="V10" t="str">
        <f>"2.7200%"</f>
        <v>2.7200%</v>
      </c>
      <c r="W10" t="str">
        <f>"0.9400%"</f>
        <v>0.9400%</v>
      </c>
      <c r="X10" t="str">
        <f>""</f>
        <v/>
      </c>
      <c r="Y10" t="s">
        <v>125</v>
      </c>
      <c r="Z10" t="str">
        <f>"42.7390%"</f>
        <v>42.7390%</v>
      </c>
      <c r="AA10" t="str">
        <f>"0.0460%"</f>
        <v>0.0460%</v>
      </c>
      <c r="AE10" t="str">
        <f>""</f>
        <v/>
      </c>
    </row>
    <row r="11" spans="1:31" x14ac:dyDescent="0.3">
      <c r="A11" s="1" t="s">
        <v>356</v>
      </c>
      <c r="B11" t="s">
        <v>113</v>
      </c>
      <c r="C11" t="s">
        <v>357</v>
      </c>
      <c r="D11" t="s">
        <v>82</v>
      </c>
      <c r="E11" t="s">
        <v>358</v>
      </c>
      <c r="F11" t="s">
        <v>100</v>
      </c>
      <c r="G11" t="str">
        <f>"11100"</f>
        <v>11100</v>
      </c>
      <c r="H11" t="s">
        <v>359</v>
      </c>
      <c r="I11" t="str">
        <f>"100%"</f>
        <v>100%</v>
      </c>
      <c r="J11" t="str">
        <f>"-0.08"</f>
        <v>-0.08</v>
      </c>
      <c r="K11" t="str">
        <f>"111"</f>
        <v>111</v>
      </c>
      <c r="L11" t="str">
        <f>"KMT2B c.3059-1-&gt;G"</f>
        <v>KMT2B c.3059-1-&gt;G</v>
      </c>
      <c r="M11" t="str">
        <f>"NM_014727"</f>
        <v>NM_014727</v>
      </c>
      <c r="O11" t="s">
        <v>360</v>
      </c>
      <c r="P11" t="str">
        <f>"100%"</f>
        <v>100%</v>
      </c>
      <c r="Q11" t="str">
        <f>"-0.01"</f>
        <v>-0.01</v>
      </c>
      <c r="R11" t="s">
        <v>361</v>
      </c>
      <c r="U11" t="str">
        <f>"100.0000%"</f>
        <v>100.0000%</v>
      </c>
      <c r="V11" t="str">
        <f>"100.0000%"</f>
        <v>100.0000%</v>
      </c>
      <c r="W11" t="str">
        <f>"99.7400%"</f>
        <v>99.7400%</v>
      </c>
      <c r="X11" t="str">
        <f>"100.0000%"</f>
        <v>100.0000%</v>
      </c>
      <c r="Y11" t="s">
        <v>362</v>
      </c>
      <c r="Z11" t="str">
        <f>"99.8850%"</f>
        <v>99.8850%</v>
      </c>
      <c r="AA11" t="str">
        <f>"99.8850%"</f>
        <v>99.8850%</v>
      </c>
      <c r="AE11" t="str">
        <f>""</f>
        <v/>
      </c>
    </row>
    <row r="12" spans="1:31" x14ac:dyDescent="0.3">
      <c r="A12" s="1" t="s">
        <v>97</v>
      </c>
      <c r="B12" t="s">
        <v>88</v>
      </c>
      <c r="C12" t="s">
        <v>98</v>
      </c>
      <c r="D12" t="s">
        <v>35</v>
      </c>
      <c r="E12" t="s">
        <v>99</v>
      </c>
      <c r="F12" t="s">
        <v>100</v>
      </c>
      <c r="G12" t="str">
        <f>"10000"</f>
        <v>10000</v>
      </c>
      <c r="H12" t="s">
        <v>101</v>
      </c>
      <c r="I12" t="str">
        <f>"12%"</f>
        <v>12%</v>
      </c>
      <c r="J12" t="str">
        <f>"-0.01"</f>
        <v>-0.01</v>
      </c>
      <c r="K12" t="str">
        <f>"100"</f>
        <v>100</v>
      </c>
      <c r="L12" t="str">
        <f>"LRP1B c.4170-2-&gt;T"</f>
        <v>LRP1B c.4170-2-&gt;T</v>
      </c>
      <c r="M12" t="str">
        <f>"NM_018557"</f>
        <v>NM_018557</v>
      </c>
      <c r="O12" t="s">
        <v>102</v>
      </c>
      <c r="P12" t="str">
        <f>"6%"</f>
        <v>6%</v>
      </c>
      <c r="Q12" t="str">
        <f>"-0.01"</f>
        <v>-0.01</v>
      </c>
      <c r="R12" t="s">
        <v>103</v>
      </c>
      <c r="U12" t="str">
        <f>"3.1700%"</f>
        <v>3.1700%</v>
      </c>
      <c r="V12" t="str">
        <f>"8.0000%"</f>
        <v>8.0000%</v>
      </c>
      <c r="W12" t="str">
        <f>""</f>
        <v/>
      </c>
      <c r="X12" t="str">
        <f>""</f>
        <v/>
      </c>
      <c r="Y12" t="s">
        <v>104</v>
      </c>
      <c r="Z12" t="str">
        <f>"40.6780%"</f>
        <v>40.6780%</v>
      </c>
      <c r="AA12" t="str">
        <f>"5.1990%"</f>
        <v>5.1990%</v>
      </c>
      <c r="AE12" t="str">
        <f>""</f>
        <v/>
      </c>
    </row>
    <row r="13" spans="1:31" x14ac:dyDescent="0.3">
      <c r="A13" s="1" t="s">
        <v>133</v>
      </c>
      <c r="B13" t="s">
        <v>33</v>
      </c>
      <c r="C13" t="s">
        <v>134</v>
      </c>
      <c r="D13" t="s">
        <v>35</v>
      </c>
      <c r="E13" t="s">
        <v>99</v>
      </c>
      <c r="F13" t="s">
        <v>100</v>
      </c>
      <c r="G13" t="str">
        <f>"10000"</f>
        <v>10000</v>
      </c>
      <c r="H13" t="s">
        <v>135</v>
      </c>
      <c r="I13" t="str">
        <f>"3%"</f>
        <v>3%</v>
      </c>
      <c r="J13" t="str">
        <f>"0.01"</f>
        <v>0.01</v>
      </c>
      <c r="K13" t="str">
        <f>"100"</f>
        <v>100</v>
      </c>
      <c r="L13" t="str">
        <f>"YWHAE c.265-2-&gt;T"</f>
        <v>YWHAE c.265-2-&gt;T</v>
      </c>
      <c r="M13" t="str">
        <f>"NM_006761"</f>
        <v>NM_006761</v>
      </c>
      <c r="O13" t="s">
        <v>102</v>
      </c>
      <c r="P13" t="str">
        <f>"8%"</f>
        <v>8%</v>
      </c>
      <c r="Q13" t="str">
        <f>"0.03"</f>
        <v>0.03</v>
      </c>
      <c r="R13" t="s">
        <v>136</v>
      </c>
      <c r="U13" t="str">
        <f>"4.7600%"</f>
        <v>4.7600%</v>
      </c>
      <c r="V13" t="str">
        <f>"7.1400%"</f>
        <v>7.1400%</v>
      </c>
      <c r="W13" t="str">
        <f>"12.3500%"</f>
        <v>12.3500%</v>
      </c>
      <c r="X13" t="str">
        <f>"11.5415%"</f>
        <v>11.5415%</v>
      </c>
      <c r="Y13" t="s">
        <v>137</v>
      </c>
      <c r="Z13" t="str">
        <f>"24.8280%"</f>
        <v>24.8280%</v>
      </c>
      <c r="AA13" t="str">
        <f>"4.5810%"</f>
        <v>4.5810%</v>
      </c>
      <c r="AE13" t="str">
        <f>""</f>
        <v/>
      </c>
    </row>
    <row r="14" spans="1:31" x14ac:dyDescent="0.3">
      <c r="A14" s="1" t="s">
        <v>112</v>
      </c>
      <c r="B14" t="s">
        <v>113</v>
      </c>
      <c r="C14" t="s">
        <v>114</v>
      </c>
      <c r="D14" t="s">
        <v>35</v>
      </c>
      <c r="E14" t="s">
        <v>115</v>
      </c>
      <c r="F14" t="s">
        <v>37</v>
      </c>
      <c r="G14" t="str">
        <f>"10000"</f>
        <v>10000</v>
      </c>
      <c r="H14" t="s">
        <v>108</v>
      </c>
      <c r="I14" t="str">
        <f>"0%"</f>
        <v>0%</v>
      </c>
      <c r="J14" t="str">
        <f>"0.14"</f>
        <v>0.14</v>
      </c>
      <c r="K14" t="str">
        <f>"100"</f>
        <v>100</v>
      </c>
      <c r="L14" t="str">
        <f>"BRD4 c.2865delinsCC"</f>
        <v>BRD4 c.2865delinsCC</v>
      </c>
      <c r="M14" t="str">
        <f>"NM_058243"</f>
        <v>NM_058243</v>
      </c>
      <c r="O14" t="s">
        <v>116</v>
      </c>
      <c r="P14" t="str">
        <f>"6%"</f>
        <v>6%</v>
      </c>
      <c r="Q14" t="str">
        <f>"-0.04"</f>
        <v>-0.04</v>
      </c>
      <c r="S14" t="s">
        <v>117</v>
      </c>
      <c r="T14" t="s">
        <v>118</v>
      </c>
      <c r="U14" t="str">
        <f>""</f>
        <v/>
      </c>
      <c r="V14" t="str">
        <f>""</f>
        <v/>
      </c>
      <c r="W14" t="str">
        <f>""</f>
        <v/>
      </c>
      <c r="X14" t="str">
        <f>""</f>
        <v/>
      </c>
      <c r="Z14" t="str">
        <f>"0.0690%"</f>
        <v>0.0690%</v>
      </c>
      <c r="AA14" t="str">
        <f>""</f>
        <v/>
      </c>
      <c r="AE14" t="str">
        <f>""</f>
        <v/>
      </c>
    </row>
    <row r="15" spans="1:31" x14ac:dyDescent="0.3">
      <c r="A15" s="1" t="s">
        <v>112</v>
      </c>
      <c r="B15" t="s">
        <v>113</v>
      </c>
      <c r="C15" t="s">
        <v>114</v>
      </c>
      <c r="D15" t="s">
        <v>35</v>
      </c>
      <c r="E15" t="s">
        <v>138</v>
      </c>
      <c r="F15" t="s">
        <v>37</v>
      </c>
      <c r="G15" t="str">
        <f>"10000"</f>
        <v>10000</v>
      </c>
      <c r="H15" t="s">
        <v>108</v>
      </c>
      <c r="I15" t="str">
        <f>"2%"</f>
        <v>2%</v>
      </c>
      <c r="J15" t="str">
        <f>"0.14"</f>
        <v>0.14</v>
      </c>
      <c r="K15" t="str">
        <f>"100"</f>
        <v>100</v>
      </c>
      <c r="L15" t="str">
        <f>"BRD4 p.P955fs"</f>
        <v>BRD4 p.P955fs</v>
      </c>
      <c r="M15" t="str">
        <f>"NM_058243"</f>
        <v>NM_058243</v>
      </c>
      <c r="O15" t="s">
        <v>116</v>
      </c>
      <c r="P15" t="str">
        <f>"8%"</f>
        <v>8%</v>
      </c>
      <c r="Q15" t="str">
        <f>"-0.04"</f>
        <v>-0.04</v>
      </c>
      <c r="S15" t="s">
        <v>139</v>
      </c>
      <c r="T15" t="s">
        <v>140</v>
      </c>
      <c r="U15" t="str">
        <f>""</f>
        <v/>
      </c>
      <c r="V15" t="str">
        <f>""</f>
        <v/>
      </c>
      <c r="W15" t="str">
        <f>""</f>
        <v/>
      </c>
      <c r="X15" t="str">
        <f>""</f>
        <v/>
      </c>
      <c r="Z15" t="str">
        <f>"4.4660%"</f>
        <v>4.4660%</v>
      </c>
      <c r="AA15" t="str">
        <f>""</f>
        <v/>
      </c>
      <c r="AE15" t="str">
        <f>""</f>
        <v/>
      </c>
    </row>
    <row r="16" spans="1:31" x14ac:dyDescent="0.3">
      <c r="A16" s="1" t="s">
        <v>105</v>
      </c>
      <c r="B16" t="s">
        <v>106</v>
      </c>
      <c r="C16" t="s">
        <v>107</v>
      </c>
      <c r="D16" t="s">
        <v>82</v>
      </c>
      <c r="E16" t="s">
        <v>35</v>
      </c>
      <c r="F16" t="s">
        <v>100</v>
      </c>
      <c r="G16" t="str">
        <f>"10000"</f>
        <v>10000</v>
      </c>
      <c r="H16" t="s">
        <v>108</v>
      </c>
      <c r="I16" t="str">
        <f>"7%"</f>
        <v>7%</v>
      </c>
      <c r="J16" t="str">
        <f>"-0.00"</f>
        <v>-0.00</v>
      </c>
      <c r="K16" t="str">
        <f>"100"</f>
        <v>100</v>
      </c>
      <c r="L16" t="str">
        <f>"CHD1 c.2964+2T&gt;A"</f>
        <v>CHD1 c.2964+2T&gt;A</v>
      </c>
      <c r="M16" t="str">
        <f>"NM_001270"</f>
        <v>NM_001270</v>
      </c>
      <c r="O16" t="s">
        <v>109</v>
      </c>
      <c r="P16" t="str">
        <f>"6%"</f>
        <v>6%</v>
      </c>
      <c r="Q16" t="str">
        <f>"-0.01"</f>
        <v>-0.01</v>
      </c>
      <c r="R16" t="s">
        <v>110</v>
      </c>
      <c r="U16" t="str">
        <f>"0.0200%"</f>
        <v>0.0200%</v>
      </c>
      <c r="V16" t="str">
        <f>"0.1100%"</f>
        <v>0.1100%</v>
      </c>
      <c r="W16" t="str">
        <f>""</f>
        <v/>
      </c>
      <c r="X16" t="str">
        <f>""</f>
        <v/>
      </c>
      <c r="Y16" t="s">
        <v>111</v>
      </c>
      <c r="Z16" t="str">
        <f>"4.2370%"</f>
        <v>4.2370%</v>
      </c>
      <c r="AA16" t="str">
        <f>""</f>
        <v/>
      </c>
      <c r="AE16" t="str">
        <f>"15.36"</f>
        <v>15.36</v>
      </c>
    </row>
    <row r="17" spans="1:31" x14ac:dyDescent="0.3">
      <c r="A17" s="1" t="s">
        <v>363</v>
      </c>
      <c r="B17" t="s">
        <v>209</v>
      </c>
      <c r="C17" t="s">
        <v>364</v>
      </c>
      <c r="D17" t="s">
        <v>50</v>
      </c>
      <c r="E17" t="s">
        <v>82</v>
      </c>
      <c r="F17" t="s">
        <v>37</v>
      </c>
      <c r="G17" t="str">
        <f t="shared" ref="G17:G48" si="0">"11000"</f>
        <v>11000</v>
      </c>
      <c r="H17" t="s">
        <v>365</v>
      </c>
      <c r="I17" t="str">
        <f>"100%"</f>
        <v>100%</v>
      </c>
      <c r="J17" t="str">
        <f>"0.00"</f>
        <v>0.00</v>
      </c>
      <c r="K17" t="str">
        <f t="shared" ref="K17:K48" si="1">"110"</f>
        <v>110</v>
      </c>
      <c r="L17" t="str">
        <f>"MLH3"</f>
        <v>MLH3</v>
      </c>
      <c r="M17" t="str">
        <f>""</f>
        <v/>
      </c>
      <c r="O17" t="s">
        <v>366</v>
      </c>
      <c r="P17" t="str">
        <f>"100%"</f>
        <v>100%</v>
      </c>
      <c r="Q17" t="str">
        <f>"-0.00"</f>
        <v>-0.00</v>
      </c>
      <c r="S17" t="s">
        <v>40</v>
      </c>
      <c r="T17" t="s">
        <v>367</v>
      </c>
      <c r="U17" t="str">
        <f>"41.2600%"</f>
        <v>41.2600%</v>
      </c>
      <c r="V17" t="str">
        <f>"40.4500%"</f>
        <v>40.4500%</v>
      </c>
      <c r="W17" t="str">
        <f>"44.2600%"</f>
        <v>44.2600%</v>
      </c>
      <c r="X17" t="str">
        <f>"36.3818%"</f>
        <v>36.3818%</v>
      </c>
      <c r="Y17" t="s">
        <v>368</v>
      </c>
      <c r="Z17" t="str">
        <f>"39.8760%"</f>
        <v>39.8760%</v>
      </c>
      <c r="AA17" t="str">
        <f>"39.8990%"</f>
        <v>39.8990%</v>
      </c>
      <c r="AB17" t="s">
        <v>369</v>
      </c>
      <c r="AD17" t="s">
        <v>370</v>
      </c>
      <c r="AE17" t="str">
        <f>"3.146"</f>
        <v>3.146</v>
      </c>
    </row>
    <row r="18" spans="1:31" x14ac:dyDescent="0.3">
      <c r="A18" s="1" t="s">
        <v>371</v>
      </c>
      <c r="B18" t="s">
        <v>33</v>
      </c>
      <c r="C18" t="s">
        <v>372</v>
      </c>
      <c r="D18" t="s">
        <v>35</v>
      </c>
      <c r="E18" t="s">
        <v>36</v>
      </c>
      <c r="F18" t="s">
        <v>37</v>
      </c>
      <c r="G18" t="str">
        <f t="shared" si="0"/>
        <v>11000</v>
      </c>
      <c r="H18" t="s">
        <v>373</v>
      </c>
      <c r="I18" t="str">
        <f>"51%"</f>
        <v>51%</v>
      </c>
      <c r="J18" t="str">
        <f>"-0.43"</f>
        <v>-0.43</v>
      </c>
      <c r="K18" t="str">
        <f t="shared" si="1"/>
        <v>110</v>
      </c>
      <c r="L18" t="str">
        <f>"BRCA1 p.E1038G"</f>
        <v>BRCA1 p.E1038G</v>
      </c>
      <c r="M18" t="str">
        <f>"NM_007294"</f>
        <v>NM_007294</v>
      </c>
      <c r="O18" t="s">
        <v>374</v>
      </c>
      <c r="P18" t="str">
        <f>"49%"</f>
        <v>49%</v>
      </c>
      <c r="Q18" t="str">
        <f>"0.00"</f>
        <v>0.00</v>
      </c>
      <c r="S18" t="s">
        <v>40</v>
      </c>
      <c r="T18" t="s">
        <v>375</v>
      </c>
      <c r="U18" t="str">
        <f>"34.2900%"</f>
        <v>34.2900%</v>
      </c>
      <c r="V18" t="str">
        <f>"34.9000%"</f>
        <v>34.9000%</v>
      </c>
      <c r="W18" t="str">
        <f>"27.9000%"</f>
        <v>27.9000%</v>
      </c>
      <c r="X18" t="str">
        <f>"33.5663%"</f>
        <v>33.5663%</v>
      </c>
      <c r="Y18" t="s">
        <v>376</v>
      </c>
      <c r="Z18" t="str">
        <f>"32.9820%"</f>
        <v>32.9820%</v>
      </c>
      <c r="AA18" t="str">
        <f>"32.9820%"</f>
        <v>32.9820%</v>
      </c>
      <c r="AB18" t="s">
        <v>377</v>
      </c>
      <c r="AC18" t="s">
        <v>378</v>
      </c>
      <c r="AD18" t="s">
        <v>379</v>
      </c>
      <c r="AE18" t="str">
        <f>"11.99"</f>
        <v>11.99</v>
      </c>
    </row>
    <row r="19" spans="1:31" x14ac:dyDescent="0.3">
      <c r="A19" s="1" t="s">
        <v>380</v>
      </c>
      <c r="B19" t="s">
        <v>351</v>
      </c>
      <c r="C19" t="s">
        <v>381</v>
      </c>
      <c r="D19" t="s">
        <v>50</v>
      </c>
      <c r="E19" t="s">
        <v>82</v>
      </c>
      <c r="F19" t="s">
        <v>37</v>
      </c>
      <c r="G19" t="str">
        <f t="shared" si="0"/>
        <v>11000</v>
      </c>
      <c r="H19" t="s">
        <v>382</v>
      </c>
      <c r="I19" t="str">
        <f>"49%"</f>
        <v>49%</v>
      </c>
      <c r="J19" t="str">
        <f>"-0.01"</f>
        <v>-0.01</v>
      </c>
      <c r="K19" t="str">
        <f t="shared" si="1"/>
        <v>110</v>
      </c>
      <c r="L19" t="str">
        <f>"SETD2"</f>
        <v>SETD2</v>
      </c>
      <c r="M19" t="str">
        <f>""</f>
        <v/>
      </c>
      <c r="O19" t="s">
        <v>383</v>
      </c>
      <c r="P19" t="str">
        <f>"52%"</f>
        <v>52%</v>
      </c>
      <c r="Q19" t="str">
        <f>"-0.01"</f>
        <v>-0.01</v>
      </c>
      <c r="S19" t="s">
        <v>40</v>
      </c>
      <c r="T19" t="s">
        <v>384</v>
      </c>
      <c r="U19" t="str">
        <f>"53.4200%"</f>
        <v>53.4200%</v>
      </c>
      <c r="V19" t="str">
        <f>"53.9000%"</f>
        <v>53.9000%</v>
      </c>
      <c r="W19" t="str">
        <f>"47.1300%"</f>
        <v>47.1300%</v>
      </c>
      <c r="X19" t="str">
        <f>"46.9848%"</f>
        <v>46.9848%</v>
      </c>
      <c r="Y19" t="s">
        <v>385</v>
      </c>
      <c r="Z19" t="str">
        <f>"55.4280%"</f>
        <v>55.4280%</v>
      </c>
      <c r="AA19" t="str">
        <f>"55.4280%"</f>
        <v>55.4280%</v>
      </c>
      <c r="AB19" t="s">
        <v>386</v>
      </c>
      <c r="AC19" t="s">
        <v>387</v>
      </c>
      <c r="AD19" t="s">
        <v>388</v>
      </c>
      <c r="AE19" t="str">
        <f>"11.54"</f>
        <v>11.54</v>
      </c>
    </row>
    <row r="20" spans="1:31" x14ac:dyDescent="0.3">
      <c r="A20" s="1" t="s">
        <v>389</v>
      </c>
      <c r="B20" t="s">
        <v>33</v>
      </c>
      <c r="C20" t="s">
        <v>390</v>
      </c>
      <c r="D20" t="s">
        <v>50</v>
      </c>
      <c r="E20" t="s">
        <v>82</v>
      </c>
      <c r="F20" t="s">
        <v>37</v>
      </c>
      <c r="G20" t="str">
        <f t="shared" si="0"/>
        <v>11000</v>
      </c>
      <c r="H20" t="s">
        <v>391</v>
      </c>
      <c r="I20" t="str">
        <f>"50%"</f>
        <v>50%</v>
      </c>
      <c r="J20" t="str">
        <f>"-0.43"</f>
        <v>-0.43</v>
      </c>
      <c r="K20" t="str">
        <f t="shared" si="1"/>
        <v>110</v>
      </c>
      <c r="L20" t="str">
        <f>"BRCA1 p.P871L"</f>
        <v>BRCA1 p.P871L</v>
      </c>
      <c r="M20" t="str">
        <f>"NM_007294"</f>
        <v>NM_007294</v>
      </c>
      <c r="O20" t="s">
        <v>392</v>
      </c>
      <c r="P20" t="str">
        <f>"50%"</f>
        <v>50%</v>
      </c>
      <c r="Q20" t="str">
        <f>"0.00"</f>
        <v>0.00</v>
      </c>
      <c r="S20" t="s">
        <v>40</v>
      </c>
      <c r="T20" t="s">
        <v>393</v>
      </c>
      <c r="U20" t="str">
        <f>"41.0000%"</f>
        <v>41.0000%</v>
      </c>
      <c r="V20" t="str">
        <f>"40.3200%"</f>
        <v>40.3200%</v>
      </c>
      <c r="W20" t="str">
        <f>"49.3200%"</f>
        <v>49.3200%</v>
      </c>
      <c r="X20" t="str">
        <f>"54.3930%"</f>
        <v>54.3930%</v>
      </c>
      <c r="Y20" t="s">
        <v>394</v>
      </c>
      <c r="Z20" t="str">
        <f>"38.0210%"</f>
        <v>38.0210%</v>
      </c>
      <c r="AA20" t="str">
        <f>"37.9750%"</f>
        <v>37.9750%</v>
      </c>
      <c r="AB20" t="s">
        <v>395</v>
      </c>
      <c r="AC20" t="s">
        <v>396</v>
      </c>
      <c r="AD20" t="s">
        <v>397</v>
      </c>
      <c r="AE20" t="str">
        <f>"2.240"</f>
        <v>2.240</v>
      </c>
    </row>
    <row r="21" spans="1:31" x14ac:dyDescent="0.3">
      <c r="A21" s="1" t="s">
        <v>398</v>
      </c>
      <c r="B21" t="s">
        <v>320</v>
      </c>
      <c r="C21" t="s">
        <v>399</v>
      </c>
      <c r="D21" t="s">
        <v>50</v>
      </c>
      <c r="E21" t="s">
        <v>82</v>
      </c>
      <c r="F21" t="s">
        <v>37</v>
      </c>
      <c r="G21" t="str">
        <f t="shared" si="0"/>
        <v>11000</v>
      </c>
      <c r="H21" t="s">
        <v>400</v>
      </c>
      <c r="I21" t="str">
        <f>"51%"</f>
        <v>51%</v>
      </c>
      <c r="J21" t="str">
        <f>"-0.41"</f>
        <v>-0.41</v>
      </c>
      <c r="K21" t="str">
        <f t="shared" si="1"/>
        <v>110</v>
      </c>
      <c r="L21" t="str">
        <f>"TET2 p.V218M"</f>
        <v>TET2 p.V218M</v>
      </c>
      <c r="M21" t="str">
        <f>"NM_001127208"</f>
        <v>NM_001127208</v>
      </c>
      <c r="O21" t="s">
        <v>401</v>
      </c>
      <c r="P21" t="str">
        <f>"50%"</f>
        <v>50%</v>
      </c>
      <c r="Q21" t="str">
        <f>"-0.01"</f>
        <v>-0.01</v>
      </c>
      <c r="S21" t="s">
        <v>40</v>
      </c>
      <c r="T21" t="s">
        <v>402</v>
      </c>
      <c r="U21" t="str">
        <f>"5.4900%"</f>
        <v>5.4900%</v>
      </c>
      <c r="V21" t="str">
        <f>"5.0600%"</f>
        <v>5.0600%</v>
      </c>
      <c r="W21" t="str">
        <f>"11.0200%"</f>
        <v>11.0200%</v>
      </c>
      <c r="X21" t="str">
        <f>"10.3435%"</f>
        <v>10.3435%</v>
      </c>
      <c r="Y21" t="s">
        <v>403</v>
      </c>
      <c r="Z21" t="str">
        <f>"4.7180%"</f>
        <v>4.7180%</v>
      </c>
      <c r="AA21" t="str">
        <f>"4.6950%"</f>
        <v>4.6950%</v>
      </c>
      <c r="AB21" t="s">
        <v>404</v>
      </c>
      <c r="AC21" t="s">
        <v>405</v>
      </c>
      <c r="AD21" t="s">
        <v>406</v>
      </c>
      <c r="AE21" t="str">
        <f>"0.111"</f>
        <v>0.111</v>
      </c>
    </row>
    <row r="22" spans="1:31" x14ac:dyDescent="0.3">
      <c r="A22" s="1" t="s">
        <v>407</v>
      </c>
      <c r="B22" t="s">
        <v>33</v>
      </c>
      <c r="C22" t="s">
        <v>408</v>
      </c>
      <c r="D22" t="s">
        <v>50</v>
      </c>
      <c r="E22" t="s">
        <v>82</v>
      </c>
      <c r="F22" t="s">
        <v>37</v>
      </c>
      <c r="G22" t="str">
        <f t="shared" si="0"/>
        <v>11000</v>
      </c>
      <c r="H22" t="s">
        <v>409</v>
      </c>
      <c r="I22" t="str">
        <f>"41%"</f>
        <v>41%</v>
      </c>
      <c r="J22" t="str">
        <f>"0.01"</f>
        <v>0.01</v>
      </c>
      <c r="K22" t="str">
        <f t="shared" si="1"/>
        <v>110</v>
      </c>
      <c r="L22" t="str">
        <f>"NCOR1 p.S172L"</f>
        <v>NCOR1 p.S172L</v>
      </c>
      <c r="M22" t="str">
        <f>"NM_006311"</f>
        <v>NM_006311</v>
      </c>
      <c r="O22" t="s">
        <v>391</v>
      </c>
      <c r="P22" t="str">
        <f>"39%"</f>
        <v>39%</v>
      </c>
      <c r="Q22" t="str">
        <f>"0.03"</f>
        <v>0.03</v>
      </c>
      <c r="S22" t="s">
        <v>40</v>
      </c>
      <c r="T22" t="s">
        <v>410</v>
      </c>
      <c r="U22" t="str">
        <f>"47.3100%"</f>
        <v>47.3100%</v>
      </c>
      <c r="V22" t="str">
        <f>"36.8800%"</f>
        <v>36.8800%</v>
      </c>
      <c r="W22" t="str">
        <f>""</f>
        <v/>
      </c>
      <c r="X22" t="str">
        <f>""</f>
        <v/>
      </c>
      <c r="Y22" t="s">
        <v>411</v>
      </c>
      <c r="Z22" t="str">
        <f>"49.9540%"</f>
        <v>49.9540%</v>
      </c>
      <c r="AA22" t="str">
        <f>"49.9540%"</f>
        <v>49.9540%</v>
      </c>
      <c r="AB22" t="s">
        <v>412</v>
      </c>
      <c r="AC22" t="s">
        <v>413</v>
      </c>
      <c r="AE22" t="str">
        <f>"17.12"</f>
        <v>17.12</v>
      </c>
    </row>
    <row r="23" spans="1:31" x14ac:dyDescent="0.3">
      <c r="A23" s="1" t="s">
        <v>414</v>
      </c>
      <c r="B23" t="s">
        <v>33</v>
      </c>
      <c r="C23" t="s">
        <v>415</v>
      </c>
      <c r="D23" t="s">
        <v>35</v>
      </c>
      <c r="E23" t="s">
        <v>36</v>
      </c>
      <c r="F23" t="s">
        <v>37</v>
      </c>
      <c r="G23" t="str">
        <f t="shared" si="0"/>
        <v>11000</v>
      </c>
      <c r="H23" t="s">
        <v>416</v>
      </c>
      <c r="I23" t="str">
        <f>"51%"</f>
        <v>51%</v>
      </c>
      <c r="J23" t="str">
        <f>"-0.43"</f>
        <v>-0.43</v>
      </c>
      <c r="K23" t="str">
        <f t="shared" si="1"/>
        <v>110</v>
      </c>
      <c r="L23" t="str">
        <f>"BRCA1 p.K1183R"</f>
        <v>BRCA1 p.K1183R</v>
      </c>
      <c r="M23" t="str">
        <f>"NM_007294"</f>
        <v>NM_007294</v>
      </c>
      <c r="O23" t="s">
        <v>417</v>
      </c>
      <c r="P23" t="str">
        <f>"49%"</f>
        <v>49%</v>
      </c>
      <c r="Q23" t="str">
        <f>"0.00"</f>
        <v>0.00</v>
      </c>
      <c r="S23" t="s">
        <v>40</v>
      </c>
      <c r="T23" t="s">
        <v>418</v>
      </c>
      <c r="U23" t="str">
        <f>"34.9000%"</f>
        <v>34.9000%</v>
      </c>
      <c r="V23" t="str">
        <f>"35.3400%"</f>
        <v>35.3400%</v>
      </c>
      <c r="W23" t="str">
        <f>"29.5200%"</f>
        <v>29.5200%</v>
      </c>
      <c r="X23" t="str">
        <f>"35.2636%"</f>
        <v>35.2636%</v>
      </c>
      <c r="Y23" t="s">
        <v>419</v>
      </c>
      <c r="Z23" t="str">
        <f>"33.6010%"</f>
        <v>33.6010%</v>
      </c>
      <c r="AA23" t="str">
        <f>"33.5550%"</f>
        <v>33.5550%</v>
      </c>
      <c r="AB23" t="s">
        <v>420</v>
      </c>
      <c r="AC23" t="s">
        <v>421</v>
      </c>
      <c r="AD23" t="s">
        <v>422</v>
      </c>
      <c r="AE23" t="str">
        <f>"0.004"</f>
        <v>0.004</v>
      </c>
    </row>
    <row r="24" spans="1:31" x14ac:dyDescent="0.3">
      <c r="A24" s="1" t="s">
        <v>423</v>
      </c>
      <c r="B24" t="s">
        <v>320</v>
      </c>
      <c r="C24" t="s">
        <v>424</v>
      </c>
      <c r="D24" t="s">
        <v>82</v>
      </c>
      <c r="E24" t="s">
        <v>36</v>
      </c>
      <c r="F24" t="s">
        <v>37</v>
      </c>
      <c r="G24" t="str">
        <f t="shared" si="0"/>
        <v>11000</v>
      </c>
      <c r="H24" t="s">
        <v>425</v>
      </c>
      <c r="I24" t="str">
        <f>"49%"</f>
        <v>49%</v>
      </c>
      <c r="J24" t="str">
        <f>"-0.08"</f>
        <v>-0.08</v>
      </c>
      <c r="K24" t="str">
        <f t="shared" si="1"/>
        <v>110</v>
      </c>
      <c r="L24" t="str">
        <f>"KIT p.M541L"</f>
        <v>KIT p.M541L</v>
      </c>
      <c r="M24" t="str">
        <f>"NM_000222"</f>
        <v>NM_000222</v>
      </c>
      <c r="O24" t="s">
        <v>426</v>
      </c>
      <c r="P24" t="str">
        <f>"49%"</f>
        <v>49%</v>
      </c>
      <c r="Q24" t="str">
        <f t="shared" ref="Q24:Q29" si="2">"-0.01"</f>
        <v>-0.01</v>
      </c>
      <c r="S24" t="s">
        <v>40</v>
      </c>
      <c r="T24" t="s">
        <v>427</v>
      </c>
      <c r="U24" t="str">
        <f>"7.8900%"</f>
        <v>7.8900%</v>
      </c>
      <c r="V24" t="str">
        <f>"7.7200%"</f>
        <v>7.7200%</v>
      </c>
      <c r="W24" t="str">
        <f>"9.5500%"</f>
        <v>9.5500%</v>
      </c>
      <c r="X24" t="str">
        <f>"6.4497%"</f>
        <v>6.4497%</v>
      </c>
      <c r="Y24" t="s">
        <v>428</v>
      </c>
      <c r="Z24" t="str">
        <f>"8.8640%"</f>
        <v>8.8640%</v>
      </c>
      <c r="AA24" t="str">
        <f>"8.8640%"</f>
        <v>8.8640%</v>
      </c>
      <c r="AB24" t="s">
        <v>429</v>
      </c>
      <c r="AC24" t="s">
        <v>430</v>
      </c>
      <c r="AD24" t="s">
        <v>431</v>
      </c>
      <c r="AE24" t="str">
        <f>"6.691"</f>
        <v>6.691</v>
      </c>
    </row>
    <row r="25" spans="1:31" x14ac:dyDescent="0.3">
      <c r="A25" s="1" t="s">
        <v>432</v>
      </c>
      <c r="B25" t="s">
        <v>320</v>
      </c>
      <c r="C25" t="s">
        <v>433</v>
      </c>
      <c r="D25" t="s">
        <v>50</v>
      </c>
      <c r="E25" t="s">
        <v>82</v>
      </c>
      <c r="F25" t="s">
        <v>37</v>
      </c>
      <c r="G25" t="str">
        <f t="shared" si="0"/>
        <v>11000</v>
      </c>
      <c r="H25" t="s">
        <v>434</v>
      </c>
      <c r="I25" t="str">
        <f>"50%"</f>
        <v>50%</v>
      </c>
      <c r="J25" t="str">
        <f>"-0.19"</f>
        <v>-0.19</v>
      </c>
      <c r="K25" t="str">
        <f t="shared" si="1"/>
        <v>110</v>
      </c>
      <c r="L25" t="str">
        <f>"FAT1 p.A131V"</f>
        <v>FAT1 p.A131V</v>
      </c>
      <c r="M25" t="str">
        <f>"NM_005245"</f>
        <v>NM_005245</v>
      </c>
      <c r="O25" t="s">
        <v>435</v>
      </c>
      <c r="P25" t="str">
        <f>"51%"</f>
        <v>51%</v>
      </c>
      <c r="Q25" t="str">
        <f t="shared" si="2"/>
        <v>-0.01</v>
      </c>
      <c r="S25" t="s">
        <v>40</v>
      </c>
      <c r="T25" t="s">
        <v>436</v>
      </c>
      <c r="U25" t="str">
        <f>"17.9800%"</f>
        <v>17.9800%</v>
      </c>
      <c r="V25" t="str">
        <f>"17.5700%"</f>
        <v>17.5700%</v>
      </c>
      <c r="W25" t="str">
        <f>"20.4700%"</f>
        <v>20.4700%</v>
      </c>
      <c r="X25" t="str">
        <f>"26.1382%"</f>
        <v>26.1382%</v>
      </c>
      <c r="Y25" t="s">
        <v>437</v>
      </c>
      <c r="Z25" t="str">
        <f>"16.7200%"</f>
        <v>16.7200%</v>
      </c>
      <c r="AA25" t="str">
        <f>"16.7200%"</f>
        <v>16.7200%</v>
      </c>
      <c r="AB25" t="s">
        <v>438</v>
      </c>
      <c r="AC25" t="s">
        <v>439</v>
      </c>
      <c r="AE25" t="str">
        <f>"14.53"</f>
        <v>14.53</v>
      </c>
    </row>
    <row r="26" spans="1:31" x14ac:dyDescent="0.3">
      <c r="A26" s="1" t="s">
        <v>440</v>
      </c>
      <c r="B26" t="s">
        <v>351</v>
      </c>
      <c r="C26" t="s">
        <v>441</v>
      </c>
      <c r="D26" t="s">
        <v>82</v>
      </c>
      <c r="E26" t="s">
        <v>50</v>
      </c>
      <c r="F26" t="s">
        <v>37</v>
      </c>
      <c r="G26" t="str">
        <f t="shared" si="0"/>
        <v>11000</v>
      </c>
      <c r="H26" t="s">
        <v>442</v>
      </c>
      <c r="I26" t="str">
        <f>"48%"</f>
        <v>48%</v>
      </c>
      <c r="J26" t="str">
        <f>"0.02"</f>
        <v>0.02</v>
      </c>
      <c r="K26" t="str">
        <f t="shared" si="1"/>
        <v>110</v>
      </c>
      <c r="L26" t="str">
        <f>"MLH1 p.I219V"</f>
        <v>MLH1 p.I219V</v>
      </c>
      <c r="M26" t="str">
        <f>"NM_000249"</f>
        <v>NM_000249</v>
      </c>
      <c r="O26" t="s">
        <v>443</v>
      </c>
      <c r="P26" t="str">
        <f>"49%"</f>
        <v>49%</v>
      </c>
      <c r="Q26" t="str">
        <f t="shared" si="2"/>
        <v>-0.01</v>
      </c>
      <c r="S26" t="s">
        <v>40</v>
      </c>
      <c r="T26" t="s">
        <v>444</v>
      </c>
      <c r="U26" t="str">
        <f>"23.2500%"</f>
        <v>23.2500%</v>
      </c>
      <c r="V26" t="str">
        <f>"23.3800%"</f>
        <v>23.3800%</v>
      </c>
      <c r="W26" t="str">
        <f>"24.3000%"</f>
        <v>24.3000%</v>
      </c>
      <c r="X26" t="str">
        <f>"12.9593%"</f>
        <v>12.9593%</v>
      </c>
      <c r="Y26" t="s">
        <v>445</v>
      </c>
      <c r="Z26" t="str">
        <f>"24.0040%"</f>
        <v>24.0040%</v>
      </c>
      <c r="AA26" t="str">
        <f>"24.0040%"</f>
        <v>24.0040%</v>
      </c>
      <c r="AB26" t="s">
        <v>446</v>
      </c>
      <c r="AC26" t="s">
        <v>447</v>
      </c>
      <c r="AD26" t="s">
        <v>448</v>
      </c>
      <c r="AE26" t="str">
        <f>"14.01"</f>
        <v>14.01</v>
      </c>
    </row>
    <row r="27" spans="1:31" x14ac:dyDescent="0.3">
      <c r="A27" s="1" t="s">
        <v>449</v>
      </c>
      <c r="B27" t="s">
        <v>320</v>
      </c>
      <c r="C27" t="s">
        <v>450</v>
      </c>
      <c r="D27" t="s">
        <v>36</v>
      </c>
      <c r="E27" t="s">
        <v>50</v>
      </c>
      <c r="F27" t="s">
        <v>37</v>
      </c>
      <c r="G27" t="str">
        <f t="shared" si="0"/>
        <v>11000</v>
      </c>
      <c r="H27" t="s">
        <v>451</v>
      </c>
      <c r="I27" t="str">
        <f>"47%"</f>
        <v>47%</v>
      </c>
      <c r="J27" t="str">
        <f>"-0.19"</f>
        <v>-0.19</v>
      </c>
      <c r="K27" t="str">
        <f t="shared" si="1"/>
        <v>110</v>
      </c>
      <c r="L27" t="str">
        <f>"FAT1 p.V862L"</f>
        <v>FAT1 p.V862L</v>
      </c>
      <c r="M27" t="str">
        <f>"NM_005245"</f>
        <v>NM_005245</v>
      </c>
      <c r="O27" t="s">
        <v>452</v>
      </c>
      <c r="P27" t="str">
        <f>"48%"</f>
        <v>48%</v>
      </c>
      <c r="Q27" t="str">
        <f t="shared" si="2"/>
        <v>-0.01</v>
      </c>
      <c r="S27" t="s">
        <v>40</v>
      </c>
      <c r="T27" t="s">
        <v>453</v>
      </c>
      <c r="U27" t="str">
        <f>"74.6000%"</f>
        <v>74.6000%</v>
      </c>
      <c r="V27" t="str">
        <f>"74.2600%"</f>
        <v>74.2600%</v>
      </c>
      <c r="W27" t="str">
        <f>"77.5500%"</f>
        <v>77.5500%</v>
      </c>
      <c r="X27" t="str">
        <f>"68.9097%"</f>
        <v>68.9097%</v>
      </c>
      <c r="Y27" t="s">
        <v>454</v>
      </c>
      <c r="Z27" t="str">
        <f>"74.3240%"</f>
        <v>74.3240%</v>
      </c>
      <c r="AA27" t="str">
        <f>"74.3470%"</f>
        <v>74.3470%</v>
      </c>
      <c r="AB27" t="s">
        <v>455</v>
      </c>
      <c r="AC27" t="s">
        <v>456</v>
      </c>
      <c r="AE27" t="str">
        <f>"0.004"</f>
        <v>0.004</v>
      </c>
    </row>
    <row r="28" spans="1:31" x14ac:dyDescent="0.3">
      <c r="A28" s="1" t="s">
        <v>457</v>
      </c>
      <c r="B28" t="s">
        <v>351</v>
      </c>
      <c r="C28" t="s">
        <v>458</v>
      </c>
      <c r="D28" t="s">
        <v>82</v>
      </c>
      <c r="E28" t="s">
        <v>50</v>
      </c>
      <c r="F28" t="s">
        <v>37</v>
      </c>
      <c r="G28" t="str">
        <f t="shared" si="0"/>
        <v>11000</v>
      </c>
      <c r="H28" t="s">
        <v>459</v>
      </c>
      <c r="I28" t="str">
        <f>"49%"</f>
        <v>49%</v>
      </c>
      <c r="J28" t="str">
        <f>"0.01"</f>
        <v>0.01</v>
      </c>
      <c r="K28" t="str">
        <f t="shared" si="1"/>
        <v>110</v>
      </c>
      <c r="L28" t="str">
        <f>"ATR p.M211T"</f>
        <v>ATR p.M211T</v>
      </c>
      <c r="M28" t="str">
        <f>"NM_001184"</f>
        <v>NM_001184</v>
      </c>
      <c r="O28" t="s">
        <v>460</v>
      </c>
      <c r="P28" t="str">
        <f>"50%"</f>
        <v>50%</v>
      </c>
      <c r="Q28" t="str">
        <f t="shared" si="2"/>
        <v>-0.01</v>
      </c>
      <c r="S28" t="s">
        <v>40</v>
      </c>
      <c r="T28" t="s">
        <v>461</v>
      </c>
      <c r="U28" t="str">
        <f>"55.4000%"</f>
        <v>55.4000%</v>
      </c>
      <c r="V28" t="str">
        <f>"54.7500%"</f>
        <v>54.7500%</v>
      </c>
      <c r="W28" t="str">
        <f>"66.2300%"</f>
        <v>66.2300%</v>
      </c>
      <c r="X28" t="str">
        <f>"59.7444%"</f>
        <v>59.7444%</v>
      </c>
      <c r="Y28" t="s">
        <v>462</v>
      </c>
      <c r="Z28" t="str">
        <f>"55.0620%"</f>
        <v>55.0620%</v>
      </c>
      <c r="AA28" t="str">
        <f>"55.0160%"</f>
        <v>55.0160%</v>
      </c>
      <c r="AB28" t="s">
        <v>463</v>
      </c>
      <c r="AC28" t="s">
        <v>464</v>
      </c>
      <c r="AD28" t="s">
        <v>465</v>
      </c>
      <c r="AE28" t="str">
        <f>"0.013"</f>
        <v>0.013</v>
      </c>
    </row>
    <row r="29" spans="1:31" x14ac:dyDescent="0.3">
      <c r="A29" s="1" t="s">
        <v>466</v>
      </c>
      <c r="B29" t="s">
        <v>106</v>
      </c>
      <c r="C29" t="s">
        <v>467</v>
      </c>
      <c r="D29" t="s">
        <v>35</v>
      </c>
      <c r="E29" t="s">
        <v>82</v>
      </c>
      <c r="F29" t="s">
        <v>37</v>
      </c>
      <c r="G29" t="str">
        <f t="shared" si="0"/>
        <v>11000</v>
      </c>
      <c r="H29" t="s">
        <v>468</v>
      </c>
      <c r="I29" t="str">
        <f>"100%"</f>
        <v>100%</v>
      </c>
      <c r="J29" t="str">
        <f>"-0.28"</f>
        <v>-0.28</v>
      </c>
      <c r="K29" t="str">
        <f t="shared" si="1"/>
        <v>110</v>
      </c>
      <c r="L29" t="str">
        <f>"APC p.V1822D"</f>
        <v>APC p.V1822D</v>
      </c>
      <c r="M29" t="str">
        <f>"NM_001127510"</f>
        <v>NM_001127510</v>
      </c>
      <c r="O29" t="s">
        <v>469</v>
      </c>
      <c r="P29" t="str">
        <f>"100%"</f>
        <v>100%</v>
      </c>
      <c r="Q29" t="str">
        <f t="shared" si="2"/>
        <v>-0.01</v>
      </c>
      <c r="S29" t="s">
        <v>40</v>
      </c>
      <c r="T29" t="s">
        <v>470</v>
      </c>
      <c r="U29" t="str">
        <f>"79.8100%"</f>
        <v>79.8100%</v>
      </c>
      <c r="V29" t="str">
        <f>"79.3800%"</f>
        <v>79.3800%</v>
      </c>
      <c r="W29" t="str">
        <f>"82.6300%"</f>
        <v>82.6300%</v>
      </c>
      <c r="X29" t="str">
        <f>"86.5415%"</f>
        <v>86.5415%</v>
      </c>
      <c r="Y29" t="s">
        <v>471</v>
      </c>
      <c r="Z29" t="str">
        <f>"80.5770%"</f>
        <v>80.5770%</v>
      </c>
      <c r="AA29" t="str">
        <f>"80.4860%"</f>
        <v>80.4860%</v>
      </c>
      <c r="AB29" t="s">
        <v>472</v>
      </c>
      <c r="AC29" t="s">
        <v>473</v>
      </c>
      <c r="AD29" t="s">
        <v>474</v>
      </c>
      <c r="AE29" t="str">
        <f>"0.069"</f>
        <v>0.069</v>
      </c>
    </row>
    <row r="30" spans="1:31" x14ac:dyDescent="0.3">
      <c r="A30" s="1" t="s">
        <v>475</v>
      </c>
      <c r="B30" t="s">
        <v>209</v>
      </c>
      <c r="C30" t="s">
        <v>476</v>
      </c>
      <c r="D30" t="s">
        <v>36</v>
      </c>
      <c r="E30" t="s">
        <v>35</v>
      </c>
      <c r="F30" t="s">
        <v>37</v>
      </c>
      <c r="G30" t="str">
        <f t="shared" si="0"/>
        <v>11000</v>
      </c>
      <c r="H30" t="s">
        <v>477</v>
      </c>
      <c r="I30" t="str">
        <f>"48%"</f>
        <v>48%</v>
      </c>
      <c r="J30" t="str">
        <f>"0.00"</f>
        <v>0.00</v>
      </c>
      <c r="K30" t="str">
        <f t="shared" si="1"/>
        <v>110</v>
      </c>
      <c r="L30" t="str">
        <f>"HIF1A p.P582S"</f>
        <v>HIF1A p.P582S</v>
      </c>
      <c r="M30" t="str">
        <f>"NM_001530"</f>
        <v>NM_001530</v>
      </c>
      <c r="O30" t="s">
        <v>478</v>
      </c>
      <c r="P30" t="str">
        <f>"49%"</f>
        <v>49%</v>
      </c>
      <c r="Q30" t="str">
        <f>"-0.00"</f>
        <v>-0.00</v>
      </c>
      <c r="S30" t="s">
        <v>40</v>
      </c>
      <c r="T30" t="s">
        <v>479</v>
      </c>
      <c r="U30" t="str">
        <f>"8.9700%"</f>
        <v>8.9700%</v>
      </c>
      <c r="V30" t="str">
        <f>"8.8200%"</f>
        <v>8.8200%</v>
      </c>
      <c r="W30" t="str">
        <f>"8.7700%"</f>
        <v>8.7700%</v>
      </c>
      <c r="X30" t="str">
        <f>"7.3083%"</f>
        <v>7.3083%</v>
      </c>
      <c r="Y30" t="s">
        <v>480</v>
      </c>
      <c r="Z30" t="str">
        <f>"9.4140%"</f>
        <v>9.4140%</v>
      </c>
      <c r="AA30" t="str">
        <f>"9.4140%"</f>
        <v>9.4140%</v>
      </c>
      <c r="AB30" t="s">
        <v>481</v>
      </c>
      <c r="AC30" t="s">
        <v>482</v>
      </c>
      <c r="AE30" t="str">
        <f>"14.53"</f>
        <v>14.53</v>
      </c>
    </row>
    <row r="31" spans="1:31" x14ac:dyDescent="0.3">
      <c r="A31" s="1" t="s">
        <v>483</v>
      </c>
      <c r="B31" t="s">
        <v>106</v>
      </c>
      <c r="C31" t="s">
        <v>484</v>
      </c>
      <c r="D31" t="s">
        <v>50</v>
      </c>
      <c r="E31" t="s">
        <v>82</v>
      </c>
      <c r="F31" t="s">
        <v>37</v>
      </c>
      <c r="G31" t="str">
        <f t="shared" si="0"/>
        <v>11000</v>
      </c>
      <c r="H31" t="s">
        <v>485</v>
      </c>
      <c r="I31" t="str">
        <f>"51%"</f>
        <v>51%</v>
      </c>
      <c r="J31" t="str">
        <f>"-0.00"</f>
        <v>-0.00</v>
      </c>
      <c r="K31" t="str">
        <f t="shared" si="1"/>
        <v>110</v>
      </c>
      <c r="L31" t="str">
        <f>"MAP3K1 p.V906I"</f>
        <v>MAP3K1 p.V906I</v>
      </c>
      <c r="M31" t="str">
        <f>"NM_005921"</f>
        <v>NM_005921</v>
      </c>
      <c r="O31" t="s">
        <v>486</v>
      </c>
      <c r="P31" t="str">
        <f>"52%"</f>
        <v>52%</v>
      </c>
      <c r="Q31" t="str">
        <f>"-0.01"</f>
        <v>-0.01</v>
      </c>
      <c r="S31" t="s">
        <v>40</v>
      </c>
      <c r="T31" t="s">
        <v>487</v>
      </c>
      <c r="U31" t="str">
        <f>"76.4800%"</f>
        <v>76.4800%</v>
      </c>
      <c r="V31" t="str">
        <f>"75.8300%"</f>
        <v>75.8300%</v>
      </c>
      <c r="W31" t="str">
        <f>"79.8500%"</f>
        <v>79.8500%</v>
      </c>
      <c r="X31" t="str">
        <f>"70.8267%"</f>
        <v>70.8267%</v>
      </c>
      <c r="Y31" t="s">
        <v>488</v>
      </c>
      <c r="Z31" t="str">
        <f>"76.0880%"</f>
        <v>76.0880%</v>
      </c>
      <c r="AA31" t="str">
        <f>"76.1110%"</f>
        <v>76.1110%</v>
      </c>
      <c r="AB31" t="s">
        <v>489</v>
      </c>
      <c r="AC31" t="s">
        <v>490</v>
      </c>
      <c r="AD31" t="s">
        <v>491</v>
      </c>
      <c r="AE31" t="str">
        <f>"0.006"</f>
        <v>0.006</v>
      </c>
    </row>
    <row r="32" spans="1:31" x14ac:dyDescent="0.3">
      <c r="A32" s="1" t="s">
        <v>492</v>
      </c>
      <c r="B32" t="s">
        <v>320</v>
      </c>
      <c r="C32" t="s">
        <v>493</v>
      </c>
      <c r="D32" t="s">
        <v>50</v>
      </c>
      <c r="E32" t="s">
        <v>36</v>
      </c>
      <c r="F32" t="s">
        <v>37</v>
      </c>
      <c r="G32" t="str">
        <f t="shared" si="0"/>
        <v>11000</v>
      </c>
      <c r="H32" t="s">
        <v>323</v>
      </c>
      <c r="I32" t="str">
        <f>"48%"</f>
        <v>48%</v>
      </c>
      <c r="J32" t="str">
        <f>"-0.19"</f>
        <v>-0.19</v>
      </c>
      <c r="K32" t="str">
        <f t="shared" si="1"/>
        <v>110</v>
      </c>
      <c r="L32" t="str">
        <f>"FAT1 p.F614L"</f>
        <v>FAT1 p.F614L</v>
      </c>
      <c r="M32" t="str">
        <f>"NM_005245"</f>
        <v>NM_005245</v>
      </c>
      <c r="O32" t="s">
        <v>494</v>
      </c>
      <c r="P32" t="str">
        <f>"52%"</f>
        <v>52%</v>
      </c>
      <c r="Q32" t="str">
        <f>"-0.01"</f>
        <v>-0.01</v>
      </c>
      <c r="S32" t="s">
        <v>40</v>
      </c>
      <c r="T32" t="s">
        <v>495</v>
      </c>
      <c r="U32" t="str">
        <f>"74.7600%"</f>
        <v>74.7600%</v>
      </c>
      <c r="V32" t="str">
        <f>"74.3800%"</f>
        <v>74.3800%</v>
      </c>
      <c r="W32" t="str">
        <f>"78.0100%"</f>
        <v>78.0100%</v>
      </c>
      <c r="X32" t="str">
        <f>"69.0495%"</f>
        <v>69.0495%</v>
      </c>
      <c r="Y32" t="s">
        <v>496</v>
      </c>
      <c r="Z32" t="str">
        <f>"74.5530%"</f>
        <v>74.5530%</v>
      </c>
      <c r="AA32" t="str">
        <f>"74.5990%"</f>
        <v>74.5990%</v>
      </c>
      <c r="AB32" t="s">
        <v>497</v>
      </c>
      <c r="AC32" t="s">
        <v>498</v>
      </c>
      <c r="AE32" t="str">
        <f>"0.006"</f>
        <v>0.006</v>
      </c>
    </row>
    <row r="33" spans="1:31" x14ac:dyDescent="0.3">
      <c r="A33" s="1" t="s">
        <v>499</v>
      </c>
      <c r="B33" t="s">
        <v>106</v>
      </c>
      <c r="C33" t="s">
        <v>500</v>
      </c>
      <c r="D33" t="s">
        <v>50</v>
      </c>
      <c r="E33" t="s">
        <v>82</v>
      </c>
      <c r="F33" t="s">
        <v>37</v>
      </c>
      <c r="G33" t="str">
        <f t="shared" si="0"/>
        <v>11000</v>
      </c>
      <c r="H33" t="s">
        <v>501</v>
      </c>
      <c r="I33" t="str">
        <f>"49%"</f>
        <v>49%</v>
      </c>
      <c r="J33" t="str">
        <f>"-0.00"</f>
        <v>-0.00</v>
      </c>
      <c r="K33" t="str">
        <f t="shared" si="1"/>
        <v>110</v>
      </c>
      <c r="L33" t="str">
        <f>"MSH3 p.A1045T"</f>
        <v>MSH3 p.A1045T</v>
      </c>
      <c r="M33" t="str">
        <f>"NM_002439"</f>
        <v>NM_002439</v>
      </c>
      <c r="O33" t="s">
        <v>502</v>
      </c>
      <c r="P33" t="str">
        <f>"51%"</f>
        <v>51%</v>
      </c>
      <c r="Q33" t="str">
        <f>"-0.01"</f>
        <v>-0.01</v>
      </c>
      <c r="S33" t="s">
        <v>40</v>
      </c>
      <c r="T33" t="s">
        <v>503</v>
      </c>
      <c r="U33" t="str">
        <f>"73.0500%"</f>
        <v>73.0500%</v>
      </c>
      <c r="V33" t="str">
        <f>"73.0000%"</f>
        <v>73.0000%</v>
      </c>
      <c r="W33" t="str">
        <f>"69.4700%"</f>
        <v>69.4700%</v>
      </c>
      <c r="X33" t="str">
        <f>"72.0248%"</f>
        <v>72.0248%</v>
      </c>
      <c r="Y33" t="s">
        <v>504</v>
      </c>
      <c r="Z33" t="str">
        <f>"72.6980%"</f>
        <v>72.6980%</v>
      </c>
      <c r="AA33" t="str">
        <f>"72.6980%"</f>
        <v>72.6980%</v>
      </c>
      <c r="AB33" t="s">
        <v>505</v>
      </c>
      <c r="AC33" t="s">
        <v>506</v>
      </c>
      <c r="AE33" t="str">
        <f>"9.229"</f>
        <v>9.229</v>
      </c>
    </row>
    <row r="34" spans="1:31" x14ac:dyDescent="0.3">
      <c r="A34" s="1" t="s">
        <v>507</v>
      </c>
      <c r="B34" t="s">
        <v>320</v>
      </c>
      <c r="C34" t="s">
        <v>508</v>
      </c>
      <c r="D34" t="s">
        <v>82</v>
      </c>
      <c r="E34" t="s">
        <v>36</v>
      </c>
      <c r="F34" t="s">
        <v>37</v>
      </c>
      <c r="G34" t="str">
        <f t="shared" si="0"/>
        <v>11000</v>
      </c>
      <c r="H34" t="s">
        <v>509</v>
      </c>
      <c r="I34" t="str">
        <f>"47%"</f>
        <v>47%</v>
      </c>
      <c r="J34" t="str">
        <f>"0.19"</f>
        <v>0.19</v>
      </c>
      <c r="K34" t="str">
        <f t="shared" si="1"/>
        <v>110</v>
      </c>
      <c r="L34" t="str">
        <f>"FAT1 p.S3554A"</f>
        <v>FAT1 p.S3554A</v>
      </c>
      <c r="M34" t="str">
        <f>"NM_005245"</f>
        <v>NM_005245</v>
      </c>
      <c r="O34" t="s">
        <v>510</v>
      </c>
      <c r="P34" t="str">
        <f>"50%"</f>
        <v>50%</v>
      </c>
      <c r="Q34" t="str">
        <f>"-0.01"</f>
        <v>-0.01</v>
      </c>
      <c r="S34" t="s">
        <v>40</v>
      </c>
      <c r="T34" t="s">
        <v>511</v>
      </c>
      <c r="U34" t="str">
        <f>"42.7600%"</f>
        <v>42.7600%</v>
      </c>
      <c r="V34" t="str">
        <f>"43.0600%"</f>
        <v>43.0600%</v>
      </c>
      <c r="W34" t="str">
        <f>"47.1600%"</f>
        <v>47.1600%</v>
      </c>
      <c r="X34" t="str">
        <f>"51.2780%"</f>
        <v>51.2780%</v>
      </c>
      <c r="Y34" t="s">
        <v>512</v>
      </c>
      <c r="Z34" t="str">
        <f>"45.0070%"</f>
        <v>45.0070%</v>
      </c>
      <c r="AA34" t="str">
        <f>"44.9840%"</f>
        <v>44.9840%</v>
      </c>
      <c r="AB34" t="s">
        <v>513</v>
      </c>
      <c r="AC34" t="s">
        <v>514</v>
      </c>
      <c r="AE34" t="str">
        <f>"0.683"</f>
        <v>0.683</v>
      </c>
    </row>
    <row r="35" spans="1:31" x14ac:dyDescent="0.3">
      <c r="A35" s="1" t="s">
        <v>515</v>
      </c>
      <c r="B35" t="s">
        <v>33</v>
      </c>
      <c r="C35" t="s">
        <v>516</v>
      </c>
      <c r="D35" t="s">
        <v>35</v>
      </c>
      <c r="E35" t="s">
        <v>36</v>
      </c>
      <c r="F35" t="s">
        <v>37</v>
      </c>
      <c r="G35" t="str">
        <f t="shared" si="0"/>
        <v>11000</v>
      </c>
      <c r="H35" t="s">
        <v>517</v>
      </c>
      <c r="I35" t="str">
        <f>"48%"</f>
        <v>48%</v>
      </c>
      <c r="J35" t="str">
        <f>"-0.01"</f>
        <v>-0.01</v>
      </c>
      <c r="K35" t="str">
        <f t="shared" si="1"/>
        <v>110</v>
      </c>
      <c r="L35" t="str">
        <f>"BRCA1 p.S1613G"</f>
        <v>BRCA1 p.S1613G</v>
      </c>
      <c r="M35" t="str">
        <f>"NM_007294"</f>
        <v>NM_007294</v>
      </c>
      <c r="O35" t="s">
        <v>518</v>
      </c>
      <c r="P35" t="str">
        <f>"49%"</f>
        <v>49%</v>
      </c>
      <c r="Q35" t="str">
        <f>"0.00"</f>
        <v>0.00</v>
      </c>
      <c r="S35" t="s">
        <v>40</v>
      </c>
      <c r="T35" t="s">
        <v>519</v>
      </c>
      <c r="U35" t="str">
        <f>"34.9600%"</f>
        <v>34.9600%</v>
      </c>
      <c r="V35" t="str">
        <f>"35.4600%"</f>
        <v>35.4600%</v>
      </c>
      <c r="W35" t="str">
        <f>"29.8200%"</f>
        <v>29.8200%</v>
      </c>
      <c r="X35" t="str">
        <f>"35.5831%"</f>
        <v>35.5831%</v>
      </c>
      <c r="Y35" t="s">
        <v>520</v>
      </c>
      <c r="Z35" t="str">
        <f>"33.7380%"</f>
        <v>33.7380%</v>
      </c>
      <c r="AA35" t="str">
        <f>"33.6690%"</f>
        <v>33.6690%</v>
      </c>
      <c r="AB35" t="s">
        <v>521</v>
      </c>
      <c r="AC35" t="s">
        <v>522</v>
      </c>
      <c r="AD35" t="s">
        <v>523</v>
      </c>
      <c r="AE35" t="str">
        <f>"11.48"</f>
        <v>11.48</v>
      </c>
    </row>
    <row r="36" spans="1:31" x14ac:dyDescent="0.3">
      <c r="A36" s="1" t="s">
        <v>524</v>
      </c>
      <c r="B36" t="s">
        <v>33</v>
      </c>
      <c r="C36" t="s">
        <v>525</v>
      </c>
      <c r="D36" t="s">
        <v>36</v>
      </c>
      <c r="E36" t="s">
        <v>50</v>
      </c>
      <c r="F36" t="s">
        <v>37</v>
      </c>
      <c r="G36" t="str">
        <f t="shared" si="0"/>
        <v>11000</v>
      </c>
      <c r="H36" t="s">
        <v>526</v>
      </c>
      <c r="I36" t="str">
        <f>"37%"</f>
        <v>37%</v>
      </c>
      <c r="J36" t="str">
        <f>"0.01"</f>
        <v>0.01</v>
      </c>
      <c r="K36" t="str">
        <f t="shared" si="1"/>
        <v>110</v>
      </c>
      <c r="L36" t="str">
        <f>"NCOR1 p.K178N"</f>
        <v>NCOR1 p.K178N</v>
      </c>
      <c r="M36" t="str">
        <f>"NM_006311"</f>
        <v>NM_006311</v>
      </c>
      <c r="O36" t="s">
        <v>527</v>
      </c>
      <c r="P36" t="str">
        <f>"33%"</f>
        <v>33%</v>
      </c>
      <c r="Q36" t="str">
        <f>"0.03"</f>
        <v>0.03</v>
      </c>
      <c r="S36" t="s">
        <v>40</v>
      </c>
      <c r="T36" t="s">
        <v>528</v>
      </c>
      <c r="U36" t="str">
        <f>"42.7500%"</f>
        <v>42.7500%</v>
      </c>
      <c r="V36" t="str">
        <f>"19.4100%"</f>
        <v>19.4100%</v>
      </c>
      <c r="W36" t="str">
        <f>""</f>
        <v/>
      </c>
      <c r="X36" t="str">
        <f>""</f>
        <v/>
      </c>
      <c r="Y36" t="s">
        <v>529</v>
      </c>
      <c r="Z36" t="str">
        <f>"49.9770%"</f>
        <v>49.9770%</v>
      </c>
      <c r="AA36" t="str">
        <f>"49.9540%"</f>
        <v>49.9540%</v>
      </c>
      <c r="AB36" t="s">
        <v>530</v>
      </c>
      <c r="AC36" t="s">
        <v>531</v>
      </c>
      <c r="AE36" t="str">
        <f>"11.55"</f>
        <v>11.55</v>
      </c>
    </row>
    <row r="37" spans="1:31" x14ac:dyDescent="0.3">
      <c r="A37" s="1" t="s">
        <v>532</v>
      </c>
      <c r="B37" t="s">
        <v>283</v>
      </c>
      <c r="C37" t="s">
        <v>533</v>
      </c>
      <c r="D37" t="s">
        <v>82</v>
      </c>
      <c r="E37" t="s">
        <v>50</v>
      </c>
      <c r="F37" t="s">
        <v>37</v>
      </c>
      <c r="G37" t="str">
        <f t="shared" si="0"/>
        <v>11000</v>
      </c>
      <c r="H37" t="s">
        <v>534</v>
      </c>
      <c r="I37" t="str">
        <f>"47%"</f>
        <v>47%</v>
      </c>
      <c r="J37" t="str">
        <f>"0.05"</f>
        <v>0.05</v>
      </c>
      <c r="K37" t="str">
        <f t="shared" si="1"/>
        <v>110</v>
      </c>
      <c r="L37" t="str">
        <f>"IKZF1 p.R164G"</f>
        <v>IKZF1 p.R164G</v>
      </c>
      <c r="M37" t="str">
        <f>"NM_001291845"</f>
        <v>NM_001291845</v>
      </c>
      <c r="O37" t="s">
        <v>535</v>
      </c>
      <c r="P37" t="str">
        <f>"50%"</f>
        <v>50%</v>
      </c>
      <c r="Q37" t="str">
        <f>"0.01"</f>
        <v>0.01</v>
      </c>
      <c r="S37" t="s">
        <v>40</v>
      </c>
      <c r="T37" t="s">
        <v>536</v>
      </c>
      <c r="U37" t="str">
        <f>"68.6200%"</f>
        <v>68.6200%</v>
      </c>
      <c r="V37" t="str">
        <f>"69.0100%"</f>
        <v>69.0100%</v>
      </c>
      <c r="W37" t="str">
        <f>""</f>
        <v/>
      </c>
      <c r="X37" t="str">
        <f>"71.7652%"</f>
        <v>71.7652%</v>
      </c>
      <c r="Y37" t="s">
        <v>537</v>
      </c>
      <c r="Z37" t="str">
        <f>"67.7740%"</f>
        <v>67.7740%</v>
      </c>
      <c r="AA37" t="str">
        <f>"67.7740%"</f>
        <v>67.7740%</v>
      </c>
      <c r="AB37" t="s">
        <v>538</v>
      </c>
      <c r="AE37" t="str">
        <f>"1.528"</f>
        <v>1.528</v>
      </c>
    </row>
    <row r="38" spans="1:31" x14ac:dyDescent="0.3">
      <c r="A38" s="1" t="s">
        <v>539</v>
      </c>
      <c r="B38" t="s">
        <v>540</v>
      </c>
      <c r="C38" t="s">
        <v>541</v>
      </c>
      <c r="D38" t="s">
        <v>50</v>
      </c>
      <c r="E38" t="s">
        <v>82</v>
      </c>
      <c r="F38" t="s">
        <v>37</v>
      </c>
      <c r="G38" t="str">
        <f t="shared" si="0"/>
        <v>11000</v>
      </c>
      <c r="H38" t="s">
        <v>542</v>
      </c>
      <c r="I38" t="str">
        <f>"47%"</f>
        <v>47%</v>
      </c>
      <c r="J38" t="str">
        <f>"-0.01"</f>
        <v>-0.01</v>
      </c>
      <c r="K38" t="str">
        <f t="shared" si="1"/>
        <v>110</v>
      </c>
      <c r="L38" t="str">
        <f>"FLT3 p.T227M"</f>
        <v>FLT3 p.T227M</v>
      </c>
      <c r="M38" t="str">
        <f>"NM_004119"</f>
        <v>NM_004119</v>
      </c>
      <c r="O38" t="s">
        <v>543</v>
      </c>
      <c r="P38" t="str">
        <f>"47%"</f>
        <v>47%</v>
      </c>
      <c r="Q38" t="str">
        <f>"-0.02"</f>
        <v>-0.02</v>
      </c>
      <c r="S38" t="s">
        <v>40</v>
      </c>
      <c r="T38" t="s">
        <v>544</v>
      </c>
      <c r="U38" t="str">
        <f>"59.8800%"</f>
        <v>59.8800%</v>
      </c>
      <c r="V38" t="str">
        <f>"60.5200%"</f>
        <v>60.5200%</v>
      </c>
      <c r="W38" t="str">
        <f>"52.2900%"</f>
        <v>52.2900%</v>
      </c>
      <c r="X38" t="str">
        <f>"55.8706%"</f>
        <v>55.8706%</v>
      </c>
      <c r="Y38" t="s">
        <v>545</v>
      </c>
      <c r="Z38" t="str">
        <f>"62.1160%"</f>
        <v>62.1160%</v>
      </c>
      <c r="AA38" t="str">
        <f>"62.0020%"</f>
        <v>62.0020%</v>
      </c>
      <c r="AB38" t="s">
        <v>546</v>
      </c>
      <c r="AC38" t="s">
        <v>547</v>
      </c>
      <c r="AD38" t="s">
        <v>548</v>
      </c>
      <c r="AE38" t="str">
        <f>"12.45"</f>
        <v>12.45</v>
      </c>
    </row>
    <row r="39" spans="1:31" x14ac:dyDescent="0.3">
      <c r="A39" s="1" t="s">
        <v>549</v>
      </c>
      <c r="B39" t="s">
        <v>33</v>
      </c>
      <c r="C39" t="s">
        <v>550</v>
      </c>
      <c r="D39" t="s">
        <v>36</v>
      </c>
      <c r="E39" t="s">
        <v>82</v>
      </c>
      <c r="F39" t="s">
        <v>37</v>
      </c>
      <c r="G39" t="str">
        <f t="shared" si="0"/>
        <v>11000</v>
      </c>
      <c r="H39" t="s">
        <v>551</v>
      </c>
      <c r="I39" t="str">
        <f>"17%"</f>
        <v>17%</v>
      </c>
      <c r="J39" t="str">
        <f>"0.01"</f>
        <v>0.01</v>
      </c>
      <c r="K39" t="str">
        <f t="shared" si="1"/>
        <v>110</v>
      </c>
      <c r="L39" t="str">
        <f>"NCOR1 p.G5V"</f>
        <v>NCOR1 p.G5V</v>
      </c>
      <c r="M39" t="str">
        <f>"NM_006311"</f>
        <v>NM_006311</v>
      </c>
      <c r="O39" t="s">
        <v>552</v>
      </c>
      <c r="P39" t="str">
        <f>"15%"</f>
        <v>15%</v>
      </c>
      <c r="Q39" t="str">
        <f>"0.03"</f>
        <v>0.03</v>
      </c>
      <c r="S39" t="s">
        <v>40</v>
      </c>
      <c r="T39" t="s">
        <v>553</v>
      </c>
      <c r="U39" t="str">
        <f>"38.4100%"</f>
        <v>38.4100%</v>
      </c>
      <c r="V39" t="str">
        <f>"24.5700%"</f>
        <v>24.5700%</v>
      </c>
      <c r="W39" t="str">
        <f>""</f>
        <v/>
      </c>
      <c r="X39" t="str">
        <f>""</f>
        <v/>
      </c>
      <c r="Y39" t="s">
        <v>554</v>
      </c>
      <c r="Z39" t="str">
        <f>"49.8170%"</f>
        <v>49.8170%</v>
      </c>
      <c r="AA39" t="str">
        <f>"48.8550%"</f>
        <v>48.8550%</v>
      </c>
      <c r="AB39" t="s">
        <v>555</v>
      </c>
      <c r="AC39" t="s">
        <v>556</v>
      </c>
      <c r="AE39" t="str">
        <f>"14.63"</f>
        <v>14.63</v>
      </c>
    </row>
    <row r="40" spans="1:31" x14ac:dyDescent="0.3">
      <c r="A40" s="1" t="s">
        <v>557</v>
      </c>
      <c r="B40" t="s">
        <v>120</v>
      </c>
      <c r="C40" t="s">
        <v>558</v>
      </c>
      <c r="D40" t="s">
        <v>35</v>
      </c>
      <c r="E40" t="s">
        <v>36</v>
      </c>
      <c r="F40" t="s">
        <v>37</v>
      </c>
      <c r="G40" t="str">
        <f t="shared" si="0"/>
        <v>11000</v>
      </c>
      <c r="H40" t="s">
        <v>559</v>
      </c>
      <c r="I40" t="str">
        <f>"49%"</f>
        <v>49%</v>
      </c>
      <c r="J40" t="str">
        <f>"0.01"</f>
        <v>0.01</v>
      </c>
      <c r="K40" t="str">
        <f t="shared" si="1"/>
        <v>110</v>
      </c>
      <c r="L40" t="str">
        <f>"SPEN p.L1091P"</f>
        <v>SPEN p.L1091P</v>
      </c>
      <c r="M40" t="str">
        <f>"NM_015001"</f>
        <v>NM_015001</v>
      </c>
      <c r="O40" t="s">
        <v>560</v>
      </c>
      <c r="P40" t="str">
        <f>"48%"</f>
        <v>48%</v>
      </c>
      <c r="Q40" t="str">
        <f>"-0.01"</f>
        <v>-0.01</v>
      </c>
      <c r="S40" t="s">
        <v>40</v>
      </c>
      <c r="T40" t="s">
        <v>561</v>
      </c>
      <c r="U40" t="str">
        <f>"61.5400%"</f>
        <v>61.5400%</v>
      </c>
      <c r="V40" t="str">
        <f>"61.5900%"</f>
        <v>61.5900%</v>
      </c>
      <c r="W40" t="str">
        <f>"68.7800%"</f>
        <v>68.7800%</v>
      </c>
      <c r="X40" t="str">
        <f>"64.8962%"</f>
        <v>64.8962%</v>
      </c>
      <c r="Y40" t="s">
        <v>562</v>
      </c>
      <c r="Z40" t="str">
        <f>"58.2680%"</f>
        <v>58.2680%</v>
      </c>
      <c r="AA40" t="str">
        <f>"58.2460%"</f>
        <v>58.2460%</v>
      </c>
      <c r="AB40" t="s">
        <v>563</v>
      </c>
      <c r="AC40" t="s">
        <v>564</v>
      </c>
      <c r="AE40" t="str">
        <f>"0.188"</f>
        <v>0.188</v>
      </c>
    </row>
    <row r="41" spans="1:31" x14ac:dyDescent="0.3">
      <c r="A41" s="1" t="s">
        <v>565</v>
      </c>
      <c r="B41" t="s">
        <v>65</v>
      </c>
      <c r="C41" t="s">
        <v>566</v>
      </c>
      <c r="D41" t="s">
        <v>50</v>
      </c>
      <c r="E41" t="s">
        <v>82</v>
      </c>
      <c r="F41" t="s">
        <v>37</v>
      </c>
      <c r="G41" t="str">
        <f t="shared" si="0"/>
        <v>11000</v>
      </c>
      <c r="H41" t="s">
        <v>567</v>
      </c>
      <c r="I41" t="str">
        <f>"46%"</f>
        <v>46%</v>
      </c>
      <c r="J41" t="str">
        <f>"0.02"</f>
        <v>0.02</v>
      </c>
      <c r="K41" t="str">
        <f t="shared" si="1"/>
        <v>110</v>
      </c>
      <c r="L41" t="str">
        <f>"SYNE1"</f>
        <v>SYNE1</v>
      </c>
      <c r="M41" t="str">
        <f>""</f>
        <v/>
      </c>
      <c r="O41" t="s">
        <v>568</v>
      </c>
      <c r="P41" t="str">
        <f>"50%"</f>
        <v>50%</v>
      </c>
      <c r="Q41" t="str">
        <f>"-0.00"</f>
        <v>-0.00</v>
      </c>
      <c r="S41" t="s">
        <v>40</v>
      </c>
      <c r="T41" t="s">
        <v>569</v>
      </c>
      <c r="U41" t="str">
        <f>"23.7300%"</f>
        <v>23.7300%</v>
      </c>
      <c r="V41" t="str">
        <f>"23.5000%"</f>
        <v>23.5000%</v>
      </c>
      <c r="W41" t="str">
        <f>"19.8400%"</f>
        <v>19.8400%</v>
      </c>
      <c r="X41" t="str">
        <f>"24.9002%"</f>
        <v>24.9002%</v>
      </c>
      <c r="Y41" t="s">
        <v>570</v>
      </c>
      <c r="Z41" t="str">
        <f>"25.5150%"</f>
        <v>25.5150%</v>
      </c>
      <c r="AA41" t="str">
        <f>"25.4920%"</f>
        <v>25.4920%</v>
      </c>
      <c r="AB41" t="s">
        <v>571</v>
      </c>
      <c r="AC41" t="s">
        <v>572</v>
      </c>
      <c r="AD41" t="s">
        <v>573</v>
      </c>
      <c r="AE41" t="str">
        <f>"4.484"</f>
        <v>4.484</v>
      </c>
    </row>
    <row r="42" spans="1:31" x14ac:dyDescent="0.3">
      <c r="A42" s="1" t="s">
        <v>574</v>
      </c>
      <c r="B42" t="s">
        <v>330</v>
      </c>
      <c r="C42" t="s">
        <v>575</v>
      </c>
      <c r="D42" t="s">
        <v>35</v>
      </c>
      <c r="E42" t="s">
        <v>36</v>
      </c>
      <c r="F42" t="s">
        <v>37</v>
      </c>
      <c r="G42" t="str">
        <f t="shared" si="0"/>
        <v>11000</v>
      </c>
      <c r="H42" t="s">
        <v>576</v>
      </c>
      <c r="I42" t="str">
        <f>"100%"</f>
        <v>100%</v>
      </c>
      <c r="J42" t="str">
        <f>"0.05"</f>
        <v>0.05</v>
      </c>
      <c r="K42" t="str">
        <f t="shared" si="1"/>
        <v>110</v>
      </c>
      <c r="L42" t="str">
        <f>"ASXL1 p.L815P"</f>
        <v>ASXL1 p.L815P</v>
      </c>
      <c r="M42" t="str">
        <f>"NM_015338"</f>
        <v>NM_015338</v>
      </c>
      <c r="O42" t="s">
        <v>577</v>
      </c>
      <c r="P42" t="str">
        <f>"100%"</f>
        <v>100%</v>
      </c>
      <c r="Q42" t="str">
        <f>"-0.01"</f>
        <v>-0.01</v>
      </c>
      <c r="S42" t="s">
        <v>40</v>
      </c>
      <c r="T42" t="s">
        <v>578</v>
      </c>
      <c r="U42" t="str">
        <f>"100.0000%"</f>
        <v>100.0000%</v>
      </c>
      <c r="V42" t="str">
        <f>"100.0000%"</f>
        <v>100.0000%</v>
      </c>
      <c r="W42" t="str">
        <f>"99.9900%"</f>
        <v>99.9900%</v>
      </c>
      <c r="X42" t="str">
        <f>"100.0000%"</f>
        <v>100.0000%</v>
      </c>
      <c r="Y42" t="s">
        <v>579</v>
      </c>
      <c r="Z42" t="str">
        <f>"99.9080%"</f>
        <v>99.9080%</v>
      </c>
      <c r="AA42" t="str">
        <f>"99.8630%"</f>
        <v>99.8630%</v>
      </c>
      <c r="AB42" t="s">
        <v>580</v>
      </c>
      <c r="AC42" t="s">
        <v>581</v>
      </c>
      <c r="AD42" t="s">
        <v>582</v>
      </c>
      <c r="AE42" t="str">
        <f>"7.496"</f>
        <v>7.496</v>
      </c>
    </row>
    <row r="43" spans="1:31" x14ac:dyDescent="0.3">
      <c r="A43" s="1" t="s">
        <v>583</v>
      </c>
      <c r="B43" t="s">
        <v>320</v>
      </c>
      <c r="C43" t="s">
        <v>584</v>
      </c>
      <c r="D43" t="s">
        <v>35</v>
      </c>
      <c r="E43" t="s">
        <v>36</v>
      </c>
      <c r="F43" t="s">
        <v>37</v>
      </c>
      <c r="G43" t="str">
        <f t="shared" si="0"/>
        <v>11000</v>
      </c>
      <c r="H43" t="s">
        <v>585</v>
      </c>
      <c r="I43" t="str">
        <f>"49%"</f>
        <v>49%</v>
      </c>
      <c r="J43" t="str">
        <f>"-0.19"</f>
        <v>-0.19</v>
      </c>
      <c r="K43" t="str">
        <f t="shared" si="1"/>
        <v>110</v>
      </c>
      <c r="L43" t="str">
        <f>"FAT1 p.R1064G"</f>
        <v>FAT1 p.R1064G</v>
      </c>
      <c r="M43" t="str">
        <f>"NM_005245"</f>
        <v>NM_005245</v>
      </c>
      <c r="O43" t="s">
        <v>586</v>
      </c>
      <c r="P43" t="str">
        <f>"50%"</f>
        <v>50%</v>
      </c>
      <c r="Q43" t="str">
        <f>"-0.01"</f>
        <v>-0.01</v>
      </c>
      <c r="S43" t="s">
        <v>40</v>
      </c>
      <c r="T43" t="s">
        <v>587</v>
      </c>
      <c r="U43" t="str">
        <f>"76.0900%"</f>
        <v>76.0900%</v>
      </c>
      <c r="V43" t="str">
        <f>"75.5100%"</f>
        <v>75.5100%</v>
      </c>
      <c r="W43" t="str">
        <f>"82.7200%"</f>
        <v>82.7200%</v>
      </c>
      <c r="X43" t="str">
        <f>"74.5807%"</f>
        <v>74.5807%</v>
      </c>
      <c r="Y43" t="s">
        <v>588</v>
      </c>
      <c r="Z43" t="str">
        <f>"75.6300%"</f>
        <v>75.6300%</v>
      </c>
      <c r="AA43" t="str">
        <f>"75.6530%"</f>
        <v>75.6530%</v>
      </c>
      <c r="AB43" t="s">
        <v>589</v>
      </c>
      <c r="AC43" t="s">
        <v>590</v>
      </c>
      <c r="AE43" t="str">
        <f>"3.914"</f>
        <v>3.914</v>
      </c>
    </row>
    <row r="44" spans="1:31" x14ac:dyDescent="0.3">
      <c r="A44" s="1" t="s">
        <v>591</v>
      </c>
      <c r="B44" t="s">
        <v>65</v>
      </c>
      <c r="C44" t="s">
        <v>592</v>
      </c>
      <c r="D44" t="s">
        <v>36</v>
      </c>
      <c r="E44" t="s">
        <v>35</v>
      </c>
      <c r="F44" t="s">
        <v>37</v>
      </c>
      <c r="G44" t="str">
        <f t="shared" si="0"/>
        <v>11000</v>
      </c>
      <c r="H44" t="s">
        <v>593</v>
      </c>
      <c r="I44" t="str">
        <f>"47%"</f>
        <v>47%</v>
      </c>
      <c r="J44" t="str">
        <f>"-0.00"</f>
        <v>-0.00</v>
      </c>
      <c r="K44" t="str">
        <f t="shared" si="1"/>
        <v>110</v>
      </c>
      <c r="L44" t="str">
        <f>"ROS1 p.D2213N"</f>
        <v>ROS1 p.D2213N</v>
      </c>
      <c r="M44" t="str">
        <f>"NM_002944"</f>
        <v>NM_002944</v>
      </c>
      <c r="O44" t="s">
        <v>594</v>
      </c>
      <c r="P44" t="str">
        <f>"47%"</f>
        <v>47%</v>
      </c>
      <c r="Q44" t="str">
        <f>"-0.00"</f>
        <v>-0.00</v>
      </c>
      <c r="S44" t="s">
        <v>40</v>
      </c>
      <c r="T44" t="s">
        <v>595</v>
      </c>
      <c r="U44" t="str">
        <f>"20.8400%"</f>
        <v>20.8400%</v>
      </c>
      <c r="V44" t="str">
        <f>"20.3600%"</f>
        <v>20.3600%</v>
      </c>
      <c r="W44" t="str">
        <f>"19.4800%"</f>
        <v>19.4800%</v>
      </c>
      <c r="X44" t="str">
        <f>"13.6382%"</f>
        <v>13.6382%</v>
      </c>
      <c r="Y44" t="s">
        <v>596</v>
      </c>
      <c r="Z44" t="str">
        <f>"21.1640%"</f>
        <v>21.1640%</v>
      </c>
      <c r="AA44" t="str">
        <f>"21.1640%"</f>
        <v>21.1640%</v>
      </c>
      <c r="AB44" t="s">
        <v>597</v>
      </c>
      <c r="AC44" t="s">
        <v>598</v>
      </c>
      <c r="AE44" t="str">
        <f>"13.60"</f>
        <v>13.60</v>
      </c>
    </row>
    <row r="45" spans="1:31" x14ac:dyDescent="0.3">
      <c r="A45" s="1" t="s">
        <v>599</v>
      </c>
      <c r="B45" t="s">
        <v>33</v>
      </c>
      <c r="C45" t="s">
        <v>600</v>
      </c>
      <c r="D45" t="s">
        <v>36</v>
      </c>
      <c r="E45" t="s">
        <v>82</v>
      </c>
      <c r="F45" t="s">
        <v>37</v>
      </c>
      <c r="G45" t="str">
        <f t="shared" si="0"/>
        <v>11000</v>
      </c>
      <c r="H45" t="s">
        <v>601</v>
      </c>
      <c r="I45" t="str">
        <f>"52%"</f>
        <v>52%</v>
      </c>
      <c r="J45" t="str">
        <f>"-0.01"</f>
        <v>-0.01</v>
      </c>
      <c r="K45" t="str">
        <f t="shared" si="1"/>
        <v>110</v>
      </c>
      <c r="L45" t="str">
        <f>"ERBB2 p.P8T"</f>
        <v>ERBB2 p.P8T</v>
      </c>
      <c r="M45" t="str">
        <f>"NM_001289936"</f>
        <v>NM_001289936</v>
      </c>
      <c r="O45" t="s">
        <v>602</v>
      </c>
      <c r="P45" t="str">
        <f>"51%"</f>
        <v>51%</v>
      </c>
      <c r="Q45" t="str">
        <f>"0.00"</f>
        <v>0.00</v>
      </c>
      <c r="S45" t="s">
        <v>40</v>
      </c>
      <c r="T45" t="s">
        <v>603</v>
      </c>
      <c r="U45" t="str">
        <f>"17.6200%"</f>
        <v>17.6200%</v>
      </c>
      <c r="V45" t="str">
        <f>"10.8200%"</f>
        <v>10.8200%</v>
      </c>
      <c r="W45" t="str">
        <f>""</f>
        <v/>
      </c>
      <c r="X45" t="str">
        <f>"6.5895%"</f>
        <v>6.5895%</v>
      </c>
      <c r="Y45" t="s">
        <v>604</v>
      </c>
      <c r="Z45" t="str">
        <f>"10.2610%"</f>
        <v>10.2610%</v>
      </c>
      <c r="AA45" t="str">
        <f>"10.2610%"</f>
        <v>10.2610%</v>
      </c>
      <c r="AB45" t="s">
        <v>605</v>
      </c>
      <c r="AD45" t="s">
        <v>606</v>
      </c>
      <c r="AE45" t="str">
        <f>"2.468"</f>
        <v>2.468</v>
      </c>
    </row>
    <row r="46" spans="1:31" x14ac:dyDescent="0.3">
      <c r="A46" s="1" t="s">
        <v>607</v>
      </c>
      <c r="B46" t="s">
        <v>330</v>
      </c>
      <c r="C46" t="s">
        <v>608</v>
      </c>
      <c r="D46" t="s">
        <v>82</v>
      </c>
      <c r="E46" t="s">
        <v>35</v>
      </c>
      <c r="F46" t="s">
        <v>37</v>
      </c>
      <c r="G46" t="str">
        <f t="shared" si="0"/>
        <v>11000</v>
      </c>
      <c r="H46" t="s">
        <v>609</v>
      </c>
      <c r="I46" t="str">
        <f>"48%"</f>
        <v>48%</v>
      </c>
      <c r="J46" t="str">
        <f>"0.05"</f>
        <v>0.05</v>
      </c>
      <c r="K46" t="str">
        <f t="shared" si="1"/>
        <v>110</v>
      </c>
      <c r="L46" t="str">
        <f>"AURKA p.F31I"</f>
        <v>AURKA p.F31I</v>
      </c>
      <c r="M46" t="str">
        <f>"NM_198433"</f>
        <v>NM_198433</v>
      </c>
      <c r="O46" t="s">
        <v>610</v>
      </c>
      <c r="P46" t="str">
        <f>"48%"</f>
        <v>48%</v>
      </c>
      <c r="Q46" t="str">
        <f>"-0.01"</f>
        <v>-0.01</v>
      </c>
      <c r="S46" t="s">
        <v>40</v>
      </c>
      <c r="T46" t="s">
        <v>611</v>
      </c>
      <c r="U46" t="str">
        <f>"27.3500%"</f>
        <v>27.3500%</v>
      </c>
      <c r="V46" t="str">
        <f>"27.6900%"</f>
        <v>27.6900%</v>
      </c>
      <c r="W46" t="str">
        <f>"18.8200%"</f>
        <v>18.8200%</v>
      </c>
      <c r="X46" t="str">
        <f>"30.9704%"</f>
        <v>30.9704%</v>
      </c>
      <c r="Y46" t="s">
        <v>612</v>
      </c>
      <c r="Z46" t="str">
        <f>"29.0200%"</f>
        <v>29.0200%</v>
      </c>
      <c r="AA46" t="str">
        <f>"29.0200%"</f>
        <v>29.0200%</v>
      </c>
      <c r="AB46" t="s">
        <v>613</v>
      </c>
      <c r="AC46" t="s">
        <v>614</v>
      </c>
      <c r="AD46" t="s">
        <v>615</v>
      </c>
      <c r="AE46" t="str">
        <f>"1.983"</f>
        <v>1.983</v>
      </c>
    </row>
    <row r="47" spans="1:31" x14ac:dyDescent="0.3">
      <c r="A47" s="1" t="s">
        <v>616</v>
      </c>
      <c r="B47" t="s">
        <v>283</v>
      </c>
      <c r="C47" t="s">
        <v>617</v>
      </c>
      <c r="D47" t="s">
        <v>36</v>
      </c>
      <c r="E47" t="s">
        <v>50</v>
      </c>
      <c r="F47" t="s">
        <v>37</v>
      </c>
      <c r="G47" t="str">
        <f t="shared" si="0"/>
        <v>11000</v>
      </c>
      <c r="H47" t="s">
        <v>618</v>
      </c>
      <c r="I47" t="str">
        <f>"48%"</f>
        <v>48%</v>
      </c>
      <c r="J47" t="str">
        <f>"0.09"</f>
        <v>0.09</v>
      </c>
      <c r="K47" t="str">
        <f t="shared" si="1"/>
        <v>110</v>
      </c>
      <c r="L47" t="str">
        <f>"EZH2 p.D185H"</f>
        <v>EZH2 p.D185H</v>
      </c>
      <c r="M47" t="str">
        <f>"NM_004456"</f>
        <v>NM_004456</v>
      </c>
      <c r="O47" t="s">
        <v>619</v>
      </c>
      <c r="P47" t="str">
        <f>"47%"</f>
        <v>47%</v>
      </c>
      <c r="Q47" t="str">
        <f>"-0.02"</f>
        <v>-0.02</v>
      </c>
      <c r="S47" t="s">
        <v>40</v>
      </c>
      <c r="T47" t="s">
        <v>620</v>
      </c>
      <c r="U47" t="str">
        <f>"7.8600%"</f>
        <v>7.8600%</v>
      </c>
      <c r="V47" t="str">
        <f>"7.8100%"</f>
        <v>7.8100%</v>
      </c>
      <c r="W47" t="str">
        <f>"6.0400%"</f>
        <v>6.0400%</v>
      </c>
      <c r="X47" t="str">
        <f>"7.9872%"</f>
        <v>7.9872%</v>
      </c>
      <c r="Y47" t="s">
        <v>621</v>
      </c>
      <c r="Z47" t="str">
        <f>"8.8180%"</f>
        <v>8.8180%</v>
      </c>
      <c r="AA47" t="str">
        <f>"8.8180%"</f>
        <v>8.8180%</v>
      </c>
      <c r="AB47" t="s">
        <v>622</v>
      </c>
      <c r="AC47" t="s">
        <v>623</v>
      </c>
      <c r="AD47" t="s">
        <v>624</v>
      </c>
      <c r="AE47" t="str">
        <f>"19.43"</f>
        <v>19.43</v>
      </c>
    </row>
    <row r="48" spans="1:31" x14ac:dyDescent="0.3">
      <c r="A48" s="1" t="s">
        <v>625</v>
      </c>
      <c r="B48" t="s">
        <v>626</v>
      </c>
      <c r="C48" t="s">
        <v>627</v>
      </c>
      <c r="D48" t="s">
        <v>36</v>
      </c>
      <c r="E48" t="s">
        <v>50</v>
      </c>
      <c r="F48" t="s">
        <v>37</v>
      </c>
      <c r="G48" t="str">
        <f t="shared" si="0"/>
        <v>11000</v>
      </c>
      <c r="H48" t="s">
        <v>628</v>
      </c>
      <c r="I48" t="str">
        <f>"47%"</f>
        <v>47%</v>
      </c>
      <c r="J48" t="str">
        <f>"0.05"</f>
        <v>0.05</v>
      </c>
      <c r="K48" t="str">
        <f t="shared" si="1"/>
        <v>110</v>
      </c>
      <c r="L48" t="str">
        <f>"NBN p.E185Q"</f>
        <v>NBN p.E185Q</v>
      </c>
      <c r="M48" t="str">
        <f>"NM_002485"</f>
        <v>NM_002485</v>
      </c>
      <c r="O48" t="s">
        <v>339</v>
      </c>
      <c r="P48" t="str">
        <f>"44%"</f>
        <v>44%</v>
      </c>
      <c r="Q48" t="str">
        <f>"-0.00"</f>
        <v>-0.00</v>
      </c>
      <c r="S48" t="s">
        <v>40</v>
      </c>
      <c r="T48" t="s">
        <v>629</v>
      </c>
      <c r="U48" t="str">
        <f>"34.5300%"</f>
        <v>34.5300%</v>
      </c>
      <c r="V48" t="str">
        <f>"34.7200%"</f>
        <v>34.7200%</v>
      </c>
      <c r="W48" t="str">
        <f>"28.6600%"</f>
        <v>28.6600%</v>
      </c>
      <c r="X48" t="str">
        <f>"35.7029%"</f>
        <v>35.7029%</v>
      </c>
      <c r="Y48" t="s">
        <v>630</v>
      </c>
      <c r="Z48" t="str">
        <f>"33.6690%"</f>
        <v>33.6690%</v>
      </c>
      <c r="AA48" t="str">
        <f>"33.6920%"</f>
        <v>33.6920%</v>
      </c>
      <c r="AB48" t="s">
        <v>631</v>
      </c>
      <c r="AC48" t="s">
        <v>632</v>
      </c>
      <c r="AD48" t="s">
        <v>633</v>
      </c>
      <c r="AE48" t="str">
        <f>"3.805"</f>
        <v>3.805</v>
      </c>
    </row>
    <row r="49" spans="1:31" x14ac:dyDescent="0.3">
      <c r="A49" s="1" t="s">
        <v>634</v>
      </c>
      <c r="B49" t="s">
        <v>33</v>
      </c>
      <c r="C49" t="s">
        <v>635</v>
      </c>
      <c r="D49" t="s">
        <v>36</v>
      </c>
      <c r="E49" t="s">
        <v>35</v>
      </c>
      <c r="F49" t="s">
        <v>37</v>
      </c>
      <c r="G49" t="str">
        <f>"01000"</f>
        <v>01000</v>
      </c>
      <c r="H49" t="s">
        <v>586</v>
      </c>
      <c r="I49" t="str">
        <f>"36%"</f>
        <v>36%</v>
      </c>
      <c r="J49" t="str">
        <f>"0.01"</f>
        <v>0.01</v>
      </c>
      <c r="K49" t="str">
        <f>"010"</f>
        <v>010</v>
      </c>
      <c r="L49" t="str">
        <f>"NCOR1 p.E191K"</f>
        <v>NCOR1 p.E191K</v>
      </c>
      <c r="M49" t="str">
        <f>"NM_006311"</f>
        <v>NM_006311</v>
      </c>
      <c r="O49" t="s">
        <v>636</v>
      </c>
      <c r="P49" t="str">
        <f>"31%"</f>
        <v>31%</v>
      </c>
      <c r="Q49" t="str">
        <f>"0.03"</f>
        <v>0.03</v>
      </c>
      <c r="S49" t="s">
        <v>40</v>
      </c>
      <c r="T49" t="s">
        <v>637</v>
      </c>
      <c r="U49" t="str">
        <f>"42.7700%"</f>
        <v>42.7700%</v>
      </c>
      <c r="V49" t="str">
        <f>"26.8900%"</f>
        <v>26.8900%</v>
      </c>
      <c r="W49" t="str">
        <f>""</f>
        <v/>
      </c>
      <c r="X49" t="str">
        <f>""</f>
        <v/>
      </c>
      <c r="Y49" t="s">
        <v>638</v>
      </c>
      <c r="Z49" t="str">
        <f>"49.9310%"</f>
        <v>49.9310%</v>
      </c>
      <c r="AA49" t="str">
        <f>"49.8630%"</f>
        <v>49.8630%</v>
      </c>
      <c r="AB49" t="s">
        <v>639</v>
      </c>
      <c r="AC49" t="s">
        <v>640</v>
      </c>
      <c r="AE49" t="str">
        <f>"15.82"</f>
        <v>15.82</v>
      </c>
    </row>
    <row r="50" spans="1:31" x14ac:dyDescent="0.3">
      <c r="A50" s="1" t="s">
        <v>641</v>
      </c>
      <c r="B50" t="s">
        <v>540</v>
      </c>
      <c r="C50" t="s">
        <v>642</v>
      </c>
      <c r="D50" t="s">
        <v>50</v>
      </c>
      <c r="E50" t="s">
        <v>36</v>
      </c>
      <c r="F50" t="s">
        <v>37</v>
      </c>
      <c r="G50" t="str">
        <f>"11000"</f>
        <v>11000</v>
      </c>
      <c r="H50" t="s">
        <v>643</v>
      </c>
      <c r="I50" t="str">
        <f>"100%"</f>
        <v>100%</v>
      </c>
      <c r="J50" t="str">
        <f>"-0.02"</f>
        <v>-0.02</v>
      </c>
      <c r="K50" t="str">
        <f>"110"</f>
        <v>110</v>
      </c>
      <c r="L50" t="str">
        <f>"DIS3 p.T326R"</f>
        <v>DIS3 p.T326R</v>
      </c>
      <c r="M50" t="str">
        <f>"NM_014953"</f>
        <v>NM_014953</v>
      </c>
      <c r="O50" t="s">
        <v>644</v>
      </c>
      <c r="P50" t="str">
        <f>"100%"</f>
        <v>100%</v>
      </c>
      <c r="Q50" t="str">
        <f>"-0.02"</f>
        <v>-0.02</v>
      </c>
      <c r="S50" t="s">
        <v>40</v>
      </c>
      <c r="T50" t="s">
        <v>645</v>
      </c>
      <c r="U50" t="str">
        <f>"40.0700%"</f>
        <v>40.0700%</v>
      </c>
      <c r="V50" t="str">
        <f>"38.6600%"</f>
        <v>38.6600%</v>
      </c>
      <c r="W50" t="str">
        <f>"50.3900%"</f>
        <v>50.3900%</v>
      </c>
      <c r="X50" t="str">
        <f>"43.2708%"</f>
        <v>43.2708%</v>
      </c>
      <c r="Y50" t="s">
        <v>646</v>
      </c>
      <c r="Z50" t="str">
        <f>"37.8610%"</f>
        <v>37.8610%</v>
      </c>
      <c r="AA50" t="str">
        <f>"37.8610%"</f>
        <v>37.8610%</v>
      </c>
      <c r="AB50" t="s">
        <v>647</v>
      </c>
      <c r="AC50" t="s">
        <v>648</v>
      </c>
      <c r="AE50" t="str">
        <f>"7.510"</f>
        <v>7.510</v>
      </c>
    </row>
    <row r="51" spans="1:31" x14ac:dyDescent="0.3">
      <c r="A51" s="1" t="s">
        <v>649</v>
      </c>
      <c r="B51" t="s">
        <v>120</v>
      </c>
      <c r="C51" t="s">
        <v>650</v>
      </c>
      <c r="D51" t="s">
        <v>82</v>
      </c>
      <c r="E51" t="s">
        <v>50</v>
      </c>
      <c r="F51" t="s">
        <v>37</v>
      </c>
      <c r="G51" t="str">
        <f>"11000"</f>
        <v>11000</v>
      </c>
      <c r="H51" t="s">
        <v>401</v>
      </c>
      <c r="I51" t="str">
        <f>"51%"</f>
        <v>51%</v>
      </c>
      <c r="J51" t="str">
        <f>"0.01"</f>
        <v>0.01</v>
      </c>
      <c r="K51" t="str">
        <f>"110"</f>
        <v>110</v>
      </c>
      <c r="L51" t="str">
        <f>"SPEN p.N2360D"</f>
        <v>SPEN p.N2360D</v>
      </c>
      <c r="M51" t="str">
        <f>"NM_015001"</f>
        <v>NM_015001</v>
      </c>
      <c r="O51" t="s">
        <v>651</v>
      </c>
      <c r="P51" t="str">
        <f>"47%"</f>
        <v>47%</v>
      </c>
      <c r="Q51" t="str">
        <f>"-0.01"</f>
        <v>-0.01</v>
      </c>
      <c r="S51" t="s">
        <v>40</v>
      </c>
      <c r="T51" t="s">
        <v>652</v>
      </c>
      <c r="U51" t="str">
        <f>"61.4600%"</f>
        <v>61.4600%</v>
      </c>
      <c r="V51" t="str">
        <f>"61.6000%"</f>
        <v>61.6000%</v>
      </c>
      <c r="W51" t="str">
        <f>"68.9600%"</f>
        <v>68.9600%</v>
      </c>
      <c r="X51" t="str">
        <f>"64.8962%"</f>
        <v>64.8962%</v>
      </c>
      <c r="Y51" t="s">
        <v>653</v>
      </c>
      <c r="Z51" t="str">
        <f>"58.6580%"</f>
        <v>58.6580%</v>
      </c>
      <c r="AA51" t="str">
        <f>"58.5890%"</f>
        <v>58.5890%</v>
      </c>
      <c r="AB51" t="s">
        <v>654</v>
      </c>
      <c r="AC51" t="s">
        <v>655</v>
      </c>
      <c r="AE51" t="str">
        <f>"2.912"</f>
        <v>2.912</v>
      </c>
    </row>
    <row r="52" spans="1:31" x14ac:dyDescent="0.3">
      <c r="A52" s="1" t="s">
        <v>656</v>
      </c>
      <c r="B52" t="s">
        <v>88</v>
      </c>
      <c r="C52" t="s">
        <v>657</v>
      </c>
      <c r="D52" t="s">
        <v>35</v>
      </c>
      <c r="E52" t="s">
        <v>36</v>
      </c>
      <c r="F52" t="s">
        <v>37</v>
      </c>
      <c r="G52" t="str">
        <f>"11000"</f>
        <v>11000</v>
      </c>
      <c r="H52" t="s">
        <v>658</v>
      </c>
      <c r="I52" t="str">
        <f>"48%"</f>
        <v>48%</v>
      </c>
      <c r="J52" t="str">
        <f>"0.01"</f>
        <v>0.01</v>
      </c>
      <c r="K52" t="str">
        <f>"110"</f>
        <v>110</v>
      </c>
      <c r="L52" t="str">
        <f>"ALK p.K1491R"</f>
        <v>ALK p.K1491R</v>
      </c>
      <c r="M52" t="str">
        <f>"NM_004304"</f>
        <v>NM_004304</v>
      </c>
      <c r="O52" t="s">
        <v>659</v>
      </c>
      <c r="P52" t="str">
        <f>"46%"</f>
        <v>46%</v>
      </c>
      <c r="Q52" t="str">
        <f>"-0.01"</f>
        <v>-0.01</v>
      </c>
      <c r="S52" t="s">
        <v>40</v>
      </c>
      <c r="T52" t="s">
        <v>660</v>
      </c>
      <c r="U52" t="str">
        <f>"33.1800%"</f>
        <v>33.1800%</v>
      </c>
      <c r="V52" t="str">
        <f>"34.3100%"</f>
        <v>34.3100%</v>
      </c>
      <c r="W52" t="str">
        <f>"22.3400%"</f>
        <v>22.3400%</v>
      </c>
      <c r="X52" t="str">
        <f>"41.5136%"</f>
        <v>41.5136%</v>
      </c>
      <c r="Y52" t="s">
        <v>661</v>
      </c>
      <c r="Z52" t="str">
        <f>"33.8750%"</f>
        <v>33.8750%</v>
      </c>
      <c r="AA52" t="str">
        <f>"33.8750%"</f>
        <v>33.8750%</v>
      </c>
      <c r="AB52" t="s">
        <v>662</v>
      </c>
      <c r="AC52" t="s">
        <v>663</v>
      </c>
      <c r="AD52" t="s">
        <v>664</v>
      </c>
      <c r="AE52" t="str">
        <f>"13.96"</f>
        <v>13.96</v>
      </c>
    </row>
    <row r="53" spans="1:31" x14ac:dyDescent="0.3">
      <c r="A53" s="1" t="s">
        <v>665</v>
      </c>
      <c r="B53" t="s">
        <v>320</v>
      </c>
      <c r="C53" t="s">
        <v>666</v>
      </c>
      <c r="D53" t="s">
        <v>35</v>
      </c>
      <c r="E53" t="s">
        <v>82</v>
      </c>
      <c r="F53" t="s">
        <v>37</v>
      </c>
      <c r="G53" t="str">
        <f>"11000"</f>
        <v>11000</v>
      </c>
      <c r="H53" t="s">
        <v>667</v>
      </c>
      <c r="I53" t="str">
        <f>"51%"</f>
        <v>51%</v>
      </c>
      <c r="J53" t="str">
        <f>"-0.08"</f>
        <v>-0.08</v>
      </c>
      <c r="K53" t="str">
        <f>"110"</f>
        <v>110</v>
      </c>
      <c r="L53" t="str">
        <f>"KDR p.Q472H"</f>
        <v>KDR p.Q472H</v>
      </c>
      <c r="M53" t="str">
        <f>"NM_002253"</f>
        <v>NM_002253</v>
      </c>
      <c r="O53" t="s">
        <v>668</v>
      </c>
      <c r="P53" t="str">
        <f>"49%"</f>
        <v>49%</v>
      </c>
      <c r="Q53" t="str">
        <f>"-0.01"</f>
        <v>-0.01</v>
      </c>
      <c r="S53" t="s">
        <v>40</v>
      </c>
      <c r="T53" t="s">
        <v>669</v>
      </c>
      <c r="U53" t="str">
        <f>"21.9800%"</f>
        <v>21.9800%</v>
      </c>
      <c r="V53" t="str">
        <f>"22.2200%"</f>
        <v>22.2200%</v>
      </c>
      <c r="W53" t="str">
        <f>"19.3900%"</f>
        <v>19.3900%</v>
      </c>
      <c r="X53" t="str">
        <f>"21.1861%"</f>
        <v>21.1861%</v>
      </c>
      <c r="Y53" t="s">
        <v>670</v>
      </c>
      <c r="Z53" t="str">
        <f>"24.0040%"</f>
        <v>24.0040%</v>
      </c>
      <c r="AA53" t="str">
        <f>"24.0040%"</f>
        <v>24.0040%</v>
      </c>
      <c r="AB53" t="s">
        <v>671</v>
      </c>
      <c r="AC53" t="s">
        <v>672</v>
      </c>
      <c r="AD53" t="s">
        <v>673</v>
      </c>
      <c r="AE53" t="str">
        <f>"4.227"</f>
        <v>4.227</v>
      </c>
    </row>
    <row r="54" spans="1:31" x14ac:dyDescent="0.3">
      <c r="A54" s="1" t="s">
        <v>674</v>
      </c>
      <c r="B54" t="s">
        <v>65</v>
      </c>
      <c r="C54" t="s">
        <v>675</v>
      </c>
      <c r="D54" t="s">
        <v>35</v>
      </c>
      <c r="E54" t="s">
        <v>50</v>
      </c>
      <c r="F54" t="s">
        <v>37</v>
      </c>
      <c r="G54" t="str">
        <f>"01000"</f>
        <v>01000</v>
      </c>
      <c r="H54" t="s">
        <v>676</v>
      </c>
      <c r="I54" t="str">
        <f>"47%"</f>
        <v>47%</v>
      </c>
      <c r="J54" t="str">
        <f>"-0.00"</f>
        <v>-0.00</v>
      </c>
      <c r="K54" t="str">
        <f>"010"</f>
        <v>010</v>
      </c>
      <c r="L54" t="str">
        <f>"ROS1 p.K2228Q"</f>
        <v>ROS1 p.K2228Q</v>
      </c>
      <c r="M54" t="str">
        <f>"NM_002944"</f>
        <v>NM_002944</v>
      </c>
      <c r="O54" t="s">
        <v>677</v>
      </c>
      <c r="P54" t="str">
        <f>"47%"</f>
        <v>47%</v>
      </c>
      <c r="Q54" t="str">
        <f>"-0.00"</f>
        <v>-0.00</v>
      </c>
      <c r="S54" t="s">
        <v>40</v>
      </c>
      <c r="T54" t="s">
        <v>678</v>
      </c>
      <c r="U54" t="str">
        <f>"20.7900%"</f>
        <v>20.7900%</v>
      </c>
      <c r="V54" t="str">
        <f>"20.1200%"</f>
        <v>20.1200%</v>
      </c>
      <c r="W54" t="str">
        <f>"19.6900%"</f>
        <v>19.6900%</v>
      </c>
      <c r="X54" t="str">
        <f>"13.9377%"</f>
        <v>13.9377%</v>
      </c>
      <c r="Y54" t="s">
        <v>679</v>
      </c>
      <c r="Z54" t="str">
        <f>"21.1860%"</f>
        <v>21.1860%</v>
      </c>
      <c r="AA54" t="str">
        <f>"21.1860%"</f>
        <v>21.1860%</v>
      </c>
      <c r="AB54" t="s">
        <v>680</v>
      </c>
      <c r="AC54" t="s">
        <v>681</v>
      </c>
      <c r="AE54" t="str">
        <f>"6.301"</f>
        <v>6.301</v>
      </c>
    </row>
    <row r="55" spans="1:31" x14ac:dyDescent="0.3">
      <c r="A55" s="1" t="s">
        <v>682</v>
      </c>
      <c r="B55" t="s">
        <v>683</v>
      </c>
      <c r="C55" t="s">
        <v>684</v>
      </c>
      <c r="D55" t="s">
        <v>82</v>
      </c>
      <c r="E55" t="s">
        <v>50</v>
      </c>
      <c r="F55" t="s">
        <v>37</v>
      </c>
      <c r="G55" t="str">
        <f>"11000"</f>
        <v>11000</v>
      </c>
      <c r="H55" t="s">
        <v>685</v>
      </c>
      <c r="I55" t="str">
        <f>"51%"</f>
        <v>51%</v>
      </c>
      <c r="J55" t="str">
        <f>"-0.03"</f>
        <v>-0.03</v>
      </c>
      <c r="K55" t="str">
        <f>"110"</f>
        <v>110</v>
      </c>
      <c r="L55" t="str">
        <f>"KMT2D p.S4010P"</f>
        <v>KMT2D p.S4010P</v>
      </c>
      <c r="M55" t="str">
        <f>"NM_003482"</f>
        <v>NM_003482</v>
      </c>
      <c r="O55" t="s">
        <v>686</v>
      </c>
      <c r="P55" t="str">
        <f>"48%"</f>
        <v>48%</v>
      </c>
      <c r="Q55" t="str">
        <f>"-0.00"</f>
        <v>-0.00</v>
      </c>
      <c r="S55" t="s">
        <v>40</v>
      </c>
      <c r="T55" t="s">
        <v>687</v>
      </c>
      <c r="U55" t="str">
        <f>"2.8800%"</f>
        <v>2.8800%</v>
      </c>
      <c r="V55" t="str">
        <f>"2.6400%"</f>
        <v>2.6400%</v>
      </c>
      <c r="W55" t="str">
        <f>"2.1600%"</f>
        <v>2.1600%</v>
      </c>
      <c r="X55" t="str">
        <f>"1.7172%"</f>
        <v>1.7172%</v>
      </c>
      <c r="Y55" t="s">
        <v>688</v>
      </c>
      <c r="Z55" t="str">
        <f>"2.2450%"</f>
        <v>2.2450%</v>
      </c>
      <c r="AA55" t="str">
        <f>"2.2450%"</f>
        <v>2.2450%</v>
      </c>
      <c r="AB55" t="s">
        <v>689</v>
      </c>
      <c r="AC55" t="s">
        <v>690</v>
      </c>
      <c r="AD55" t="s">
        <v>691</v>
      </c>
      <c r="AE55" t="str">
        <f>"1.123"</f>
        <v>1.123</v>
      </c>
    </row>
    <row r="56" spans="1:31" x14ac:dyDescent="0.3">
      <c r="A56" s="1" t="s">
        <v>692</v>
      </c>
      <c r="B56" t="s">
        <v>65</v>
      </c>
      <c r="C56" t="s">
        <v>693</v>
      </c>
      <c r="D56" t="s">
        <v>50</v>
      </c>
      <c r="E56" t="s">
        <v>36</v>
      </c>
      <c r="F56" t="s">
        <v>37</v>
      </c>
      <c r="G56" t="str">
        <f>"01000"</f>
        <v>01000</v>
      </c>
      <c r="H56" t="s">
        <v>694</v>
      </c>
      <c r="I56" t="str">
        <f>"47%"</f>
        <v>47%</v>
      </c>
      <c r="J56" t="str">
        <f>"-0.00"</f>
        <v>-0.00</v>
      </c>
      <c r="K56" t="str">
        <f>"010"</f>
        <v>010</v>
      </c>
      <c r="L56" t="str">
        <f>"ROS1 p.S2229C"</f>
        <v>ROS1 p.S2229C</v>
      </c>
      <c r="M56" t="str">
        <f>"NM_002944"</f>
        <v>NM_002944</v>
      </c>
      <c r="O56" t="s">
        <v>695</v>
      </c>
      <c r="P56" t="str">
        <f>"47%"</f>
        <v>47%</v>
      </c>
      <c r="Q56" t="str">
        <f>"-0.00"</f>
        <v>-0.00</v>
      </c>
      <c r="S56" t="s">
        <v>40</v>
      </c>
      <c r="T56" t="s">
        <v>696</v>
      </c>
      <c r="U56" t="str">
        <f>"20.8000%"</f>
        <v>20.8000%</v>
      </c>
      <c r="V56" t="str">
        <f>"19.9900%"</f>
        <v>19.9900%</v>
      </c>
      <c r="W56" t="str">
        <f>"19.6900%"</f>
        <v>19.6900%</v>
      </c>
      <c r="X56" t="str">
        <f>"13.9377%"</f>
        <v>13.9377%</v>
      </c>
      <c r="Y56" t="s">
        <v>697</v>
      </c>
      <c r="Z56" t="str">
        <f>"21.1860%"</f>
        <v>21.1860%</v>
      </c>
      <c r="AA56" t="str">
        <f>"21.1860%"</f>
        <v>21.1860%</v>
      </c>
      <c r="AB56" t="s">
        <v>698</v>
      </c>
      <c r="AC56" t="s">
        <v>699</v>
      </c>
      <c r="AE56" t="str">
        <f>"1.417"</f>
        <v>1.417</v>
      </c>
    </row>
    <row r="57" spans="1:31" x14ac:dyDescent="0.3">
      <c r="A57" s="1" t="s">
        <v>700</v>
      </c>
      <c r="B57" t="s">
        <v>106</v>
      </c>
      <c r="C57" t="s">
        <v>701</v>
      </c>
      <c r="D57" t="s">
        <v>702</v>
      </c>
      <c r="E57" t="s">
        <v>35</v>
      </c>
      <c r="F57" t="s">
        <v>37</v>
      </c>
      <c r="G57" t="str">
        <f>"11000"</f>
        <v>11000</v>
      </c>
      <c r="H57" t="s">
        <v>338</v>
      </c>
      <c r="I57" t="str">
        <f>"47%"</f>
        <v>47%</v>
      </c>
      <c r="J57" t="str">
        <f>"-0.00"</f>
        <v>-0.00</v>
      </c>
      <c r="K57" t="str">
        <f>"110"</f>
        <v>110</v>
      </c>
      <c r="L57" t="str">
        <f>"MAP3K1 p.941_942del"</f>
        <v>MAP3K1 p.941_942del</v>
      </c>
      <c r="M57" t="str">
        <f>"NM_005921"</f>
        <v>NM_005921</v>
      </c>
      <c r="O57" t="s">
        <v>703</v>
      </c>
      <c r="P57" t="str">
        <f>"54%"</f>
        <v>54%</v>
      </c>
      <c r="Q57" t="str">
        <f>"-0.01"</f>
        <v>-0.01</v>
      </c>
      <c r="S57" t="s">
        <v>160</v>
      </c>
      <c r="T57" t="s">
        <v>704</v>
      </c>
      <c r="U57" t="str">
        <f>"73.9300%"</f>
        <v>73.9300%</v>
      </c>
      <c r="V57" t="str">
        <f>"74.1300%"</f>
        <v>74.1300%</v>
      </c>
      <c r="W57" t="str">
        <f>""</f>
        <v/>
      </c>
      <c r="X57" t="str">
        <f>""</f>
        <v/>
      </c>
      <c r="Y57" t="s">
        <v>705</v>
      </c>
      <c r="Z57" t="str">
        <f>"75.2630%"</f>
        <v>75.2630%</v>
      </c>
      <c r="AA57" t="str">
        <f>"75.7900%"</f>
        <v>75.7900%</v>
      </c>
      <c r="AB57" t="s">
        <v>706</v>
      </c>
      <c r="AD57" t="s">
        <v>707</v>
      </c>
      <c r="AE57" t="str">
        <f>""</f>
        <v/>
      </c>
    </row>
    <row r="58" spans="1:31" x14ac:dyDescent="0.3">
      <c r="A58" s="1" t="s">
        <v>708</v>
      </c>
      <c r="B58" t="s">
        <v>106</v>
      </c>
      <c r="C58" t="s">
        <v>709</v>
      </c>
      <c r="D58" t="s">
        <v>50</v>
      </c>
      <c r="E58" t="s">
        <v>82</v>
      </c>
      <c r="F58" t="s">
        <v>37</v>
      </c>
      <c r="G58" t="str">
        <f>"11000"</f>
        <v>11000</v>
      </c>
      <c r="H58" t="s">
        <v>710</v>
      </c>
      <c r="I58" t="str">
        <f>"50%"</f>
        <v>50%</v>
      </c>
      <c r="J58" t="str">
        <f>"-0.05"</f>
        <v>-0.05</v>
      </c>
      <c r="K58" t="str">
        <f>"110"</f>
        <v>110</v>
      </c>
      <c r="L58" t="str">
        <f>"IL7R p.V138I"</f>
        <v>IL7R p.V138I</v>
      </c>
      <c r="M58" t="str">
        <f>"NM_002185"</f>
        <v>NM_002185</v>
      </c>
      <c r="O58" t="s">
        <v>711</v>
      </c>
      <c r="P58" t="str">
        <f>"47%"</f>
        <v>47%</v>
      </c>
      <c r="Q58" t="str">
        <f>"0.02"</f>
        <v>0.02</v>
      </c>
      <c r="S58" t="s">
        <v>40</v>
      </c>
      <c r="T58" t="s">
        <v>712</v>
      </c>
      <c r="U58" t="str">
        <f>"65.1900%"</f>
        <v>65.1900%</v>
      </c>
      <c r="V58" t="str">
        <f>"63.9800%"</f>
        <v>63.9800%</v>
      </c>
      <c r="W58" t="str">
        <f>"74.5800%"</f>
        <v>74.5800%</v>
      </c>
      <c r="X58" t="str">
        <f>"66.6933%"</f>
        <v>66.6933%</v>
      </c>
      <c r="Y58" t="s">
        <v>713</v>
      </c>
      <c r="Z58" t="str">
        <f>"62.3450%"</f>
        <v>62.3450%</v>
      </c>
      <c r="AA58" t="str">
        <f>"62.3680%"</f>
        <v>62.3680%</v>
      </c>
      <c r="AB58" t="s">
        <v>714</v>
      </c>
      <c r="AC58" t="s">
        <v>715</v>
      </c>
      <c r="AD58" t="s">
        <v>716</v>
      </c>
      <c r="AE58" t="str">
        <f>"0.012"</f>
        <v>0.012</v>
      </c>
    </row>
    <row r="59" spans="1:31" x14ac:dyDescent="0.3">
      <c r="A59" s="1" t="s">
        <v>717</v>
      </c>
      <c r="B59" t="s">
        <v>88</v>
      </c>
      <c r="C59" t="s">
        <v>718</v>
      </c>
      <c r="D59" t="s">
        <v>35</v>
      </c>
      <c r="E59" t="s">
        <v>50</v>
      </c>
      <c r="F59" t="s">
        <v>37</v>
      </c>
      <c r="G59" t="str">
        <f>"01000"</f>
        <v>01000</v>
      </c>
      <c r="H59" t="s">
        <v>719</v>
      </c>
      <c r="I59" t="str">
        <f>"44%"</f>
        <v>44%</v>
      </c>
      <c r="J59" t="str">
        <f>"-0.01"</f>
        <v>-0.01</v>
      </c>
      <c r="K59" t="str">
        <f>"010"</f>
        <v>010</v>
      </c>
      <c r="L59" t="str">
        <f>"UGT1A7 p.N129K"</f>
        <v>UGT1A7 p.N129K</v>
      </c>
      <c r="M59" t="str">
        <f>"NM_019077"</f>
        <v>NM_019077</v>
      </c>
      <c r="O59" t="s">
        <v>720</v>
      </c>
      <c r="P59" t="str">
        <f>"52%"</f>
        <v>52%</v>
      </c>
      <c r="Q59" t="str">
        <f>"-0.01"</f>
        <v>-0.01</v>
      </c>
      <c r="S59" t="s">
        <v>40</v>
      </c>
      <c r="T59" t="s">
        <v>721</v>
      </c>
      <c r="U59" t="str">
        <f>"58.8000%"</f>
        <v>58.8000%</v>
      </c>
      <c r="V59" t="str">
        <f>"58.9400%"</f>
        <v>58.9400%</v>
      </c>
      <c r="W59" t="str">
        <f>""</f>
        <v/>
      </c>
      <c r="X59" t="str">
        <f>"57.6278%"</f>
        <v>57.6278%</v>
      </c>
      <c r="Y59" t="s">
        <v>722</v>
      </c>
      <c r="Z59" t="str">
        <f>"55.5200%"</f>
        <v>55.5200%</v>
      </c>
      <c r="AA59" t="str">
        <f>"55.5200%"</f>
        <v>55.5200%</v>
      </c>
      <c r="AB59" t="s">
        <v>723</v>
      </c>
      <c r="AD59" t="s">
        <v>724</v>
      </c>
      <c r="AE59" t="str">
        <f>"0.103"</f>
        <v>0.103</v>
      </c>
    </row>
    <row r="60" spans="1:31" x14ac:dyDescent="0.3">
      <c r="A60" s="1" t="s">
        <v>725</v>
      </c>
      <c r="B60" t="s">
        <v>726</v>
      </c>
      <c r="C60" t="s">
        <v>727</v>
      </c>
      <c r="D60" t="s">
        <v>36</v>
      </c>
      <c r="E60" t="s">
        <v>35</v>
      </c>
      <c r="F60" t="s">
        <v>37</v>
      </c>
      <c r="G60" t="str">
        <f t="shared" ref="G60:G67" si="3">"11000"</f>
        <v>11000</v>
      </c>
      <c r="H60" t="s">
        <v>728</v>
      </c>
      <c r="I60" t="str">
        <f>"48%"</f>
        <v>48%</v>
      </c>
      <c r="J60" t="str">
        <f>"0.03"</f>
        <v>0.03</v>
      </c>
      <c r="K60" t="str">
        <f t="shared" ref="K60:K72" si="4">"110"</f>
        <v>110</v>
      </c>
      <c r="L60" t="str">
        <f>"TMPRSS2 p.V160M"</f>
        <v>TMPRSS2 p.V160M</v>
      </c>
      <c r="M60" t="str">
        <f>"NM_005656"</f>
        <v>NM_005656</v>
      </c>
      <c r="O60" t="s">
        <v>729</v>
      </c>
      <c r="P60" t="str">
        <f>"48%"</f>
        <v>48%</v>
      </c>
      <c r="Q60" t="str">
        <f>"0.01"</f>
        <v>0.01</v>
      </c>
      <c r="S60" t="s">
        <v>40</v>
      </c>
      <c r="T60" t="s">
        <v>730</v>
      </c>
      <c r="U60" t="str">
        <f>"25.0200%"</f>
        <v>25.0200%</v>
      </c>
      <c r="V60" t="str">
        <f>"24.5200%"</f>
        <v>24.5200%</v>
      </c>
      <c r="W60" t="str">
        <f>"24.1400%"</f>
        <v>24.1400%</v>
      </c>
      <c r="X60" t="str">
        <f>"26.1382%"</f>
        <v>26.1382%</v>
      </c>
      <c r="Y60" t="s">
        <v>731</v>
      </c>
      <c r="Z60" t="str">
        <f>"22.7440%"</f>
        <v>22.7440%</v>
      </c>
      <c r="AA60" t="str">
        <f>"22.7210%"</f>
        <v>22.7210%</v>
      </c>
      <c r="AB60" t="s">
        <v>732</v>
      </c>
      <c r="AC60" t="s">
        <v>733</v>
      </c>
      <c r="AE60" t="str">
        <f>"18.40"</f>
        <v>18.40</v>
      </c>
    </row>
    <row r="61" spans="1:31" x14ac:dyDescent="0.3">
      <c r="A61" s="1" t="s">
        <v>734</v>
      </c>
      <c r="B61" t="s">
        <v>106</v>
      </c>
      <c r="C61" t="s">
        <v>735</v>
      </c>
      <c r="D61" t="s">
        <v>82</v>
      </c>
      <c r="E61" t="s">
        <v>50</v>
      </c>
      <c r="F61" t="s">
        <v>37</v>
      </c>
      <c r="G61" t="str">
        <f t="shared" si="3"/>
        <v>11000</v>
      </c>
      <c r="H61" t="s">
        <v>736</v>
      </c>
      <c r="I61" t="str">
        <f>"44%"</f>
        <v>44%</v>
      </c>
      <c r="J61" t="str">
        <f>"-0.00"</f>
        <v>-0.00</v>
      </c>
      <c r="K61" t="str">
        <f t="shared" si="4"/>
        <v>110</v>
      </c>
      <c r="L61" t="str">
        <f>"MSH3 p.Q949R"</f>
        <v>MSH3 p.Q949R</v>
      </c>
      <c r="M61" t="str">
        <f>"NM_002439"</f>
        <v>NM_002439</v>
      </c>
      <c r="O61" t="s">
        <v>737</v>
      </c>
      <c r="P61" t="str">
        <f>"53%"</f>
        <v>53%</v>
      </c>
      <c r="Q61" t="str">
        <f>"-0.01"</f>
        <v>-0.01</v>
      </c>
      <c r="S61" t="s">
        <v>40</v>
      </c>
      <c r="T61" t="s">
        <v>738</v>
      </c>
      <c r="U61" t="str">
        <f>"87.3100%"</f>
        <v>87.3100%</v>
      </c>
      <c r="V61" t="str">
        <f>"87.3300%"</f>
        <v>87.3300%</v>
      </c>
      <c r="W61" t="str">
        <f>"85.5200%"</f>
        <v>85.5200%</v>
      </c>
      <c r="X61" t="str">
        <f>"90.2157%"</f>
        <v>90.2157%</v>
      </c>
      <c r="Y61" t="s">
        <v>739</v>
      </c>
      <c r="Z61" t="str">
        <f>"87.2650%"</f>
        <v>87.2650%</v>
      </c>
      <c r="AA61" t="str">
        <f>"87.2650%"</f>
        <v>87.2650%</v>
      </c>
      <c r="AB61" t="s">
        <v>740</v>
      </c>
      <c r="AC61" t="s">
        <v>741</v>
      </c>
      <c r="AE61" t="str">
        <f>"6.591"</f>
        <v>6.591</v>
      </c>
    </row>
    <row r="62" spans="1:31" x14ac:dyDescent="0.3">
      <c r="A62" s="1" t="s">
        <v>742</v>
      </c>
      <c r="B62" t="s">
        <v>683</v>
      </c>
      <c r="C62" t="s">
        <v>743</v>
      </c>
      <c r="D62" t="s">
        <v>50</v>
      </c>
      <c r="E62" t="s">
        <v>82</v>
      </c>
      <c r="F62" t="s">
        <v>37</v>
      </c>
      <c r="G62" t="str">
        <f t="shared" si="3"/>
        <v>11000</v>
      </c>
      <c r="H62" t="s">
        <v>744</v>
      </c>
      <c r="I62" t="str">
        <f>"100%"</f>
        <v>100%</v>
      </c>
      <c r="J62" t="str">
        <f>"-0.03"</f>
        <v>-0.03</v>
      </c>
      <c r="K62" t="str">
        <f t="shared" si="4"/>
        <v>110</v>
      </c>
      <c r="L62" t="str">
        <f>"GLI1 p.G933D"</f>
        <v>GLI1 p.G933D</v>
      </c>
      <c r="M62" t="str">
        <f>"NM_005269"</f>
        <v>NM_005269</v>
      </c>
      <c r="O62" t="s">
        <v>745</v>
      </c>
      <c r="P62" t="str">
        <f>"100%"</f>
        <v>100%</v>
      </c>
      <c r="Q62" t="str">
        <f>"-0.00"</f>
        <v>-0.00</v>
      </c>
      <c r="S62" t="s">
        <v>40</v>
      </c>
      <c r="T62" t="s">
        <v>746</v>
      </c>
      <c r="U62" t="str">
        <f>"50.2700%"</f>
        <v>50.2700%</v>
      </c>
      <c r="V62" t="str">
        <f>"49.8500%"</f>
        <v>49.8500%</v>
      </c>
      <c r="W62" t="str">
        <f>"49.8200%"</f>
        <v>49.8200%</v>
      </c>
      <c r="X62" t="str">
        <f>"36.4018%"</f>
        <v>36.4018%</v>
      </c>
      <c r="Y62" t="s">
        <v>747</v>
      </c>
      <c r="Z62" t="str">
        <f>"50.7100%"</f>
        <v>50.7100%</v>
      </c>
      <c r="AA62" t="str">
        <f>"50.7330%"</f>
        <v>50.7330%</v>
      </c>
      <c r="AB62" t="s">
        <v>748</v>
      </c>
      <c r="AE62" t="str">
        <f>"10.70"</f>
        <v>10.70</v>
      </c>
    </row>
    <row r="63" spans="1:31" x14ac:dyDescent="0.3">
      <c r="A63" s="1" t="s">
        <v>749</v>
      </c>
      <c r="B63" t="s">
        <v>65</v>
      </c>
      <c r="C63" t="s">
        <v>750</v>
      </c>
      <c r="D63" t="s">
        <v>36</v>
      </c>
      <c r="E63" t="s">
        <v>82</v>
      </c>
      <c r="F63" t="s">
        <v>37</v>
      </c>
      <c r="G63" t="str">
        <f t="shared" si="3"/>
        <v>11000</v>
      </c>
      <c r="H63" t="s">
        <v>751</v>
      </c>
      <c r="I63" t="str">
        <f>"100%"</f>
        <v>100%</v>
      </c>
      <c r="J63" t="str">
        <f>"0.02"</f>
        <v>0.02</v>
      </c>
      <c r="K63" t="str">
        <f t="shared" si="4"/>
        <v>110</v>
      </c>
      <c r="L63" t="str">
        <f>"SYNE1"</f>
        <v>SYNE1</v>
      </c>
      <c r="M63" t="str">
        <f>""</f>
        <v/>
      </c>
      <c r="O63" t="s">
        <v>752</v>
      </c>
      <c r="P63" t="str">
        <f>"100%"</f>
        <v>100%</v>
      </c>
      <c r="Q63" t="str">
        <f>"-0.00"</f>
        <v>-0.00</v>
      </c>
      <c r="S63" t="s">
        <v>40</v>
      </c>
      <c r="T63" t="s">
        <v>753</v>
      </c>
      <c r="U63" t="str">
        <f>"57.6100%"</f>
        <v>57.6100%</v>
      </c>
      <c r="V63" t="str">
        <f>"58.2900%"</f>
        <v>58.2900%</v>
      </c>
      <c r="W63" t="str">
        <f>"56.7300%"</f>
        <v>56.7300%</v>
      </c>
      <c r="X63" t="str">
        <f>"54.5527%"</f>
        <v>54.5527%</v>
      </c>
      <c r="Y63" t="s">
        <v>754</v>
      </c>
      <c r="Z63" t="str">
        <f>"60.6280%"</f>
        <v>60.6280%</v>
      </c>
      <c r="AA63" t="str">
        <f>"60.6280%"</f>
        <v>60.6280%</v>
      </c>
      <c r="AB63" t="s">
        <v>755</v>
      </c>
      <c r="AC63" t="s">
        <v>756</v>
      </c>
      <c r="AD63" t="s">
        <v>757</v>
      </c>
      <c r="AE63" t="str">
        <f>"6.405"</f>
        <v>6.405</v>
      </c>
    </row>
    <row r="64" spans="1:31" x14ac:dyDescent="0.3">
      <c r="A64" s="1" t="s">
        <v>758</v>
      </c>
      <c r="B64" t="s">
        <v>65</v>
      </c>
      <c r="C64" t="s">
        <v>759</v>
      </c>
      <c r="D64" t="s">
        <v>36</v>
      </c>
      <c r="E64" t="s">
        <v>50</v>
      </c>
      <c r="F64" t="s">
        <v>37</v>
      </c>
      <c r="G64" t="str">
        <f t="shared" si="3"/>
        <v>11000</v>
      </c>
      <c r="H64" t="s">
        <v>760</v>
      </c>
      <c r="I64" t="str">
        <f>"100%"</f>
        <v>100%</v>
      </c>
      <c r="J64" t="str">
        <f>"0.15"</f>
        <v>0.15</v>
      </c>
      <c r="K64" t="str">
        <f t="shared" si="4"/>
        <v>110</v>
      </c>
      <c r="L64" t="str">
        <f>"PRKN"</f>
        <v>PRKN</v>
      </c>
      <c r="M64" t="str">
        <f>""</f>
        <v/>
      </c>
      <c r="O64" t="s">
        <v>761</v>
      </c>
      <c r="P64" t="str">
        <f>"100%"</f>
        <v>100%</v>
      </c>
      <c r="Q64" t="str">
        <f>"0.01"</f>
        <v>0.01</v>
      </c>
      <c r="S64" t="s">
        <v>40</v>
      </c>
      <c r="T64" t="s">
        <v>762</v>
      </c>
      <c r="U64" t="str">
        <f>"16.4600%"</f>
        <v>16.4600%</v>
      </c>
      <c r="V64" t="str">
        <f>"16.4700%"</f>
        <v>16.4700%</v>
      </c>
      <c r="W64" t="str">
        <f>"17.5800%"</f>
        <v>17.5800%</v>
      </c>
      <c r="X64" t="str">
        <f>"17.2125%"</f>
        <v>17.2125%</v>
      </c>
      <c r="Y64" t="s">
        <v>763</v>
      </c>
      <c r="Z64" t="str">
        <f>"15.3230%"</f>
        <v>15.3230%</v>
      </c>
      <c r="AA64" t="str">
        <f>"15.3230%"</f>
        <v>15.3230%</v>
      </c>
      <c r="AB64" t="s">
        <v>764</v>
      </c>
      <c r="AC64" t="s">
        <v>765</v>
      </c>
      <c r="AD64" t="s">
        <v>766</v>
      </c>
      <c r="AE64" t="str">
        <f>"2.378"</f>
        <v>2.378</v>
      </c>
    </row>
    <row r="65" spans="1:31" x14ac:dyDescent="0.3">
      <c r="A65" s="1" t="s">
        <v>767</v>
      </c>
      <c r="B65" t="s">
        <v>219</v>
      </c>
      <c r="C65" t="s">
        <v>768</v>
      </c>
      <c r="D65" t="s">
        <v>50</v>
      </c>
      <c r="E65" t="s">
        <v>82</v>
      </c>
      <c r="F65" t="s">
        <v>37</v>
      </c>
      <c r="G65" t="str">
        <f t="shared" si="3"/>
        <v>11000</v>
      </c>
      <c r="H65" t="s">
        <v>567</v>
      </c>
      <c r="I65" t="str">
        <f>"49%"</f>
        <v>49%</v>
      </c>
      <c r="J65" t="str">
        <f>"0.04"</f>
        <v>0.04</v>
      </c>
      <c r="K65" t="str">
        <f t="shared" si="4"/>
        <v>110</v>
      </c>
      <c r="L65" t="str">
        <f>"ATM p.D1853N"</f>
        <v>ATM p.D1853N</v>
      </c>
      <c r="M65" t="str">
        <f>"NM_000051"</f>
        <v>NM_000051</v>
      </c>
      <c r="O65" t="s">
        <v>769</v>
      </c>
      <c r="P65" t="str">
        <f>"46%"</f>
        <v>46%</v>
      </c>
      <c r="Q65" t="str">
        <f>"-0.01"</f>
        <v>-0.01</v>
      </c>
      <c r="S65" t="s">
        <v>40</v>
      </c>
      <c r="T65" t="s">
        <v>770</v>
      </c>
      <c r="U65" t="str">
        <f>"11.0100%"</f>
        <v>11.0100%</v>
      </c>
      <c r="V65" t="str">
        <f>"11.4600%"</f>
        <v>11.4600%</v>
      </c>
      <c r="W65" t="str">
        <f>"10.2300%"</f>
        <v>10.2300%</v>
      </c>
      <c r="X65" t="str">
        <f>"6.6893%"</f>
        <v>6.6893%</v>
      </c>
      <c r="Y65" t="s">
        <v>771</v>
      </c>
      <c r="Z65" t="str">
        <f>"10.5590%"</f>
        <v>10.5590%</v>
      </c>
      <c r="AA65" t="str">
        <f>"10.5590%"</f>
        <v>10.5590%</v>
      </c>
      <c r="AB65" t="s">
        <v>772</v>
      </c>
      <c r="AC65" t="s">
        <v>773</v>
      </c>
      <c r="AD65" t="s">
        <v>774</v>
      </c>
      <c r="AE65" t="str">
        <f>"17.18"</f>
        <v>17.18</v>
      </c>
    </row>
    <row r="66" spans="1:31" x14ac:dyDescent="0.3">
      <c r="A66" s="1" t="s">
        <v>775</v>
      </c>
      <c r="B66" t="s">
        <v>106</v>
      </c>
      <c r="C66" t="s">
        <v>776</v>
      </c>
      <c r="D66" t="s">
        <v>35</v>
      </c>
      <c r="E66" t="s">
        <v>36</v>
      </c>
      <c r="F66" t="s">
        <v>37</v>
      </c>
      <c r="G66" t="str">
        <f t="shared" si="3"/>
        <v>11000</v>
      </c>
      <c r="H66" t="s">
        <v>777</v>
      </c>
      <c r="I66" t="str">
        <f>"46%"</f>
        <v>46%</v>
      </c>
      <c r="J66" t="str">
        <f>"-0.05"</f>
        <v>-0.05</v>
      </c>
      <c r="K66" t="str">
        <f t="shared" si="4"/>
        <v>110</v>
      </c>
      <c r="L66" t="str">
        <f>"IL7R p.I66T"</f>
        <v>IL7R p.I66T</v>
      </c>
      <c r="M66" t="str">
        <f>"NM_002185"</f>
        <v>NM_002185</v>
      </c>
      <c r="O66" t="s">
        <v>778</v>
      </c>
      <c r="P66" t="str">
        <f>"48%"</f>
        <v>48%</v>
      </c>
      <c r="Q66" t="str">
        <f>"0.02"</f>
        <v>0.02</v>
      </c>
      <c r="S66" t="s">
        <v>40</v>
      </c>
      <c r="T66" t="s">
        <v>779</v>
      </c>
      <c r="U66" t="str">
        <f>"62.7900%"</f>
        <v>62.7900%</v>
      </c>
      <c r="V66" t="str">
        <f>"61.8900%"</f>
        <v>61.8900%</v>
      </c>
      <c r="W66" t="str">
        <f>"70.0900%"</f>
        <v>70.0900%</v>
      </c>
      <c r="X66" t="str">
        <f>"59.9840%"</f>
        <v>59.9840%</v>
      </c>
      <c r="Y66" t="s">
        <v>780</v>
      </c>
      <c r="Z66" t="str">
        <f>"60.3530%"</f>
        <v>60.3530%</v>
      </c>
      <c r="AA66" t="str">
        <f>"60.3070%"</f>
        <v>60.3070%</v>
      </c>
      <c r="AB66" t="s">
        <v>781</v>
      </c>
      <c r="AC66" t="s">
        <v>782</v>
      </c>
      <c r="AD66" t="s">
        <v>783</v>
      </c>
      <c r="AE66" t="str">
        <f>"0.016"</f>
        <v>0.016</v>
      </c>
    </row>
    <row r="67" spans="1:31" x14ac:dyDescent="0.3">
      <c r="A67" s="1" t="s">
        <v>784</v>
      </c>
      <c r="B67" t="s">
        <v>785</v>
      </c>
      <c r="C67" t="s">
        <v>786</v>
      </c>
      <c r="D67" t="s">
        <v>50</v>
      </c>
      <c r="E67" t="s">
        <v>36</v>
      </c>
      <c r="F67" t="s">
        <v>37</v>
      </c>
      <c r="G67" t="str">
        <f t="shared" si="3"/>
        <v>11000</v>
      </c>
      <c r="H67" t="s">
        <v>787</v>
      </c>
      <c r="I67" t="str">
        <f>"51%"</f>
        <v>51%</v>
      </c>
      <c r="J67" t="str">
        <f>"-0.01"</f>
        <v>-0.01</v>
      </c>
      <c r="K67" t="str">
        <f t="shared" si="4"/>
        <v>110</v>
      </c>
      <c r="L67" t="str">
        <f>"SETBP1 p.V231L"</f>
        <v>SETBP1 p.V231L</v>
      </c>
      <c r="M67" t="str">
        <f>"NM_015559"</f>
        <v>NM_015559</v>
      </c>
      <c r="O67" t="s">
        <v>788</v>
      </c>
      <c r="P67" t="str">
        <f>"47%"</f>
        <v>47%</v>
      </c>
      <c r="Q67" t="str">
        <f>"-0.03"</f>
        <v>-0.03</v>
      </c>
      <c r="S67" t="s">
        <v>40</v>
      </c>
      <c r="T67" t="s">
        <v>789</v>
      </c>
      <c r="U67" t="str">
        <f>"19.3400%"</f>
        <v>19.3400%</v>
      </c>
      <c r="V67" t="str">
        <f>"19.2000%"</f>
        <v>19.2000%</v>
      </c>
      <c r="W67" t="str">
        <f>"18.5300%"</f>
        <v>18.5300%</v>
      </c>
      <c r="X67" t="str">
        <f>"15.6749%"</f>
        <v>15.6749%</v>
      </c>
      <c r="Y67" t="s">
        <v>790</v>
      </c>
      <c r="Z67" t="str">
        <f>"18.1400%"</f>
        <v>18.1400%</v>
      </c>
      <c r="AA67" t="str">
        <f>"18.1630%"</f>
        <v>18.1630%</v>
      </c>
      <c r="AB67" t="s">
        <v>791</v>
      </c>
      <c r="AC67" t="s">
        <v>792</v>
      </c>
      <c r="AD67" t="s">
        <v>793</v>
      </c>
      <c r="AE67" t="str">
        <f>"6.120"</f>
        <v>6.120</v>
      </c>
    </row>
    <row r="68" spans="1:31" x14ac:dyDescent="0.3">
      <c r="A68" s="1" t="s">
        <v>126</v>
      </c>
      <c r="B68" t="s">
        <v>106</v>
      </c>
      <c r="C68" t="s">
        <v>127</v>
      </c>
      <c r="D68" t="s">
        <v>128</v>
      </c>
      <c r="E68" t="s">
        <v>36</v>
      </c>
      <c r="F68" t="s">
        <v>129</v>
      </c>
      <c r="G68" t="str">
        <f>"10000"</f>
        <v>10000</v>
      </c>
      <c r="H68" t="s">
        <v>130</v>
      </c>
      <c r="I68" t="str">
        <f>"14%"</f>
        <v>14%</v>
      </c>
      <c r="J68" t="str">
        <f>"-0.00"</f>
        <v>-0.00</v>
      </c>
      <c r="K68" t="str">
        <f t="shared" si="4"/>
        <v>110</v>
      </c>
      <c r="L68" t="str">
        <f>"TSLP"</f>
        <v>TSLP</v>
      </c>
      <c r="M68" t="str">
        <f>""</f>
        <v/>
      </c>
      <c r="O68" t="s">
        <v>204</v>
      </c>
      <c r="P68" t="str">
        <f>"13%"</f>
        <v>13%</v>
      </c>
      <c r="Q68" t="str">
        <f>"-0.01"</f>
        <v>-0.01</v>
      </c>
      <c r="R68" t="s">
        <v>205</v>
      </c>
      <c r="U68" t="str">
        <f>""</f>
        <v/>
      </c>
      <c r="V68" t="str">
        <f>""</f>
        <v/>
      </c>
      <c r="W68" t="str">
        <f>""</f>
        <v/>
      </c>
      <c r="X68" t="str">
        <f>""</f>
        <v/>
      </c>
      <c r="Y68" t="s">
        <v>206</v>
      </c>
      <c r="Z68" t="str">
        <f>"48.6030%"</f>
        <v>48.6030%</v>
      </c>
      <c r="AA68" t="str">
        <f>"44.6400%"</f>
        <v>44.6400%</v>
      </c>
      <c r="AB68" t="s">
        <v>207</v>
      </c>
      <c r="AE68" t="str">
        <f>""</f>
        <v/>
      </c>
    </row>
    <row r="69" spans="1:31" x14ac:dyDescent="0.3">
      <c r="A69" s="1" t="s">
        <v>794</v>
      </c>
      <c r="B69" t="s">
        <v>683</v>
      </c>
      <c r="C69" t="s">
        <v>795</v>
      </c>
      <c r="D69" t="s">
        <v>50</v>
      </c>
      <c r="E69" t="s">
        <v>36</v>
      </c>
      <c r="F69" t="s">
        <v>37</v>
      </c>
      <c r="G69" t="str">
        <f>"11000"</f>
        <v>11000</v>
      </c>
      <c r="H69" t="s">
        <v>796</v>
      </c>
      <c r="I69" t="str">
        <f>"100%"</f>
        <v>100%</v>
      </c>
      <c r="J69" t="str">
        <f>"-0.03"</f>
        <v>-0.03</v>
      </c>
      <c r="K69" t="str">
        <f t="shared" si="4"/>
        <v>110</v>
      </c>
      <c r="L69" t="str">
        <f>"GLI1 p.E1100Q"</f>
        <v>GLI1 p.E1100Q</v>
      </c>
      <c r="M69" t="str">
        <f>"NM_005269"</f>
        <v>NM_005269</v>
      </c>
      <c r="O69" t="s">
        <v>797</v>
      </c>
      <c r="P69" t="str">
        <f>"100%"</f>
        <v>100%</v>
      </c>
      <c r="Q69" t="str">
        <f>"-0.00"</f>
        <v>-0.00</v>
      </c>
      <c r="S69" t="s">
        <v>40</v>
      </c>
      <c r="T69" t="s">
        <v>798</v>
      </c>
      <c r="U69" t="str">
        <f>"60.6100%"</f>
        <v>60.6100%</v>
      </c>
      <c r="V69" t="str">
        <f>"60.1500%"</f>
        <v>60.1500%</v>
      </c>
      <c r="W69" t="str">
        <f>"71.1800%"</f>
        <v>71.1800%</v>
      </c>
      <c r="X69" t="str">
        <f>"58.6262%"</f>
        <v>58.6262%</v>
      </c>
      <c r="Y69" t="s">
        <v>799</v>
      </c>
      <c r="Z69" t="str">
        <f>"59.6660%"</f>
        <v>59.6660%</v>
      </c>
      <c r="AA69" t="str">
        <f>"59.6890%"</f>
        <v>59.6890%</v>
      </c>
      <c r="AB69" t="s">
        <v>800</v>
      </c>
      <c r="AC69" t="s">
        <v>801</v>
      </c>
      <c r="AE69" t="str">
        <f>"1.093"</f>
        <v>1.093</v>
      </c>
    </row>
    <row r="70" spans="1:31" x14ac:dyDescent="0.3">
      <c r="A70" s="1" t="s">
        <v>802</v>
      </c>
      <c r="B70" t="s">
        <v>219</v>
      </c>
      <c r="C70" t="s">
        <v>803</v>
      </c>
      <c r="D70" t="s">
        <v>82</v>
      </c>
      <c r="E70" t="s">
        <v>50</v>
      </c>
      <c r="F70" t="s">
        <v>37</v>
      </c>
      <c r="G70" t="str">
        <f>"11000"</f>
        <v>11000</v>
      </c>
      <c r="H70" t="s">
        <v>804</v>
      </c>
      <c r="I70" t="str">
        <f>"100%"</f>
        <v>100%</v>
      </c>
      <c r="J70" t="str">
        <f>"0.04"</f>
        <v>0.04</v>
      </c>
      <c r="K70" t="str">
        <f t="shared" si="4"/>
        <v>110</v>
      </c>
      <c r="L70" t="str">
        <f>"ATM p.N1983S"</f>
        <v>ATM p.N1983S</v>
      </c>
      <c r="M70" t="str">
        <f>"NM_000051"</f>
        <v>NM_000051</v>
      </c>
      <c r="O70" t="s">
        <v>805</v>
      </c>
      <c r="P70" t="str">
        <f>"100%"</f>
        <v>100%</v>
      </c>
      <c r="Q70" t="str">
        <f>"-0.01"</f>
        <v>-0.01</v>
      </c>
      <c r="S70" t="s">
        <v>40</v>
      </c>
      <c r="T70" t="s">
        <v>806</v>
      </c>
      <c r="U70" t="str">
        <f>"100.0000%"</f>
        <v>100.0000%</v>
      </c>
      <c r="V70" t="str">
        <f>"100.0000%"</f>
        <v>100.0000%</v>
      </c>
      <c r="W70" t="str">
        <f>""</f>
        <v/>
      </c>
      <c r="X70" t="str">
        <f>"100.0000%"</f>
        <v>100.0000%</v>
      </c>
      <c r="Y70" t="s">
        <v>807</v>
      </c>
      <c r="Z70" t="str">
        <f>"99.8850%"</f>
        <v>99.8850%</v>
      </c>
      <c r="AA70" t="str">
        <f>"99.8400%"</f>
        <v>99.8400%</v>
      </c>
      <c r="AB70" t="s">
        <v>808</v>
      </c>
      <c r="AC70" t="s">
        <v>809</v>
      </c>
      <c r="AD70" t="s">
        <v>810</v>
      </c>
      <c r="AE70" t="str">
        <f>"0.829"</f>
        <v>0.829</v>
      </c>
    </row>
    <row r="71" spans="1:31" x14ac:dyDescent="0.3">
      <c r="A71" s="1" t="s">
        <v>811</v>
      </c>
      <c r="B71" t="s">
        <v>274</v>
      </c>
      <c r="C71" t="s">
        <v>812</v>
      </c>
      <c r="D71" t="s">
        <v>36</v>
      </c>
      <c r="E71" t="s">
        <v>35</v>
      </c>
      <c r="F71" t="s">
        <v>37</v>
      </c>
      <c r="G71" t="str">
        <f>"11000"</f>
        <v>11000</v>
      </c>
      <c r="H71" t="s">
        <v>813</v>
      </c>
      <c r="I71" t="str">
        <f>"46%"</f>
        <v>46%</v>
      </c>
      <c r="J71" t="str">
        <f>"-0.02"</f>
        <v>-0.02</v>
      </c>
      <c r="K71" t="str">
        <f t="shared" si="4"/>
        <v>110</v>
      </c>
      <c r="L71" t="str">
        <f>"FANCA p.G501S"</f>
        <v>FANCA p.G501S</v>
      </c>
      <c r="M71" t="str">
        <f>"NM_000135"</f>
        <v>NM_000135</v>
      </c>
      <c r="O71" t="s">
        <v>814</v>
      </c>
      <c r="P71" t="str">
        <f>"53%"</f>
        <v>53%</v>
      </c>
      <c r="Q71" t="str">
        <f>"-0.00"</f>
        <v>-0.00</v>
      </c>
      <c r="S71" t="s">
        <v>40</v>
      </c>
      <c r="T71" t="s">
        <v>815</v>
      </c>
      <c r="U71" t="str">
        <f>"49.9500%"</f>
        <v>49.9500%</v>
      </c>
      <c r="V71" t="str">
        <f>"50.1500%"</f>
        <v>50.1500%</v>
      </c>
      <c r="W71" t="str">
        <f>"48.2300%"</f>
        <v>48.2300%</v>
      </c>
      <c r="X71" t="str">
        <f>"62.4002%"</f>
        <v>62.4002%</v>
      </c>
      <c r="Y71" t="s">
        <v>816</v>
      </c>
      <c r="Z71" t="str">
        <f>"49.7020%"</f>
        <v>49.7020%</v>
      </c>
      <c r="AA71" t="str">
        <f>"49.6790%"</f>
        <v>49.6790%</v>
      </c>
      <c r="AB71" t="s">
        <v>817</v>
      </c>
      <c r="AC71" t="s">
        <v>818</v>
      </c>
      <c r="AD71" t="s">
        <v>819</v>
      </c>
      <c r="AE71" t="str">
        <f>"0.018"</f>
        <v>0.018</v>
      </c>
    </row>
    <row r="72" spans="1:31" x14ac:dyDescent="0.3">
      <c r="A72" s="1" t="s">
        <v>820</v>
      </c>
      <c r="B72" t="s">
        <v>683</v>
      </c>
      <c r="C72" t="s">
        <v>821</v>
      </c>
      <c r="D72" t="s">
        <v>36</v>
      </c>
      <c r="E72" t="s">
        <v>82</v>
      </c>
      <c r="F72" t="s">
        <v>37</v>
      </c>
      <c r="G72" t="str">
        <f>"11000"</f>
        <v>11000</v>
      </c>
      <c r="H72" t="s">
        <v>543</v>
      </c>
      <c r="I72" t="str">
        <f>"99%"</f>
        <v>99%</v>
      </c>
      <c r="J72" t="str">
        <f>"0.07"</f>
        <v>0.07</v>
      </c>
      <c r="K72" t="str">
        <f t="shared" si="4"/>
        <v>110</v>
      </c>
      <c r="L72" t="str">
        <f>"CHD4 p.E139D"</f>
        <v>CHD4 p.E139D</v>
      </c>
      <c r="M72" t="str">
        <f>"NM_001273"</f>
        <v>NM_001273</v>
      </c>
      <c r="O72" t="s">
        <v>822</v>
      </c>
      <c r="P72" t="str">
        <f>"95%"</f>
        <v>95%</v>
      </c>
      <c r="Q72" t="str">
        <f>"-0.00"</f>
        <v>-0.00</v>
      </c>
      <c r="S72" t="s">
        <v>40</v>
      </c>
      <c r="T72" t="s">
        <v>823</v>
      </c>
      <c r="U72" t="str">
        <f>"41.1800%"</f>
        <v>41.1800%</v>
      </c>
      <c r="V72" t="str">
        <f>"39.9000%"</f>
        <v>39.9000%</v>
      </c>
      <c r="W72" t="str">
        <f>"54.8700%"</f>
        <v>54.8700%</v>
      </c>
      <c r="X72" t="str">
        <f>"55.3115%"</f>
        <v>55.3115%</v>
      </c>
      <c r="Y72" t="s">
        <v>824</v>
      </c>
      <c r="Z72" t="str">
        <f>"42.1900%"</f>
        <v>42.1900%</v>
      </c>
      <c r="AA72" t="str">
        <f>"42.1670%"</f>
        <v>42.1670%</v>
      </c>
      <c r="AB72" t="s">
        <v>825</v>
      </c>
      <c r="AC72" t="s">
        <v>826</v>
      </c>
      <c r="AE72" t="str">
        <f>"0.018"</f>
        <v>0.018</v>
      </c>
    </row>
    <row r="73" spans="1:31" x14ac:dyDescent="0.3">
      <c r="A73" s="1" t="s">
        <v>827</v>
      </c>
      <c r="B73" t="s">
        <v>626</v>
      </c>
      <c r="C73" t="s">
        <v>828</v>
      </c>
      <c r="D73" t="s">
        <v>82</v>
      </c>
      <c r="E73" t="s">
        <v>358</v>
      </c>
      <c r="F73" t="s">
        <v>37</v>
      </c>
      <c r="G73" t="str">
        <f>"11100"</f>
        <v>11100</v>
      </c>
      <c r="H73" t="s">
        <v>829</v>
      </c>
      <c r="I73" t="str">
        <f>"100%"</f>
        <v>100%</v>
      </c>
      <c r="J73" t="str">
        <f>"0.04"</f>
        <v>0.04</v>
      </c>
      <c r="K73" t="str">
        <f>"111"</f>
        <v>111</v>
      </c>
      <c r="L73" t="str">
        <f>"PRKDC exonic UNKNOWN"</f>
        <v>PRKDC exonic UNKNOWN</v>
      </c>
      <c r="M73" t="str">
        <f>""</f>
        <v/>
      </c>
      <c r="O73" t="s">
        <v>830</v>
      </c>
      <c r="P73" t="str">
        <f>"100%"</f>
        <v>100%</v>
      </c>
      <c r="Q73" t="str">
        <f>"-0.00"</f>
        <v>-0.00</v>
      </c>
      <c r="S73" t="s">
        <v>831</v>
      </c>
      <c r="T73" t="s">
        <v>832</v>
      </c>
      <c r="U73" t="str">
        <f>"100.0000%"</f>
        <v>100.0000%</v>
      </c>
      <c r="V73" t="str">
        <f>"100.0000%"</f>
        <v>100.0000%</v>
      </c>
      <c r="W73" t="str">
        <f>"99.9200%"</f>
        <v>99.9200%</v>
      </c>
      <c r="X73" t="str">
        <f>"100.0000%"</f>
        <v>100.0000%</v>
      </c>
      <c r="Y73" t="s">
        <v>833</v>
      </c>
      <c r="Z73" t="str">
        <f>"99.8850%"</f>
        <v>99.8850%</v>
      </c>
      <c r="AA73" t="str">
        <f>"99.8850%"</f>
        <v>99.8850%</v>
      </c>
      <c r="AB73" t="s">
        <v>834</v>
      </c>
      <c r="AE73" t="str">
        <f>""</f>
        <v/>
      </c>
    </row>
    <row r="74" spans="1:31" x14ac:dyDescent="0.3">
      <c r="A74" s="1" t="s">
        <v>835</v>
      </c>
      <c r="B74" t="s">
        <v>47</v>
      </c>
      <c r="C74" t="s">
        <v>836</v>
      </c>
      <c r="D74" t="s">
        <v>36</v>
      </c>
      <c r="E74" t="s">
        <v>82</v>
      </c>
      <c r="F74" t="s">
        <v>37</v>
      </c>
      <c r="G74" t="str">
        <f>"11000"</f>
        <v>11000</v>
      </c>
      <c r="H74" t="s">
        <v>837</v>
      </c>
      <c r="I74" t="str">
        <f>"100%"</f>
        <v>100%</v>
      </c>
      <c r="J74" t="str">
        <f>"-0.50"</f>
        <v>-0.50</v>
      </c>
      <c r="K74" t="str">
        <f>"110"</f>
        <v>110</v>
      </c>
      <c r="L74" t="str">
        <f>"KDM6A"</f>
        <v>KDM6A</v>
      </c>
      <c r="M74" t="str">
        <f>""</f>
        <v/>
      </c>
      <c r="O74" t="s">
        <v>838</v>
      </c>
      <c r="P74" t="str">
        <f>"100%"</f>
        <v>100%</v>
      </c>
      <c r="Q74" t="str">
        <f>"-0.54"</f>
        <v>-0.54</v>
      </c>
      <c r="S74" t="s">
        <v>40</v>
      </c>
      <c r="T74" t="s">
        <v>839</v>
      </c>
      <c r="U74" t="str">
        <f>"13.7600%"</f>
        <v>13.7600%</v>
      </c>
      <c r="V74" t="str">
        <f>"13.3200%"</f>
        <v>13.3200%</v>
      </c>
      <c r="W74" t="str">
        <f>"9.2800%"</f>
        <v>9.2800%</v>
      </c>
      <c r="X74" t="str">
        <f>"15.5497%"</f>
        <v>15.5497%</v>
      </c>
      <c r="Y74" t="s">
        <v>840</v>
      </c>
      <c r="Z74" t="str">
        <f>"14.5220%"</f>
        <v>14.5220%</v>
      </c>
      <c r="AA74" t="str">
        <f>"14.5220%"</f>
        <v>14.5220%</v>
      </c>
      <c r="AB74" t="s">
        <v>841</v>
      </c>
      <c r="AC74" t="s">
        <v>842</v>
      </c>
      <c r="AD74" t="s">
        <v>843</v>
      </c>
      <c r="AE74" t="str">
        <f>"9.457"</f>
        <v>9.457</v>
      </c>
    </row>
    <row r="75" spans="1:31" x14ac:dyDescent="0.3">
      <c r="A75" s="1" t="s">
        <v>844</v>
      </c>
      <c r="B75" t="s">
        <v>33</v>
      </c>
      <c r="C75" t="s">
        <v>845</v>
      </c>
      <c r="D75" t="s">
        <v>50</v>
      </c>
      <c r="E75" t="s">
        <v>36</v>
      </c>
      <c r="F75" t="s">
        <v>37</v>
      </c>
      <c r="G75" t="str">
        <f>"11000"</f>
        <v>11000</v>
      </c>
      <c r="H75" t="s">
        <v>846</v>
      </c>
      <c r="I75" t="str">
        <f>"100%"</f>
        <v>100%</v>
      </c>
      <c r="J75" t="str">
        <f>"0.01"</f>
        <v>0.01</v>
      </c>
      <c r="K75" t="str">
        <f>"110"</f>
        <v>110</v>
      </c>
      <c r="L75" t="str">
        <f>"TP53 p.P72R"</f>
        <v>TP53 p.P72R</v>
      </c>
      <c r="M75" t="str">
        <f>"NM_000546"</f>
        <v>NM_000546</v>
      </c>
      <c r="O75" t="s">
        <v>847</v>
      </c>
      <c r="P75" t="str">
        <f>"100%"</f>
        <v>100%</v>
      </c>
      <c r="Q75" t="str">
        <f>"0.03"</f>
        <v>0.03</v>
      </c>
      <c r="S75" t="s">
        <v>40</v>
      </c>
      <c r="T75" t="s">
        <v>848</v>
      </c>
      <c r="U75" t="str">
        <f>"66.0000%"</f>
        <v>66.0000%</v>
      </c>
      <c r="V75" t="str">
        <f>"66.8600%"</f>
        <v>66.8600%</v>
      </c>
      <c r="W75" t="str">
        <f>"63.0000%"</f>
        <v>63.0000%</v>
      </c>
      <c r="X75" t="str">
        <f>"54.2931%"</f>
        <v>54.2931%</v>
      </c>
      <c r="Y75" t="s">
        <v>849</v>
      </c>
      <c r="Z75" t="str">
        <f>"69.2620%"</f>
        <v>69.2620%</v>
      </c>
      <c r="AA75" t="str">
        <f>"69.2400%"</f>
        <v>69.2400%</v>
      </c>
      <c r="AB75" t="s">
        <v>850</v>
      </c>
      <c r="AC75" t="s">
        <v>851</v>
      </c>
      <c r="AD75" t="s">
        <v>852</v>
      </c>
      <c r="AE75" t="str">
        <f>"8.316"</f>
        <v>8.316</v>
      </c>
    </row>
    <row r="76" spans="1:31" x14ac:dyDescent="0.3">
      <c r="A76" s="1" t="s">
        <v>853</v>
      </c>
      <c r="B76" t="s">
        <v>540</v>
      </c>
      <c r="C76" t="s">
        <v>854</v>
      </c>
      <c r="D76" t="s">
        <v>50</v>
      </c>
      <c r="E76" t="s">
        <v>82</v>
      </c>
      <c r="F76" t="s">
        <v>37</v>
      </c>
      <c r="G76" t="str">
        <f>"11000"</f>
        <v>11000</v>
      </c>
      <c r="H76" t="s">
        <v>855</v>
      </c>
      <c r="I76" t="str">
        <f>"51%"</f>
        <v>51%</v>
      </c>
      <c r="J76" t="str">
        <f>"-0.02"</f>
        <v>-0.02</v>
      </c>
      <c r="K76" t="str">
        <f>"110"</f>
        <v>110</v>
      </c>
      <c r="L76" t="str">
        <f>"SPRY2 p.P106S"</f>
        <v>SPRY2 p.P106S</v>
      </c>
      <c r="M76" t="str">
        <f>"NM_005842"</f>
        <v>NM_005842</v>
      </c>
      <c r="O76" t="s">
        <v>856</v>
      </c>
      <c r="P76" t="str">
        <f>"54%"</f>
        <v>54%</v>
      </c>
      <c r="Q76" t="str">
        <f>"-0.02"</f>
        <v>-0.02</v>
      </c>
      <c r="S76" t="s">
        <v>40</v>
      </c>
      <c r="T76" t="s">
        <v>857</v>
      </c>
      <c r="U76" t="str">
        <f>"35.4000%"</f>
        <v>35.4000%</v>
      </c>
      <c r="V76" t="str">
        <f>"36.7000%"</f>
        <v>36.7000%</v>
      </c>
      <c r="W76" t="str">
        <f>"26.4600%"</f>
        <v>26.4600%</v>
      </c>
      <c r="X76" t="str">
        <f>"28.6741%"</f>
        <v>28.6741%</v>
      </c>
      <c r="Y76" t="s">
        <v>858</v>
      </c>
      <c r="Z76" t="str">
        <f>"36.7160%"</f>
        <v>36.7160%</v>
      </c>
      <c r="AA76" t="str">
        <f>"36.7380%"</f>
        <v>36.7380%</v>
      </c>
      <c r="AB76" t="s">
        <v>859</v>
      </c>
      <c r="AC76" t="s">
        <v>860</v>
      </c>
      <c r="AE76" t="str">
        <f>"9.125"</f>
        <v>9.125</v>
      </c>
    </row>
    <row r="77" spans="1:31" x14ac:dyDescent="0.3">
      <c r="A77" s="1" t="s">
        <v>861</v>
      </c>
      <c r="B77" t="s">
        <v>65</v>
      </c>
      <c r="C77" t="s">
        <v>862</v>
      </c>
      <c r="D77" t="s">
        <v>82</v>
      </c>
      <c r="E77" t="s">
        <v>50</v>
      </c>
      <c r="F77" t="s">
        <v>37</v>
      </c>
      <c r="G77" t="str">
        <f>"11000"</f>
        <v>11000</v>
      </c>
      <c r="H77" t="s">
        <v>736</v>
      </c>
      <c r="I77" t="str">
        <f>"53%"</f>
        <v>53%</v>
      </c>
      <c r="J77" t="str">
        <f>"0.01"</f>
        <v>0.01</v>
      </c>
      <c r="K77" t="str">
        <f>"110"</f>
        <v>110</v>
      </c>
      <c r="L77" t="str">
        <f>"CDKN1A p.D28G"</f>
        <v>CDKN1A p.D28G</v>
      </c>
      <c r="M77" t="str">
        <f>"NM_001291549"</f>
        <v>NM_001291549</v>
      </c>
      <c r="O77" t="s">
        <v>863</v>
      </c>
      <c r="P77" t="str">
        <f>"44%"</f>
        <v>44%</v>
      </c>
      <c r="Q77" t="str">
        <f>"0.00"</f>
        <v>0.00</v>
      </c>
      <c r="S77" t="s">
        <v>40</v>
      </c>
      <c r="T77" t="s">
        <v>864</v>
      </c>
      <c r="U77" t="str">
        <f>"46.4100%"</f>
        <v>46.4100%</v>
      </c>
      <c r="V77" t="str">
        <f>"42.6400%"</f>
        <v>42.6400%</v>
      </c>
      <c r="W77" t="str">
        <f>""</f>
        <v/>
      </c>
      <c r="X77" t="str">
        <f>"52.7556%"</f>
        <v>52.7556%</v>
      </c>
      <c r="Y77" t="s">
        <v>865</v>
      </c>
      <c r="Z77" t="str">
        <f>"42.2350%"</f>
        <v>42.2350%</v>
      </c>
      <c r="AA77" t="str">
        <f>"42.2350%"</f>
        <v>42.2350%</v>
      </c>
      <c r="AB77" t="s">
        <v>866</v>
      </c>
      <c r="AE77" t="str">
        <f>"0.035"</f>
        <v>0.035</v>
      </c>
    </row>
    <row r="78" spans="1:31" x14ac:dyDescent="0.3">
      <c r="A78" s="1" t="s">
        <v>867</v>
      </c>
      <c r="B78" t="s">
        <v>88</v>
      </c>
      <c r="C78" t="s">
        <v>868</v>
      </c>
      <c r="D78" t="s">
        <v>50</v>
      </c>
      <c r="E78" t="s">
        <v>82</v>
      </c>
      <c r="F78" t="s">
        <v>37</v>
      </c>
      <c r="G78" t="str">
        <f>"10000"</f>
        <v>10000</v>
      </c>
      <c r="H78" t="s">
        <v>869</v>
      </c>
      <c r="I78" t="str">
        <f>"22%"</f>
        <v>22%</v>
      </c>
      <c r="J78" t="str">
        <f>"-0.01"</f>
        <v>-0.01</v>
      </c>
      <c r="K78" t="str">
        <f>"100"</f>
        <v>100</v>
      </c>
      <c r="L78" t="str">
        <f>"LRP1B p.L1392F"</f>
        <v>LRP1B p.L1392F</v>
      </c>
      <c r="M78" t="str">
        <f>"NM_018557"</f>
        <v>NM_018557</v>
      </c>
      <c r="O78" t="s">
        <v>346</v>
      </c>
      <c r="P78" t="str">
        <f>"25%"</f>
        <v>25%</v>
      </c>
      <c r="Q78" t="str">
        <f>"-0.01"</f>
        <v>-0.01</v>
      </c>
      <c r="S78" t="s">
        <v>40</v>
      </c>
      <c r="T78" t="s">
        <v>870</v>
      </c>
      <c r="U78" t="str">
        <f>"11.4200%"</f>
        <v>11.4200%</v>
      </c>
      <c r="V78" t="str">
        <f>"9.1800%"</f>
        <v>9.1800%</v>
      </c>
      <c r="W78" t="str">
        <f>""</f>
        <v/>
      </c>
      <c r="X78" t="str">
        <f>""</f>
        <v/>
      </c>
      <c r="Y78" t="s">
        <v>871</v>
      </c>
      <c r="Z78" t="str">
        <f>"31.8600%"</f>
        <v>31.8600%</v>
      </c>
      <c r="AA78" t="str">
        <f>"23.2020%"</f>
        <v>23.2020%</v>
      </c>
      <c r="AB78" t="s">
        <v>872</v>
      </c>
      <c r="AC78" t="s">
        <v>873</v>
      </c>
      <c r="AE78" t="str">
        <f>"34"</f>
        <v>34</v>
      </c>
    </row>
    <row r="79" spans="1:31" x14ac:dyDescent="0.3">
      <c r="A79" s="1" t="s">
        <v>874</v>
      </c>
      <c r="B79" t="s">
        <v>113</v>
      </c>
      <c r="C79" t="s">
        <v>875</v>
      </c>
      <c r="D79" t="s">
        <v>82</v>
      </c>
      <c r="E79" t="s">
        <v>50</v>
      </c>
      <c r="F79" t="s">
        <v>37</v>
      </c>
      <c r="G79" t="str">
        <f t="shared" ref="G79:G101" si="5">"11000"</f>
        <v>11000</v>
      </c>
      <c r="H79" t="s">
        <v>876</v>
      </c>
      <c r="I79" t="str">
        <f>"100%"</f>
        <v>100%</v>
      </c>
      <c r="J79" t="str">
        <f>"-0.08"</f>
        <v>-0.08</v>
      </c>
      <c r="K79" t="str">
        <f t="shared" ref="K79:K101" si="6">"110"</f>
        <v>110</v>
      </c>
      <c r="L79" t="str">
        <f>"KMT2B p.D2364G"</f>
        <v>KMT2B p.D2364G</v>
      </c>
      <c r="M79" t="str">
        <f>"NM_014727"</f>
        <v>NM_014727</v>
      </c>
      <c r="O79" t="s">
        <v>877</v>
      </c>
      <c r="P79" t="str">
        <f>"100%"</f>
        <v>100%</v>
      </c>
      <c r="Q79" t="str">
        <f>"-0.01"</f>
        <v>-0.01</v>
      </c>
      <c r="S79" t="s">
        <v>40</v>
      </c>
      <c r="T79" t="s">
        <v>878</v>
      </c>
      <c r="U79" t="str">
        <f>"53.3100%"</f>
        <v>53.3100%</v>
      </c>
      <c r="V79" t="str">
        <f>"52.2300%"</f>
        <v>52.2300%</v>
      </c>
      <c r="W79" t="str">
        <f>"57.9200%"</f>
        <v>57.9200%</v>
      </c>
      <c r="X79" t="str">
        <f>"62.0407%"</f>
        <v>62.0407%</v>
      </c>
      <c r="Y79" t="s">
        <v>879</v>
      </c>
      <c r="Z79" t="str">
        <f>"48.7630%"</f>
        <v>48.7630%</v>
      </c>
      <c r="AA79" t="str">
        <f>"48.7630%"</f>
        <v>48.7630%</v>
      </c>
      <c r="AB79" t="s">
        <v>880</v>
      </c>
      <c r="AC79" t="s">
        <v>881</v>
      </c>
      <c r="AE79" t="str">
        <f>"0.154"</f>
        <v>0.154</v>
      </c>
    </row>
    <row r="80" spans="1:31" x14ac:dyDescent="0.3">
      <c r="A80" s="1" t="s">
        <v>218</v>
      </c>
      <c r="B80" t="s">
        <v>219</v>
      </c>
      <c r="C80" t="s">
        <v>220</v>
      </c>
      <c r="D80" t="s">
        <v>882</v>
      </c>
      <c r="E80" t="s">
        <v>35</v>
      </c>
      <c r="F80" t="s">
        <v>37</v>
      </c>
      <c r="G80" t="str">
        <f t="shared" si="5"/>
        <v>11000</v>
      </c>
      <c r="H80" t="s">
        <v>883</v>
      </c>
      <c r="I80" t="str">
        <f>"96%"</f>
        <v>96%</v>
      </c>
      <c r="J80" t="str">
        <f>"0.04"</f>
        <v>0.04</v>
      </c>
      <c r="K80" t="str">
        <f t="shared" si="6"/>
        <v>110</v>
      </c>
      <c r="L80" t="str">
        <f>"MAML2 p.604_607del"</f>
        <v>MAML2 p.604_607del</v>
      </c>
      <c r="M80" t="str">
        <f>"NM_032427"</f>
        <v>NM_032427</v>
      </c>
      <c r="O80" t="s">
        <v>884</v>
      </c>
      <c r="P80" t="str">
        <f>"90%"</f>
        <v>90%</v>
      </c>
      <c r="Q80" t="str">
        <f>"-0.01"</f>
        <v>-0.01</v>
      </c>
      <c r="S80" t="s">
        <v>160</v>
      </c>
      <c r="T80" t="s">
        <v>885</v>
      </c>
      <c r="U80" t="str">
        <f>"59.0100%"</f>
        <v>59.0100%</v>
      </c>
      <c r="V80" t="str">
        <f>"61.2900%"</f>
        <v>61.2900%</v>
      </c>
      <c r="W80" t="str">
        <f>"49.2400%"</f>
        <v>49.2400%</v>
      </c>
      <c r="X80" t="str">
        <f>"83.9257%"</f>
        <v>83.9257%</v>
      </c>
      <c r="Y80" t="s">
        <v>886</v>
      </c>
      <c r="Z80" t="str">
        <f>"58.2230%"</f>
        <v>58.2230%</v>
      </c>
      <c r="AA80" t="str">
        <f>"70.5220%"</f>
        <v>70.5220%</v>
      </c>
      <c r="AB80" t="s">
        <v>887</v>
      </c>
      <c r="AC80" t="s">
        <v>888</v>
      </c>
      <c r="AE80" t="str">
        <f>""</f>
        <v/>
      </c>
    </row>
    <row r="81" spans="1:31" x14ac:dyDescent="0.3">
      <c r="A81" s="1" t="s">
        <v>889</v>
      </c>
      <c r="B81" t="s">
        <v>283</v>
      </c>
      <c r="C81" t="s">
        <v>890</v>
      </c>
      <c r="D81" t="s">
        <v>50</v>
      </c>
      <c r="E81" t="s">
        <v>82</v>
      </c>
      <c r="F81" t="s">
        <v>37</v>
      </c>
      <c r="G81" t="str">
        <f t="shared" si="5"/>
        <v>11000</v>
      </c>
      <c r="H81" t="s">
        <v>891</v>
      </c>
      <c r="I81" t="str">
        <f>"49%"</f>
        <v>49%</v>
      </c>
      <c r="J81" t="str">
        <f>"0.05"</f>
        <v>0.05</v>
      </c>
      <c r="K81" t="str">
        <f t="shared" si="6"/>
        <v>110</v>
      </c>
      <c r="L81" t="str">
        <f>"EGFR p.R521K"</f>
        <v>EGFR p.R521K</v>
      </c>
      <c r="M81" t="str">
        <f>"NM_005228"</f>
        <v>NM_005228</v>
      </c>
      <c r="O81" t="s">
        <v>892</v>
      </c>
      <c r="P81" t="str">
        <f>"48%"</f>
        <v>48%</v>
      </c>
      <c r="Q81" t="str">
        <f>"0.01"</f>
        <v>0.01</v>
      </c>
      <c r="S81" t="s">
        <v>40</v>
      </c>
      <c r="T81" t="s">
        <v>893</v>
      </c>
      <c r="U81" t="str">
        <f>"28.7000%"</f>
        <v>28.7000%</v>
      </c>
      <c r="V81" t="str">
        <f>"29.2200%"</f>
        <v>29.2200%</v>
      </c>
      <c r="W81" t="str">
        <f>"20.2700%"</f>
        <v>20.2700%</v>
      </c>
      <c r="X81" t="str">
        <f>"29.2133%"</f>
        <v>29.2133%</v>
      </c>
      <c r="Y81" t="s">
        <v>894</v>
      </c>
      <c r="Z81" t="str">
        <f>"30.2110%"</f>
        <v>30.2110%</v>
      </c>
      <c r="AA81" t="str">
        <f>"30.2340%"</f>
        <v>30.2340%</v>
      </c>
      <c r="AB81" t="s">
        <v>895</v>
      </c>
      <c r="AC81" t="s">
        <v>896</v>
      </c>
      <c r="AD81" t="s">
        <v>897</v>
      </c>
      <c r="AE81" t="str">
        <f>"1.353"</f>
        <v>1.353</v>
      </c>
    </row>
    <row r="82" spans="1:31" x14ac:dyDescent="0.3">
      <c r="A82" s="1" t="s">
        <v>898</v>
      </c>
      <c r="B82" t="s">
        <v>80</v>
      </c>
      <c r="C82" t="s">
        <v>899</v>
      </c>
      <c r="D82" t="s">
        <v>50</v>
      </c>
      <c r="E82" t="s">
        <v>82</v>
      </c>
      <c r="F82" t="s">
        <v>37</v>
      </c>
      <c r="G82" t="str">
        <f t="shared" si="5"/>
        <v>11000</v>
      </c>
      <c r="H82" t="s">
        <v>900</v>
      </c>
      <c r="I82" t="str">
        <f>"48%"</f>
        <v>48%</v>
      </c>
      <c r="J82" t="str">
        <f>"0.01"</f>
        <v>0.01</v>
      </c>
      <c r="K82" t="str">
        <f t="shared" si="6"/>
        <v>110</v>
      </c>
      <c r="L82" t="str">
        <f>"RET p.G691S"</f>
        <v>RET p.G691S</v>
      </c>
      <c r="M82" t="str">
        <f>"NM_020975"</f>
        <v>NM_020975</v>
      </c>
      <c r="O82" t="s">
        <v>901</v>
      </c>
      <c r="P82" t="str">
        <f>"46%"</f>
        <v>46%</v>
      </c>
      <c r="Q82" t="str">
        <f>"-0.01"</f>
        <v>-0.01</v>
      </c>
      <c r="S82" t="s">
        <v>40</v>
      </c>
      <c r="T82" t="s">
        <v>902</v>
      </c>
      <c r="U82" t="str">
        <f>"20.3300%"</f>
        <v>20.3300%</v>
      </c>
      <c r="V82" t="str">
        <f>"21.1000%"</f>
        <v>21.1000%</v>
      </c>
      <c r="W82" t="str">
        <f>"15.7000%"</f>
        <v>15.7000%</v>
      </c>
      <c r="X82" t="str">
        <f>"16.9129%"</f>
        <v>16.9129%</v>
      </c>
      <c r="Y82" t="s">
        <v>903</v>
      </c>
      <c r="Z82" t="str">
        <f>"19.9500%"</f>
        <v>19.9500%</v>
      </c>
      <c r="AA82" t="str">
        <f>"19.9270%"</f>
        <v>19.9270%</v>
      </c>
      <c r="AB82" t="s">
        <v>904</v>
      </c>
      <c r="AC82" t="s">
        <v>905</v>
      </c>
      <c r="AD82" t="s">
        <v>906</v>
      </c>
      <c r="AE82" t="str">
        <f>"8.525"</f>
        <v>8.525</v>
      </c>
    </row>
    <row r="83" spans="1:31" x14ac:dyDescent="0.3">
      <c r="A83" s="1" t="s">
        <v>907</v>
      </c>
      <c r="B83" t="s">
        <v>683</v>
      </c>
      <c r="C83" t="s">
        <v>908</v>
      </c>
      <c r="D83" t="s">
        <v>36</v>
      </c>
      <c r="E83" t="s">
        <v>35</v>
      </c>
      <c r="F83" t="s">
        <v>37</v>
      </c>
      <c r="G83" t="str">
        <f t="shared" si="5"/>
        <v>11000</v>
      </c>
      <c r="H83" t="s">
        <v>38</v>
      </c>
      <c r="I83" t="str">
        <f>"46%"</f>
        <v>46%</v>
      </c>
      <c r="J83" t="str">
        <f>"-0.03"</f>
        <v>-0.03</v>
      </c>
      <c r="K83" t="str">
        <f t="shared" si="6"/>
        <v>110</v>
      </c>
      <c r="L83" t="str">
        <f>"KMT2D p.R83Q"</f>
        <v>KMT2D p.R83Q</v>
      </c>
      <c r="M83" t="str">
        <f>"NM_003482"</f>
        <v>NM_003482</v>
      </c>
      <c r="O83" t="s">
        <v>909</v>
      </c>
      <c r="P83" t="str">
        <f>"51%"</f>
        <v>51%</v>
      </c>
      <c r="Q83" t="str">
        <f>"-0.00"</f>
        <v>-0.00</v>
      </c>
      <c r="S83" t="s">
        <v>40</v>
      </c>
      <c r="T83" t="s">
        <v>910</v>
      </c>
      <c r="U83" t="str">
        <f>"2.7700%"</f>
        <v>2.7700%</v>
      </c>
      <c r="V83" t="str">
        <f>"2.6000%"</f>
        <v>2.6000%</v>
      </c>
      <c r="W83" t="str">
        <f>"2.2700%"</f>
        <v>2.2700%</v>
      </c>
      <c r="X83" t="str">
        <f>"1.6374%"</f>
        <v>1.6374%</v>
      </c>
      <c r="Y83" t="s">
        <v>911</v>
      </c>
      <c r="Z83" t="str">
        <f>"2.1760%"</f>
        <v>2.1760%</v>
      </c>
      <c r="AA83" t="str">
        <f>"2.1760%"</f>
        <v>2.1760%</v>
      </c>
      <c r="AB83" t="s">
        <v>912</v>
      </c>
      <c r="AC83" t="s">
        <v>913</v>
      </c>
      <c r="AD83" t="s">
        <v>914</v>
      </c>
      <c r="AE83" t="str">
        <f>"11.57"</f>
        <v>11.57</v>
      </c>
    </row>
    <row r="84" spans="1:31" x14ac:dyDescent="0.3">
      <c r="A84" s="1" t="s">
        <v>915</v>
      </c>
      <c r="B84" t="s">
        <v>113</v>
      </c>
      <c r="C84" t="s">
        <v>916</v>
      </c>
      <c r="D84" t="s">
        <v>82</v>
      </c>
      <c r="E84" t="s">
        <v>50</v>
      </c>
      <c r="F84" t="s">
        <v>37</v>
      </c>
      <c r="G84" t="str">
        <f t="shared" si="5"/>
        <v>11000</v>
      </c>
      <c r="H84" t="s">
        <v>122</v>
      </c>
      <c r="I84" t="str">
        <f>"100%"</f>
        <v>100%</v>
      </c>
      <c r="J84" t="str">
        <f>"-0.08"</f>
        <v>-0.08</v>
      </c>
      <c r="K84" t="str">
        <f t="shared" si="6"/>
        <v>110</v>
      </c>
      <c r="L84" t="str">
        <f>"AXL p.N266D"</f>
        <v>AXL p.N266D</v>
      </c>
      <c r="M84" t="str">
        <f>"NM_001699"</f>
        <v>NM_001699</v>
      </c>
      <c r="O84" t="s">
        <v>917</v>
      </c>
      <c r="P84" t="str">
        <f>"100%"</f>
        <v>100%</v>
      </c>
      <c r="Q84" t="str">
        <f>"-0.01"</f>
        <v>-0.01</v>
      </c>
      <c r="S84" t="s">
        <v>40</v>
      </c>
      <c r="T84" t="s">
        <v>918</v>
      </c>
      <c r="U84" t="str">
        <f>"100.0000%"</f>
        <v>100.0000%</v>
      </c>
      <c r="V84" t="str">
        <f>"100.0000%"</f>
        <v>100.0000%</v>
      </c>
      <c r="W84" t="str">
        <f>""</f>
        <v/>
      </c>
      <c r="X84" t="str">
        <f>"100.0000%"</f>
        <v>100.0000%</v>
      </c>
      <c r="Y84" t="s">
        <v>919</v>
      </c>
      <c r="Z84" t="str">
        <f>"99.9540%"</f>
        <v>99.9540%</v>
      </c>
      <c r="AA84" t="str">
        <f>"99.9080%"</f>
        <v>99.9080%</v>
      </c>
      <c r="AB84" t="s">
        <v>920</v>
      </c>
      <c r="AC84" t="s">
        <v>921</v>
      </c>
      <c r="AE84" t="str">
        <f>"0.007"</f>
        <v>0.007</v>
      </c>
    </row>
    <row r="85" spans="1:31" x14ac:dyDescent="0.3">
      <c r="A85" s="1" t="s">
        <v>922</v>
      </c>
      <c r="B85" t="s">
        <v>65</v>
      </c>
      <c r="C85" t="s">
        <v>923</v>
      </c>
      <c r="D85" t="s">
        <v>82</v>
      </c>
      <c r="E85" t="s">
        <v>36</v>
      </c>
      <c r="F85" t="s">
        <v>37</v>
      </c>
      <c r="G85" t="str">
        <f t="shared" si="5"/>
        <v>11000</v>
      </c>
      <c r="H85" t="s">
        <v>884</v>
      </c>
      <c r="I85" t="str">
        <f>"49%"</f>
        <v>49%</v>
      </c>
      <c r="J85" t="str">
        <f>"0.01"</f>
        <v>0.01</v>
      </c>
      <c r="K85" t="str">
        <f t="shared" si="6"/>
        <v>110</v>
      </c>
      <c r="L85" t="str">
        <f>"CCND3 p.S259A"</f>
        <v>CCND3 p.S259A</v>
      </c>
      <c r="M85" t="str">
        <f>"NM_001760"</f>
        <v>NM_001760</v>
      </c>
      <c r="O85" t="s">
        <v>924</v>
      </c>
      <c r="P85" t="str">
        <f>"53%"</f>
        <v>53%</v>
      </c>
      <c r="Q85" t="str">
        <f>"0.00"</f>
        <v>0.00</v>
      </c>
      <c r="S85" t="s">
        <v>40</v>
      </c>
      <c r="T85" t="s">
        <v>925</v>
      </c>
      <c r="U85" t="str">
        <f>"54.4300%"</f>
        <v>54.4300%</v>
      </c>
      <c r="V85" t="str">
        <f>"53.7400%"</f>
        <v>53.7400%</v>
      </c>
      <c r="W85" t="str">
        <f>"62.4300%"</f>
        <v>62.4300%</v>
      </c>
      <c r="X85" t="str">
        <f>"59.2452%"</f>
        <v>59.2452%</v>
      </c>
      <c r="Y85" t="s">
        <v>926</v>
      </c>
      <c r="Z85" t="str">
        <f>"48.3740%"</f>
        <v>48.3740%</v>
      </c>
      <c r="AA85" t="str">
        <f>"48.4200%"</f>
        <v>48.4200%</v>
      </c>
      <c r="AB85" t="s">
        <v>927</v>
      </c>
      <c r="AC85" t="s">
        <v>928</v>
      </c>
      <c r="AE85" t="str">
        <f>"0.008"</f>
        <v>0.008</v>
      </c>
    </row>
    <row r="86" spans="1:31" x14ac:dyDescent="0.3">
      <c r="A86" s="1" t="s">
        <v>929</v>
      </c>
      <c r="B86" t="s">
        <v>266</v>
      </c>
      <c r="C86" t="s">
        <v>930</v>
      </c>
      <c r="D86" t="s">
        <v>35</v>
      </c>
      <c r="E86" t="s">
        <v>82</v>
      </c>
      <c r="F86" t="s">
        <v>37</v>
      </c>
      <c r="G86" t="str">
        <f t="shared" si="5"/>
        <v>11000</v>
      </c>
      <c r="H86" t="s">
        <v>931</v>
      </c>
      <c r="I86" t="str">
        <f>"51%"</f>
        <v>51%</v>
      </c>
      <c r="J86" t="str">
        <f>"0.00"</f>
        <v>0.00</v>
      </c>
      <c r="K86" t="str">
        <f t="shared" si="6"/>
        <v>110</v>
      </c>
      <c r="L86" t="str">
        <f>"PTCH1 p.T1195S"</f>
        <v>PTCH1 p.T1195S</v>
      </c>
      <c r="M86" t="str">
        <f>"NM_000264"</f>
        <v>NM_000264</v>
      </c>
      <c r="O86" t="s">
        <v>932</v>
      </c>
      <c r="P86" t="str">
        <f>"57%"</f>
        <v>57%</v>
      </c>
      <c r="Q86" t="str">
        <f>"-0.01"</f>
        <v>-0.01</v>
      </c>
      <c r="S86" t="s">
        <v>40</v>
      </c>
      <c r="T86" t="s">
        <v>933</v>
      </c>
      <c r="U86" t="str">
        <f>"5.4600%"</f>
        <v>5.4600%</v>
      </c>
      <c r="V86" t="str">
        <f>"3.3600%"</f>
        <v>3.3600%</v>
      </c>
      <c r="W86" t="str">
        <f>"4.1700%"</f>
        <v>4.1700%</v>
      </c>
      <c r="X86" t="str">
        <f>"7.8474%"</f>
        <v>7.8474%</v>
      </c>
      <c r="Y86" t="s">
        <v>934</v>
      </c>
      <c r="Z86" t="str">
        <f>"3.6650%"</f>
        <v>3.6650%</v>
      </c>
      <c r="AA86" t="str">
        <f>"3.6650%"</f>
        <v>3.6650%</v>
      </c>
      <c r="AB86" t="s">
        <v>935</v>
      </c>
      <c r="AC86" t="s">
        <v>936</v>
      </c>
      <c r="AD86" t="s">
        <v>937</v>
      </c>
      <c r="AE86" t="str">
        <f>"14.00"</f>
        <v>14.00</v>
      </c>
    </row>
    <row r="87" spans="1:31" x14ac:dyDescent="0.3">
      <c r="A87" s="1" t="s">
        <v>938</v>
      </c>
      <c r="B87" t="s">
        <v>219</v>
      </c>
      <c r="C87" t="s">
        <v>939</v>
      </c>
      <c r="D87" t="s">
        <v>35</v>
      </c>
      <c r="E87" t="s">
        <v>36</v>
      </c>
      <c r="F87" t="s">
        <v>37</v>
      </c>
      <c r="G87" t="str">
        <f t="shared" si="5"/>
        <v>11000</v>
      </c>
      <c r="H87" t="s">
        <v>940</v>
      </c>
      <c r="I87" t="str">
        <f>"100%"</f>
        <v>100%</v>
      </c>
      <c r="J87" t="str">
        <f>"-0.02"</f>
        <v>-0.02</v>
      </c>
      <c r="K87" t="str">
        <f t="shared" si="6"/>
        <v>110</v>
      </c>
      <c r="L87" t="str">
        <f>"MEN1 p.T541A"</f>
        <v>MEN1 p.T541A</v>
      </c>
      <c r="M87" t="str">
        <f>"NM_130799"</f>
        <v>NM_130799</v>
      </c>
      <c r="O87" t="s">
        <v>941</v>
      </c>
      <c r="P87" t="str">
        <f>"100%"</f>
        <v>100%</v>
      </c>
      <c r="Q87" t="str">
        <f>"-0.01"</f>
        <v>-0.01</v>
      </c>
      <c r="S87" t="s">
        <v>40</v>
      </c>
      <c r="T87" t="s">
        <v>942</v>
      </c>
      <c r="U87" t="str">
        <f>"93.7800%"</f>
        <v>93.7800%</v>
      </c>
      <c r="V87" t="str">
        <f>"93.9000%"</f>
        <v>93.9000%</v>
      </c>
      <c r="W87" t="str">
        <f>"90.8400%"</f>
        <v>90.8400%</v>
      </c>
      <c r="X87" t="str">
        <f>"83.4465%"</f>
        <v>83.4465%</v>
      </c>
      <c r="Y87" t="s">
        <v>943</v>
      </c>
      <c r="Z87" t="str">
        <f>"91.7090%"</f>
        <v>91.7090%</v>
      </c>
      <c r="AA87" t="str">
        <f>"91.7090%"</f>
        <v>91.7090%</v>
      </c>
      <c r="AB87" t="s">
        <v>944</v>
      </c>
      <c r="AC87" t="s">
        <v>945</v>
      </c>
      <c r="AD87" t="s">
        <v>946</v>
      </c>
      <c r="AE87" t="str">
        <f>"0.011"</f>
        <v>0.011</v>
      </c>
    </row>
    <row r="88" spans="1:31" x14ac:dyDescent="0.3">
      <c r="A88" s="1" t="s">
        <v>947</v>
      </c>
      <c r="B88" t="s">
        <v>683</v>
      </c>
      <c r="C88" t="s">
        <v>948</v>
      </c>
      <c r="D88" t="s">
        <v>50</v>
      </c>
      <c r="E88" t="s">
        <v>82</v>
      </c>
      <c r="F88" t="s">
        <v>37</v>
      </c>
      <c r="G88" t="str">
        <f t="shared" si="5"/>
        <v>11000</v>
      </c>
      <c r="H88" t="s">
        <v>949</v>
      </c>
      <c r="I88" t="str">
        <f>"100%"</f>
        <v>100%</v>
      </c>
      <c r="J88" t="str">
        <f>"-0.03"</f>
        <v>-0.03</v>
      </c>
      <c r="K88" t="str">
        <f t="shared" si="6"/>
        <v>110</v>
      </c>
      <c r="L88" t="str">
        <f>"HNF1A p.S487N"</f>
        <v>HNF1A p.S487N</v>
      </c>
      <c r="M88" t="str">
        <f>"NM_000545"</f>
        <v>NM_000545</v>
      </c>
      <c r="O88" t="s">
        <v>941</v>
      </c>
      <c r="P88" t="str">
        <f>"100%"</f>
        <v>100%</v>
      </c>
      <c r="Q88" t="str">
        <f>"-0.00"</f>
        <v>-0.00</v>
      </c>
      <c r="S88" t="s">
        <v>40</v>
      </c>
      <c r="T88" t="s">
        <v>950</v>
      </c>
      <c r="U88" t="str">
        <f>"34.6500%"</f>
        <v>34.6500%</v>
      </c>
      <c r="V88" t="str">
        <f>"33.7800%"</f>
        <v>33.7800%</v>
      </c>
      <c r="W88" t="str">
        <f>"24.7300%"</f>
        <v>24.7300%</v>
      </c>
      <c r="X88" t="str">
        <f>"31.7692%"</f>
        <v>31.7692%</v>
      </c>
      <c r="Y88" t="s">
        <v>951</v>
      </c>
      <c r="Z88" t="str">
        <f>"33.8070%"</f>
        <v>33.8070%</v>
      </c>
      <c r="AA88" t="str">
        <f>"33.8520%"</f>
        <v>33.8520%</v>
      </c>
      <c r="AB88" t="s">
        <v>952</v>
      </c>
      <c r="AC88" t="s">
        <v>953</v>
      </c>
      <c r="AD88" t="s">
        <v>954</v>
      </c>
      <c r="AE88" t="str">
        <f>"12.39"</f>
        <v>12.39</v>
      </c>
    </row>
    <row r="89" spans="1:31" x14ac:dyDescent="0.3">
      <c r="A89" s="1" t="s">
        <v>955</v>
      </c>
      <c r="B89" t="s">
        <v>274</v>
      </c>
      <c r="C89" t="s">
        <v>956</v>
      </c>
      <c r="D89" t="s">
        <v>36</v>
      </c>
      <c r="E89" t="s">
        <v>35</v>
      </c>
      <c r="F89" t="s">
        <v>37</v>
      </c>
      <c r="G89" t="str">
        <f t="shared" si="5"/>
        <v>11000</v>
      </c>
      <c r="H89" t="s">
        <v>957</v>
      </c>
      <c r="I89" t="str">
        <f>"49%"</f>
        <v>49%</v>
      </c>
      <c r="J89" t="str">
        <f>"-0.02"</f>
        <v>-0.02</v>
      </c>
      <c r="K89" t="str">
        <f t="shared" si="6"/>
        <v>110</v>
      </c>
      <c r="L89" t="str">
        <f>"FANCA p.G809D"</f>
        <v>FANCA p.G809D</v>
      </c>
      <c r="M89" t="str">
        <f>"NM_000135"</f>
        <v>NM_000135</v>
      </c>
      <c r="O89" t="s">
        <v>958</v>
      </c>
      <c r="P89" t="str">
        <f>"45%"</f>
        <v>45%</v>
      </c>
      <c r="Q89" t="str">
        <f>"-0.00"</f>
        <v>-0.00</v>
      </c>
      <c r="S89" t="s">
        <v>40</v>
      </c>
      <c r="T89" t="s">
        <v>959</v>
      </c>
      <c r="U89" t="str">
        <f>"46.9000%"</f>
        <v>46.9000%</v>
      </c>
      <c r="V89" t="str">
        <f>"47.1000%"</f>
        <v>47.1000%</v>
      </c>
      <c r="W89" t="str">
        <f>"43.0700%"</f>
        <v>43.0700%</v>
      </c>
      <c r="X89" t="str">
        <f>"66.6733%"</f>
        <v>66.6733%</v>
      </c>
      <c r="Y89" t="s">
        <v>960</v>
      </c>
      <c r="Z89" t="str">
        <f>"46.7250%"</f>
        <v>46.7250%</v>
      </c>
      <c r="AA89" t="str">
        <f>"46.7250%"</f>
        <v>46.7250%</v>
      </c>
      <c r="AB89" t="s">
        <v>961</v>
      </c>
      <c r="AC89" t="s">
        <v>962</v>
      </c>
      <c r="AD89" t="s">
        <v>963</v>
      </c>
      <c r="AE89" t="str">
        <f>"3.507"</f>
        <v>3.507</v>
      </c>
    </row>
    <row r="90" spans="1:31" x14ac:dyDescent="0.3">
      <c r="A90" s="1" t="s">
        <v>964</v>
      </c>
      <c r="B90" t="s">
        <v>47</v>
      </c>
      <c r="C90" t="s">
        <v>965</v>
      </c>
      <c r="D90" t="s">
        <v>82</v>
      </c>
      <c r="E90" t="s">
        <v>50</v>
      </c>
      <c r="F90" t="s">
        <v>37</v>
      </c>
      <c r="G90" t="str">
        <f t="shared" si="5"/>
        <v>11000</v>
      </c>
      <c r="H90" t="s">
        <v>966</v>
      </c>
      <c r="I90" t="str">
        <f>"98%"</f>
        <v>98%</v>
      </c>
      <c r="J90" t="str">
        <f>"-0.51"</f>
        <v>-0.51</v>
      </c>
      <c r="K90" t="str">
        <f t="shared" si="6"/>
        <v>110</v>
      </c>
      <c r="L90" t="str">
        <f>"RPL10 p.N202S"</f>
        <v>RPL10 p.N202S</v>
      </c>
      <c r="M90" t="str">
        <f>"NM_001303625"</f>
        <v>NM_001303625</v>
      </c>
      <c r="O90" t="s">
        <v>967</v>
      </c>
      <c r="P90" t="str">
        <f>"99%"</f>
        <v>99%</v>
      </c>
      <c r="Q90" t="str">
        <f>"-0.55"</f>
        <v>-0.55</v>
      </c>
      <c r="S90" t="s">
        <v>40</v>
      </c>
      <c r="T90" t="s">
        <v>968</v>
      </c>
      <c r="U90" t="str">
        <f>"82.6100%"</f>
        <v>82.6100%</v>
      </c>
      <c r="V90" t="str">
        <f>"82.2900%"</f>
        <v>82.2900%</v>
      </c>
      <c r="W90" t="str">
        <f>""</f>
        <v/>
      </c>
      <c r="X90" t="str">
        <f>"66.8874%"</f>
        <v>66.8874%</v>
      </c>
      <c r="Y90" t="s">
        <v>969</v>
      </c>
      <c r="Z90" t="str">
        <f>"83.9970%"</f>
        <v>83.9970%</v>
      </c>
      <c r="AA90" t="str">
        <f>"84.0840%"</f>
        <v>84.0840%</v>
      </c>
      <c r="AB90" t="s">
        <v>970</v>
      </c>
      <c r="AC90" t="s">
        <v>971</v>
      </c>
      <c r="AD90" t="s">
        <v>972</v>
      </c>
      <c r="AE90" t="str">
        <f>"8.909"</f>
        <v>8.909</v>
      </c>
    </row>
    <row r="91" spans="1:31" x14ac:dyDescent="0.3">
      <c r="A91" s="1" t="s">
        <v>973</v>
      </c>
      <c r="B91" t="s">
        <v>683</v>
      </c>
      <c r="C91" t="s">
        <v>974</v>
      </c>
      <c r="D91" t="s">
        <v>82</v>
      </c>
      <c r="E91" t="s">
        <v>36</v>
      </c>
      <c r="F91" t="s">
        <v>37</v>
      </c>
      <c r="G91" t="str">
        <f t="shared" si="5"/>
        <v>11000</v>
      </c>
      <c r="H91" t="s">
        <v>975</v>
      </c>
      <c r="I91" t="str">
        <f>"100%"</f>
        <v>100%</v>
      </c>
      <c r="J91" t="str">
        <f>"-0.03"</f>
        <v>-0.03</v>
      </c>
      <c r="K91" t="str">
        <f t="shared" si="6"/>
        <v>110</v>
      </c>
      <c r="L91" t="str">
        <f>"HNF1A p.I27L"</f>
        <v>HNF1A p.I27L</v>
      </c>
      <c r="M91" t="str">
        <f>"NM_000545"</f>
        <v>NM_000545</v>
      </c>
      <c r="O91" t="s">
        <v>976</v>
      </c>
      <c r="P91" t="str">
        <f>"99%"</f>
        <v>99%</v>
      </c>
      <c r="Q91" t="str">
        <f>"-0.00"</f>
        <v>-0.00</v>
      </c>
      <c r="S91" t="s">
        <v>40</v>
      </c>
      <c r="T91" t="s">
        <v>977</v>
      </c>
      <c r="U91" t="str">
        <f>"35.3300%"</f>
        <v>35.3300%</v>
      </c>
      <c r="V91" t="str">
        <f>"35.5800%"</f>
        <v>35.5800%</v>
      </c>
      <c r="W91" t="str">
        <f>"26.2500%"</f>
        <v>26.2500%</v>
      </c>
      <c r="X91" t="str">
        <f>"29.8522%"</f>
        <v>29.8522%</v>
      </c>
      <c r="Y91" t="s">
        <v>978</v>
      </c>
      <c r="Z91" t="str">
        <f>"34.7230%"</f>
        <v>34.7230%</v>
      </c>
      <c r="AA91" t="str">
        <f>"34.7690%"</f>
        <v>34.7690%</v>
      </c>
      <c r="AB91" t="s">
        <v>979</v>
      </c>
      <c r="AC91" t="s">
        <v>980</v>
      </c>
      <c r="AD91" t="s">
        <v>981</v>
      </c>
      <c r="AE91" t="str">
        <f>"14.27"</f>
        <v>14.27</v>
      </c>
    </row>
    <row r="92" spans="1:31" x14ac:dyDescent="0.3">
      <c r="A92" s="1" t="s">
        <v>982</v>
      </c>
      <c r="B92" t="s">
        <v>106</v>
      </c>
      <c r="C92" t="s">
        <v>983</v>
      </c>
      <c r="D92" t="s">
        <v>50</v>
      </c>
      <c r="E92" t="s">
        <v>82</v>
      </c>
      <c r="F92" t="s">
        <v>37</v>
      </c>
      <c r="G92" t="str">
        <f t="shared" si="5"/>
        <v>11000</v>
      </c>
      <c r="H92" t="s">
        <v>984</v>
      </c>
      <c r="I92" t="str">
        <f>"47%"</f>
        <v>47%</v>
      </c>
      <c r="J92" t="str">
        <f>"-0.26"</f>
        <v>-0.26</v>
      </c>
      <c r="K92" t="str">
        <f t="shared" si="6"/>
        <v>110</v>
      </c>
      <c r="L92" t="str">
        <f>"FGFR4"</f>
        <v>FGFR4</v>
      </c>
      <c r="M92" t="str">
        <f>""</f>
        <v/>
      </c>
      <c r="O92" t="s">
        <v>83</v>
      </c>
      <c r="P92" t="str">
        <f>"53%"</f>
        <v>53%</v>
      </c>
      <c r="Q92" t="str">
        <f>"-0.01"</f>
        <v>-0.01</v>
      </c>
      <c r="S92" t="s">
        <v>40</v>
      </c>
      <c r="T92" t="s">
        <v>985</v>
      </c>
      <c r="U92" t="str">
        <f>"32.1000%"</f>
        <v>32.1000%</v>
      </c>
      <c r="V92" t="str">
        <f>"32.7000%"</f>
        <v>32.7000%</v>
      </c>
      <c r="W92" t="str">
        <f>"24.2300%"</f>
        <v>24.2300%</v>
      </c>
      <c r="X92" t="str">
        <f>"29.9521%"</f>
        <v>29.9521%</v>
      </c>
      <c r="Y92" t="s">
        <v>986</v>
      </c>
      <c r="Z92" t="str">
        <f>"33.6920%"</f>
        <v>33.6920%</v>
      </c>
      <c r="AA92" t="str">
        <f>"33.6230%"</f>
        <v>33.6230%</v>
      </c>
      <c r="AB92" t="s">
        <v>987</v>
      </c>
      <c r="AC92" t="s">
        <v>988</v>
      </c>
      <c r="AD92" t="s">
        <v>989</v>
      </c>
      <c r="AE92" t="str">
        <f>"19.01"</f>
        <v>19.01</v>
      </c>
    </row>
    <row r="93" spans="1:31" x14ac:dyDescent="0.3">
      <c r="A93" s="1" t="s">
        <v>990</v>
      </c>
      <c r="B93" t="s">
        <v>65</v>
      </c>
      <c r="C93" t="s">
        <v>991</v>
      </c>
      <c r="D93" t="s">
        <v>36</v>
      </c>
      <c r="E93" t="s">
        <v>50</v>
      </c>
      <c r="F93" t="s">
        <v>37</v>
      </c>
      <c r="G93" t="str">
        <f t="shared" si="5"/>
        <v>11000</v>
      </c>
      <c r="H93" t="s">
        <v>992</v>
      </c>
      <c r="I93" t="str">
        <f>"100%"</f>
        <v>100%</v>
      </c>
      <c r="J93" t="str">
        <f>"0.15"</f>
        <v>0.15</v>
      </c>
      <c r="K93" t="str">
        <f t="shared" si="6"/>
        <v>110</v>
      </c>
      <c r="L93" t="str">
        <f>"IGF2R p.L252V"</f>
        <v>IGF2R p.L252V</v>
      </c>
      <c r="M93" t="str">
        <f>"NM_000876"</f>
        <v>NM_000876</v>
      </c>
      <c r="O93" t="s">
        <v>993</v>
      </c>
      <c r="P93" t="str">
        <f>"100%"</f>
        <v>100%</v>
      </c>
      <c r="Q93" t="str">
        <f>"0.01"</f>
        <v>0.01</v>
      </c>
      <c r="S93" t="s">
        <v>40</v>
      </c>
      <c r="T93" t="s">
        <v>994</v>
      </c>
      <c r="U93" t="str">
        <f>"14.0500%"</f>
        <v>14.0500%</v>
      </c>
      <c r="V93" t="str">
        <f>"13.2600%"</f>
        <v>13.2600%</v>
      </c>
      <c r="W93" t="str">
        <f>"13.3800%"</f>
        <v>13.3800%</v>
      </c>
      <c r="X93" t="str">
        <f>"16.0343%"</f>
        <v>16.0343%</v>
      </c>
      <c r="Y93" t="s">
        <v>995</v>
      </c>
      <c r="Z93" t="str">
        <f>"13.1240%"</f>
        <v>13.1240%</v>
      </c>
      <c r="AA93" t="str">
        <f>"13.1240%"</f>
        <v>13.1240%</v>
      </c>
      <c r="AB93" t="s">
        <v>996</v>
      </c>
      <c r="AC93" t="s">
        <v>997</v>
      </c>
      <c r="AE93" t="str">
        <f>"16.39"</f>
        <v>16.39</v>
      </c>
    </row>
    <row r="94" spans="1:31" x14ac:dyDescent="0.3">
      <c r="A94" s="1" t="s">
        <v>998</v>
      </c>
      <c r="B94" t="s">
        <v>47</v>
      </c>
      <c r="C94" t="s">
        <v>999</v>
      </c>
      <c r="D94" t="s">
        <v>35</v>
      </c>
      <c r="E94" t="s">
        <v>36</v>
      </c>
      <c r="F94" t="s">
        <v>37</v>
      </c>
      <c r="G94" t="str">
        <f t="shared" si="5"/>
        <v>11000</v>
      </c>
      <c r="H94" t="s">
        <v>1000</v>
      </c>
      <c r="I94" t="str">
        <f>"100%"</f>
        <v>100%</v>
      </c>
      <c r="J94" t="str">
        <f>"-0.51"</f>
        <v>-0.51</v>
      </c>
      <c r="K94" t="str">
        <f t="shared" si="6"/>
        <v>110</v>
      </c>
      <c r="L94" t="str">
        <f>"BCORL1 p.F111L"</f>
        <v>BCORL1 p.F111L</v>
      </c>
      <c r="M94" t="str">
        <f>"NM_021946"</f>
        <v>NM_021946</v>
      </c>
      <c r="O94" t="s">
        <v>1001</v>
      </c>
      <c r="P94" t="str">
        <f>"100%"</f>
        <v>100%</v>
      </c>
      <c r="Q94" t="str">
        <f>"-0.55"</f>
        <v>-0.55</v>
      </c>
      <c r="S94" t="s">
        <v>40</v>
      </c>
      <c r="T94" t="s">
        <v>1002</v>
      </c>
      <c r="U94" t="str">
        <f>"100.0000%"</f>
        <v>100.0000%</v>
      </c>
      <c r="V94" t="str">
        <f>"100.0000%"</f>
        <v>100.0000%</v>
      </c>
      <c r="W94" t="str">
        <f>""</f>
        <v/>
      </c>
      <c r="X94" t="str">
        <f>"100.0000%"</f>
        <v>100.0000%</v>
      </c>
      <c r="Y94" t="s">
        <v>1003</v>
      </c>
      <c r="Z94" t="str">
        <f>"99.8550%"</f>
        <v>99.8550%</v>
      </c>
      <c r="AA94" t="str">
        <f>"99.9130%"</f>
        <v>99.9130%</v>
      </c>
      <c r="AB94" t="s">
        <v>1004</v>
      </c>
      <c r="AC94" t="s">
        <v>1005</v>
      </c>
      <c r="AE94" t="str">
        <f>"4.265"</f>
        <v>4.265</v>
      </c>
    </row>
    <row r="95" spans="1:31" x14ac:dyDescent="0.3">
      <c r="A95" s="1" t="s">
        <v>1006</v>
      </c>
      <c r="B95" t="s">
        <v>65</v>
      </c>
      <c r="C95" t="s">
        <v>1007</v>
      </c>
      <c r="D95" t="s">
        <v>36</v>
      </c>
      <c r="E95" t="s">
        <v>82</v>
      </c>
      <c r="F95" t="s">
        <v>37</v>
      </c>
      <c r="G95" t="str">
        <f t="shared" si="5"/>
        <v>11000</v>
      </c>
      <c r="H95" t="s">
        <v>1008</v>
      </c>
      <c r="I95" t="str">
        <f>"51%"</f>
        <v>51%</v>
      </c>
      <c r="J95" t="str">
        <f>"0.01"</f>
        <v>0.01</v>
      </c>
      <c r="K95" t="str">
        <f t="shared" si="6"/>
        <v>110</v>
      </c>
      <c r="L95" t="str">
        <f>"CDKN1A p.S31R"</f>
        <v>CDKN1A p.S31R</v>
      </c>
      <c r="M95" t="str">
        <f>"NM_001220778"</f>
        <v>NM_001220778</v>
      </c>
      <c r="O95" t="s">
        <v>1009</v>
      </c>
      <c r="P95" t="str">
        <f>"50%"</f>
        <v>50%</v>
      </c>
      <c r="Q95" t="str">
        <f>"0.00"</f>
        <v>0.00</v>
      </c>
      <c r="S95" t="s">
        <v>40</v>
      </c>
      <c r="T95" t="s">
        <v>1010</v>
      </c>
      <c r="U95" t="str">
        <f>"14.7900%"</f>
        <v>14.7900%</v>
      </c>
      <c r="V95" t="str">
        <f>"15.2400%"</f>
        <v>15.2400%</v>
      </c>
      <c r="W95" t="str">
        <f>"12.7600%"</f>
        <v>12.7600%</v>
      </c>
      <c r="X95" t="str">
        <f>"25.6190%"</f>
        <v>25.6190%</v>
      </c>
      <c r="Y95" t="s">
        <v>1011</v>
      </c>
      <c r="Z95" t="str">
        <f>"17.0640%"</f>
        <v>17.0640%</v>
      </c>
      <c r="AA95" t="str">
        <f>"17.0640%"</f>
        <v>17.0640%</v>
      </c>
      <c r="AB95" t="s">
        <v>1012</v>
      </c>
      <c r="AC95" t="s">
        <v>1013</v>
      </c>
      <c r="AD95" t="s">
        <v>1014</v>
      </c>
      <c r="AE95" t="str">
        <f>"0.006"</f>
        <v>0.006</v>
      </c>
    </row>
    <row r="96" spans="1:31" x14ac:dyDescent="0.3">
      <c r="A96" s="1" t="s">
        <v>1015</v>
      </c>
      <c r="B96" t="s">
        <v>683</v>
      </c>
      <c r="C96" t="s">
        <v>1016</v>
      </c>
      <c r="D96" t="s">
        <v>50</v>
      </c>
      <c r="E96" t="s">
        <v>82</v>
      </c>
      <c r="F96" t="s">
        <v>37</v>
      </c>
      <c r="G96" t="str">
        <f t="shared" si="5"/>
        <v>11000</v>
      </c>
      <c r="H96" t="s">
        <v>932</v>
      </c>
      <c r="I96" t="str">
        <f>"51%"</f>
        <v>51%</v>
      </c>
      <c r="J96" t="str">
        <f>"-0.03"</f>
        <v>-0.03</v>
      </c>
      <c r="K96" t="str">
        <f t="shared" si="6"/>
        <v>110</v>
      </c>
      <c r="L96" t="str">
        <f>"ESPL1 p.R1561Q"</f>
        <v>ESPL1 p.R1561Q</v>
      </c>
      <c r="M96" t="str">
        <f>"NM_012291"</f>
        <v>NM_012291</v>
      </c>
      <c r="O96" t="s">
        <v>1017</v>
      </c>
      <c r="P96" t="str">
        <f>"43%"</f>
        <v>43%</v>
      </c>
      <c r="Q96" t="str">
        <f>"-0.00"</f>
        <v>-0.00</v>
      </c>
      <c r="S96" t="s">
        <v>40</v>
      </c>
      <c r="T96" t="s">
        <v>1018</v>
      </c>
      <c r="U96" t="str">
        <f>"28.9700%"</f>
        <v>28.9700%</v>
      </c>
      <c r="V96" t="str">
        <f>"29.0100%"</f>
        <v>29.0100%</v>
      </c>
      <c r="W96" t="str">
        <f>"32.0400%"</f>
        <v>32.0400%</v>
      </c>
      <c r="X96" t="str">
        <f>"23.7620%"</f>
        <v>23.7620%</v>
      </c>
      <c r="Y96" t="s">
        <v>1019</v>
      </c>
      <c r="Z96" t="str">
        <f>"28.1720%"</f>
        <v>28.1720%</v>
      </c>
      <c r="AA96" t="str">
        <f>"28.1950%"</f>
        <v>28.1950%</v>
      </c>
      <c r="AB96" t="s">
        <v>1020</v>
      </c>
      <c r="AE96" t="str">
        <f>"6.020"</f>
        <v>6.020</v>
      </c>
    </row>
    <row r="97" spans="1:31" x14ac:dyDescent="0.3">
      <c r="A97" s="1" t="s">
        <v>1021</v>
      </c>
      <c r="B97" t="s">
        <v>33</v>
      </c>
      <c r="C97" t="s">
        <v>1022</v>
      </c>
      <c r="D97" t="s">
        <v>36</v>
      </c>
      <c r="E97" t="s">
        <v>35</v>
      </c>
      <c r="F97" t="s">
        <v>37</v>
      </c>
      <c r="G97" t="str">
        <f t="shared" si="5"/>
        <v>11000</v>
      </c>
      <c r="H97" t="s">
        <v>884</v>
      </c>
      <c r="I97" t="str">
        <f>"100%"</f>
        <v>100%</v>
      </c>
      <c r="J97" t="str">
        <f>"-0.04"</f>
        <v>-0.04</v>
      </c>
      <c r="K97" t="str">
        <f t="shared" si="6"/>
        <v>110</v>
      </c>
      <c r="L97" t="str">
        <f>"RNF43 p.R117H"</f>
        <v>RNF43 p.R117H</v>
      </c>
      <c r="M97" t="str">
        <f>"NM_017763"</f>
        <v>NM_017763</v>
      </c>
      <c r="O97" t="s">
        <v>1023</v>
      </c>
      <c r="P97" t="str">
        <f>"100%"</f>
        <v>100%</v>
      </c>
      <c r="Q97" t="str">
        <f>"0.00"</f>
        <v>0.00</v>
      </c>
      <c r="S97" t="s">
        <v>40</v>
      </c>
      <c r="T97" t="s">
        <v>1024</v>
      </c>
      <c r="U97" t="str">
        <f>"16.4100%"</f>
        <v>16.4100%</v>
      </c>
      <c r="V97" t="str">
        <f>"15.7400%"</f>
        <v>15.7400%</v>
      </c>
      <c r="W97" t="str">
        <f>"13.4700%"</f>
        <v>13.4700%</v>
      </c>
      <c r="X97" t="str">
        <f>"22.6238%"</f>
        <v>22.6238%</v>
      </c>
      <c r="Y97" t="s">
        <v>1025</v>
      </c>
      <c r="Z97" t="str">
        <f>"15.2770%"</f>
        <v>15.2770%</v>
      </c>
      <c r="AA97" t="str">
        <f>"15.2770%"</f>
        <v>15.2770%</v>
      </c>
      <c r="AB97" t="s">
        <v>1026</v>
      </c>
      <c r="AC97" t="s">
        <v>1027</v>
      </c>
      <c r="AE97" t="str">
        <f>"19.62"</f>
        <v>19.62</v>
      </c>
    </row>
    <row r="98" spans="1:31" x14ac:dyDescent="0.3">
      <c r="A98" s="1" t="s">
        <v>1028</v>
      </c>
      <c r="B98" t="s">
        <v>113</v>
      </c>
      <c r="C98" t="s">
        <v>1029</v>
      </c>
      <c r="D98" t="s">
        <v>50</v>
      </c>
      <c r="E98" t="s">
        <v>82</v>
      </c>
      <c r="F98" t="s">
        <v>37</v>
      </c>
      <c r="G98" t="str">
        <f t="shared" si="5"/>
        <v>11000</v>
      </c>
      <c r="H98" t="s">
        <v>1030</v>
      </c>
      <c r="I98" t="str">
        <f>"100%"</f>
        <v>100%</v>
      </c>
      <c r="J98" t="str">
        <f>"-0.16"</f>
        <v>-0.16</v>
      </c>
      <c r="K98" t="str">
        <f t="shared" si="6"/>
        <v>110</v>
      </c>
      <c r="L98" t="str">
        <f>"DOT1L p.G1386S"</f>
        <v>DOT1L p.G1386S</v>
      </c>
      <c r="M98" t="str">
        <f>"NM_032482"</f>
        <v>NM_032482</v>
      </c>
      <c r="O98" t="s">
        <v>1031</v>
      </c>
      <c r="P98" t="str">
        <f>"100%"</f>
        <v>100%</v>
      </c>
      <c r="Q98" t="str">
        <f>"-0.04"</f>
        <v>-0.04</v>
      </c>
      <c r="S98" t="s">
        <v>40</v>
      </c>
      <c r="T98" t="s">
        <v>1032</v>
      </c>
      <c r="U98" t="str">
        <f>"39.8900%"</f>
        <v>39.8900%</v>
      </c>
      <c r="V98" t="str">
        <f>"35.0300%"</f>
        <v>35.0300%</v>
      </c>
      <c r="W98" t="str">
        <f>"32.1200%"</f>
        <v>32.1200%</v>
      </c>
      <c r="X98" t="str">
        <f>"22.5639%"</f>
        <v>22.5639%</v>
      </c>
      <c r="Y98" t="s">
        <v>1033</v>
      </c>
      <c r="Z98" t="str">
        <f>"36.9670%"</f>
        <v>36.9670%</v>
      </c>
      <c r="AA98" t="str">
        <f>"36.9220%"</f>
        <v>36.9220%</v>
      </c>
      <c r="AB98" t="s">
        <v>1034</v>
      </c>
      <c r="AC98" t="s">
        <v>1035</v>
      </c>
      <c r="AE98" t="str">
        <f>"0.015"</f>
        <v>0.015</v>
      </c>
    </row>
    <row r="99" spans="1:31" x14ac:dyDescent="0.3">
      <c r="A99" s="1" t="s">
        <v>1036</v>
      </c>
      <c r="B99" t="s">
        <v>283</v>
      </c>
      <c r="C99" t="s">
        <v>1037</v>
      </c>
      <c r="D99" t="s">
        <v>50</v>
      </c>
      <c r="E99" t="s">
        <v>82</v>
      </c>
      <c r="F99" t="s">
        <v>37</v>
      </c>
      <c r="G99" t="str">
        <f t="shared" si="5"/>
        <v>11000</v>
      </c>
      <c r="H99" t="s">
        <v>1038</v>
      </c>
      <c r="I99" t="str">
        <f>"100%"</f>
        <v>100%</v>
      </c>
      <c r="J99" t="str">
        <f>"0.07"</f>
        <v>0.07</v>
      </c>
      <c r="K99" t="str">
        <f t="shared" si="6"/>
        <v>110</v>
      </c>
      <c r="L99" t="str">
        <f>"CUX1"</f>
        <v>CUX1</v>
      </c>
      <c r="M99" t="str">
        <f>""</f>
        <v/>
      </c>
      <c r="O99" t="s">
        <v>1039</v>
      </c>
      <c r="P99" t="str">
        <f>"100%"</f>
        <v>100%</v>
      </c>
      <c r="Q99" t="str">
        <f>"-0.02"</f>
        <v>-0.02</v>
      </c>
      <c r="S99" t="s">
        <v>40</v>
      </c>
      <c r="T99" t="s">
        <v>1040</v>
      </c>
      <c r="U99" t="str">
        <f>"56.8500%"</f>
        <v>56.8500%</v>
      </c>
      <c r="V99" t="str">
        <f>"56.4300%"</f>
        <v>56.4300%</v>
      </c>
      <c r="W99" t="str">
        <f>"57.5000%"</f>
        <v>57.5000%</v>
      </c>
      <c r="X99" t="str">
        <f>"55.9105%"</f>
        <v>55.9105%</v>
      </c>
      <c r="Y99" t="s">
        <v>1041</v>
      </c>
      <c r="Z99" t="str">
        <f>"55.7260%"</f>
        <v>55.7260%</v>
      </c>
      <c r="AA99" t="str">
        <f>"55.6800%"</f>
        <v>55.6800%</v>
      </c>
      <c r="AB99" t="s">
        <v>1042</v>
      </c>
      <c r="AC99" t="s">
        <v>1043</v>
      </c>
      <c r="AE99" t="str">
        <f>"6.651"</f>
        <v>6.651</v>
      </c>
    </row>
    <row r="100" spans="1:31" x14ac:dyDescent="0.3">
      <c r="A100" s="1" t="s">
        <v>1044</v>
      </c>
      <c r="B100" t="s">
        <v>113</v>
      </c>
      <c r="C100" t="s">
        <v>1045</v>
      </c>
      <c r="D100" t="s">
        <v>35</v>
      </c>
      <c r="E100" t="s">
        <v>50</v>
      </c>
      <c r="F100" t="s">
        <v>37</v>
      </c>
      <c r="G100" t="str">
        <f t="shared" si="5"/>
        <v>11000</v>
      </c>
      <c r="H100" t="s">
        <v>1030</v>
      </c>
      <c r="I100" t="str">
        <f>"100%"</f>
        <v>100%</v>
      </c>
      <c r="J100" t="str">
        <f>"-0.08"</f>
        <v>-0.08</v>
      </c>
      <c r="K100" t="str">
        <f t="shared" si="6"/>
        <v>110</v>
      </c>
      <c r="L100" t="str">
        <f>"ERCC2 p.K751Q"</f>
        <v>ERCC2 p.K751Q</v>
      </c>
      <c r="M100" t="str">
        <f>"NM_000400"</f>
        <v>NM_000400</v>
      </c>
      <c r="O100" t="s">
        <v>1046</v>
      </c>
      <c r="P100" t="str">
        <f>"100%"</f>
        <v>100%</v>
      </c>
      <c r="Q100" t="str">
        <f>"-0.01"</f>
        <v>-0.01</v>
      </c>
      <c r="S100" t="s">
        <v>40</v>
      </c>
      <c r="T100" t="s">
        <v>1047</v>
      </c>
      <c r="U100" t="str">
        <f>"33.0800%"</f>
        <v>33.0800%</v>
      </c>
      <c r="V100" t="str">
        <f>"32.6200%"</f>
        <v>32.6200%</v>
      </c>
      <c r="W100" t="str">
        <f>"32.6000%"</f>
        <v>32.6000%</v>
      </c>
      <c r="X100" t="str">
        <f>"23.6621%"</f>
        <v>23.6621%</v>
      </c>
      <c r="Y100" t="s">
        <v>1048</v>
      </c>
      <c r="Z100" t="str">
        <f>"29.4320%"</f>
        <v>29.4320%</v>
      </c>
      <c r="AA100" t="str">
        <f>"29.4320%"</f>
        <v>29.4320%</v>
      </c>
      <c r="AB100" t="s">
        <v>1049</v>
      </c>
      <c r="AC100" t="s">
        <v>1050</v>
      </c>
      <c r="AD100" t="s">
        <v>1051</v>
      </c>
      <c r="AE100" t="str">
        <f>"1.232"</f>
        <v>1.232</v>
      </c>
    </row>
    <row r="101" spans="1:31" x14ac:dyDescent="0.3">
      <c r="A101" s="1" t="s">
        <v>1052</v>
      </c>
      <c r="B101" t="s">
        <v>106</v>
      </c>
      <c r="C101" t="s">
        <v>1053</v>
      </c>
      <c r="D101" t="s">
        <v>50</v>
      </c>
      <c r="E101" t="s">
        <v>36</v>
      </c>
      <c r="F101" t="s">
        <v>37</v>
      </c>
      <c r="G101" t="str">
        <f t="shared" si="5"/>
        <v>11000</v>
      </c>
      <c r="H101" t="s">
        <v>1054</v>
      </c>
      <c r="I101" t="str">
        <f>"49%"</f>
        <v>49%</v>
      </c>
      <c r="J101" t="str">
        <f>"-0.34"</f>
        <v>-0.34</v>
      </c>
      <c r="K101" t="str">
        <f t="shared" si="6"/>
        <v>110</v>
      </c>
      <c r="L101" t="str">
        <f>"FLT4 p.H890Q"</f>
        <v>FLT4 p.H890Q</v>
      </c>
      <c r="M101" t="str">
        <f>"NM_002020"</f>
        <v>NM_002020</v>
      </c>
      <c r="O101" t="s">
        <v>1055</v>
      </c>
      <c r="P101" t="str">
        <f>"42%"</f>
        <v>42%</v>
      </c>
      <c r="Q101" t="str">
        <f>"-0.01"</f>
        <v>-0.01</v>
      </c>
      <c r="S101" t="s">
        <v>40</v>
      </c>
      <c r="T101" t="s">
        <v>1056</v>
      </c>
      <c r="U101" t="str">
        <f>"62.4700%"</f>
        <v>62.4700%</v>
      </c>
      <c r="V101" t="str">
        <f>"63.0100%"</f>
        <v>63.0100%</v>
      </c>
      <c r="W101" t="str">
        <f>"59.7000%"</f>
        <v>59.7000%</v>
      </c>
      <c r="X101" t="str">
        <f>"58.2668%"</f>
        <v>58.2668%</v>
      </c>
      <c r="Y101" t="s">
        <v>1057</v>
      </c>
      <c r="Z101" t="str">
        <f>"62.4600%"</f>
        <v>62.4600%</v>
      </c>
      <c r="AA101" t="str">
        <f>"62.4830%"</f>
        <v>62.4830%</v>
      </c>
      <c r="AB101" t="s">
        <v>1058</v>
      </c>
      <c r="AC101" t="s">
        <v>1059</v>
      </c>
      <c r="AD101" t="s">
        <v>1060</v>
      </c>
      <c r="AE101" t="str">
        <f>"16.09"</f>
        <v>16.09</v>
      </c>
    </row>
    <row r="102" spans="1:31" x14ac:dyDescent="0.3">
      <c r="A102" s="1" t="s">
        <v>230</v>
      </c>
      <c r="B102" t="s">
        <v>231</v>
      </c>
      <c r="C102" t="s">
        <v>232</v>
      </c>
      <c r="D102" t="s">
        <v>233</v>
      </c>
      <c r="E102" t="s">
        <v>50</v>
      </c>
      <c r="F102" t="s">
        <v>37</v>
      </c>
      <c r="G102" t="str">
        <f>"00000"</f>
        <v>00000</v>
      </c>
      <c r="H102" t="s">
        <v>234</v>
      </c>
      <c r="I102" t="str">
        <f>"34%"</f>
        <v>34%</v>
      </c>
      <c r="J102" t="str">
        <f>"0.05"</f>
        <v>0.05</v>
      </c>
      <c r="K102" t="str">
        <f>"000"</f>
        <v>000</v>
      </c>
      <c r="L102" t="str">
        <f>"LZTR1 p.216_217del"</f>
        <v>LZTR1 p.216_217del</v>
      </c>
      <c r="M102" t="str">
        <f>"NM_006767"</f>
        <v>NM_006767</v>
      </c>
      <c r="O102" t="s">
        <v>235</v>
      </c>
      <c r="P102" t="str">
        <f>"29%"</f>
        <v>29%</v>
      </c>
      <c r="Q102" t="str">
        <f>"0.02"</f>
        <v>0.02</v>
      </c>
      <c r="S102" t="s">
        <v>160</v>
      </c>
      <c r="T102" t="s">
        <v>236</v>
      </c>
      <c r="U102" t="str">
        <f>"0.0100%"</f>
        <v>0.0100%</v>
      </c>
      <c r="V102" t="str">
        <f>"0.0200%"</f>
        <v>0.0200%</v>
      </c>
      <c r="W102" t="str">
        <f>""</f>
        <v/>
      </c>
      <c r="X102" t="str">
        <f>"17.9113%"</f>
        <v>17.9113%</v>
      </c>
      <c r="Y102" t="s">
        <v>237</v>
      </c>
      <c r="Z102" t="str">
        <f>"21.6220%"</f>
        <v>21.6220%</v>
      </c>
      <c r="AA102" t="str">
        <f>"6.0010%"</f>
        <v>6.0010%</v>
      </c>
      <c r="AB102" t="s">
        <v>238</v>
      </c>
      <c r="AC102" t="s">
        <v>239</v>
      </c>
      <c r="AD102" t="s">
        <v>240</v>
      </c>
      <c r="AE102" t="str">
        <f>""</f>
        <v/>
      </c>
    </row>
    <row r="103" spans="1:31" x14ac:dyDescent="0.3">
      <c r="A103" s="1" t="s">
        <v>208</v>
      </c>
      <c r="B103" t="s">
        <v>209</v>
      </c>
      <c r="C103" t="s">
        <v>210</v>
      </c>
      <c r="D103" t="s">
        <v>211</v>
      </c>
      <c r="E103" t="s">
        <v>50</v>
      </c>
      <c r="F103" t="s">
        <v>37</v>
      </c>
      <c r="G103" t="str">
        <f>"10000"</f>
        <v>10000</v>
      </c>
      <c r="H103" t="s">
        <v>212</v>
      </c>
      <c r="I103" t="str">
        <f>"11%"</f>
        <v>11%</v>
      </c>
      <c r="J103" t="str">
        <f>"0.00"</f>
        <v>0.00</v>
      </c>
      <c r="K103" t="str">
        <f t="shared" ref="K103:K111" si="7">"110"</f>
        <v>110</v>
      </c>
      <c r="L103" t="str">
        <f>"MAP3K9 p.38_39del"</f>
        <v>MAP3K9 p.38_39del</v>
      </c>
      <c r="M103" t="str">
        <f>"NM_033141"</f>
        <v>NM_033141</v>
      </c>
      <c r="O103" t="s">
        <v>213</v>
      </c>
      <c r="P103" t="str">
        <f>"14%"</f>
        <v>14%</v>
      </c>
      <c r="Q103" t="str">
        <f>"-0.00"</f>
        <v>-0.00</v>
      </c>
      <c r="S103" t="s">
        <v>160</v>
      </c>
      <c r="T103" t="s">
        <v>214</v>
      </c>
      <c r="U103" t="str">
        <f>"4.3800%"</f>
        <v>4.3800%</v>
      </c>
      <c r="V103" t="str">
        <f>"23.2200%"</f>
        <v>23.2200%</v>
      </c>
      <c r="W103" t="str">
        <f>"13.7800%"</f>
        <v>13.7800%</v>
      </c>
      <c r="X103" t="str">
        <f>""</f>
        <v/>
      </c>
      <c r="Y103" t="s">
        <v>215</v>
      </c>
      <c r="Z103" t="str">
        <f>"21.9880%"</f>
        <v>21.9880%</v>
      </c>
      <c r="AA103" t="str">
        <f>"30.7380%"</f>
        <v>30.7380%</v>
      </c>
      <c r="AB103" t="s">
        <v>216</v>
      </c>
      <c r="AC103" t="s">
        <v>217</v>
      </c>
      <c r="AE103" t="str">
        <f>""</f>
        <v/>
      </c>
    </row>
    <row r="104" spans="1:31" x14ac:dyDescent="0.3">
      <c r="A104" s="1" t="s">
        <v>1061</v>
      </c>
      <c r="B104" t="s">
        <v>106</v>
      </c>
      <c r="C104" t="s">
        <v>1062</v>
      </c>
      <c r="D104" t="s">
        <v>82</v>
      </c>
      <c r="E104" t="s">
        <v>50</v>
      </c>
      <c r="F104" t="s">
        <v>37</v>
      </c>
      <c r="G104" t="str">
        <f t="shared" ref="G104:G111" si="8">"11000"</f>
        <v>11000</v>
      </c>
      <c r="H104" t="s">
        <v>135</v>
      </c>
      <c r="I104" t="str">
        <f>"100%"</f>
        <v>100%</v>
      </c>
      <c r="J104" t="str">
        <f>"-0.00"</f>
        <v>-0.00</v>
      </c>
      <c r="K104" t="str">
        <f t="shared" si="7"/>
        <v>110</v>
      </c>
      <c r="L104" t="str">
        <f>"MSH3 p.I79V"</f>
        <v>MSH3 p.I79V</v>
      </c>
      <c r="M104" t="str">
        <f>"NM_002439"</f>
        <v>NM_002439</v>
      </c>
      <c r="O104" t="s">
        <v>1063</v>
      </c>
      <c r="P104" t="str">
        <f>"99%"</f>
        <v>99%</v>
      </c>
      <c r="Q104" t="str">
        <f>"-0.01"</f>
        <v>-0.01</v>
      </c>
      <c r="S104" t="s">
        <v>40</v>
      </c>
      <c r="T104" t="s">
        <v>1064</v>
      </c>
      <c r="U104" t="str">
        <f>"90.2900%"</f>
        <v>90.2900%</v>
      </c>
      <c r="V104" t="str">
        <f>"85.7300%"</f>
        <v>85.7300%</v>
      </c>
      <c r="W104" t="str">
        <f>""</f>
        <v/>
      </c>
      <c r="X104" t="str">
        <f>"76.8570%"</f>
        <v>76.8570%</v>
      </c>
      <c r="Y104" t="s">
        <v>1065</v>
      </c>
      <c r="Z104" t="str">
        <f>"75.7210%"</f>
        <v>75.7210%</v>
      </c>
      <c r="AA104" t="str">
        <f>"75.7900%"</f>
        <v>75.7900%</v>
      </c>
      <c r="AB104" t="s">
        <v>1066</v>
      </c>
      <c r="AC104" t="s">
        <v>1067</v>
      </c>
      <c r="AD104" t="s">
        <v>1068</v>
      </c>
      <c r="AE104" t="str">
        <f>"8.959"</f>
        <v>8.959</v>
      </c>
    </row>
    <row r="105" spans="1:31" x14ac:dyDescent="0.3">
      <c r="A105" s="1" t="s">
        <v>1069</v>
      </c>
      <c r="B105" t="s">
        <v>113</v>
      </c>
      <c r="C105" t="s">
        <v>1070</v>
      </c>
      <c r="D105" t="s">
        <v>36</v>
      </c>
      <c r="E105" t="s">
        <v>35</v>
      </c>
      <c r="F105" t="s">
        <v>37</v>
      </c>
      <c r="G105" t="str">
        <f t="shared" si="8"/>
        <v>11000</v>
      </c>
      <c r="H105" t="s">
        <v>173</v>
      </c>
      <c r="I105" t="str">
        <f>"58%"</f>
        <v>58%</v>
      </c>
      <c r="J105" t="str">
        <f>"-0.08"</f>
        <v>-0.08</v>
      </c>
      <c r="K105" t="str">
        <f t="shared" si="7"/>
        <v>110</v>
      </c>
      <c r="L105" t="str">
        <f>"ERCC2 p.D312N"</f>
        <v>ERCC2 p.D312N</v>
      </c>
      <c r="M105" t="str">
        <f>"NM_000400"</f>
        <v>NM_000400</v>
      </c>
      <c r="O105" t="s">
        <v>108</v>
      </c>
      <c r="P105" t="str">
        <f>"57%"</f>
        <v>57%</v>
      </c>
      <c r="Q105" t="str">
        <f>"-0.01"</f>
        <v>-0.01</v>
      </c>
      <c r="S105" t="s">
        <v>40</v>
      </c>
      <c r="T105" t="s">
        <v>1071</v>
      </c>
      <c r="U105" t="str">
        <f>"37.8800%"</f>
        <v>37.8800%</v>
      </c>
      <c r="V105" t="str">
        <f>"29.0700%"</f>
        <v>29.0700%</v>
      </c>
      <c r="W105" t="str">
        <f>"24.3800%"</f>
        <v>24.3800%</v>
      </c>
      <c r="X105" t="str">
        <f>"19.4489%"</f>
        <v>19.4489%</v>
      </c>
      <c r="Y105" t="s">
        <v>1072</v>
      </c>
      <c r="Z105" t="str">
        <f>"27.1190%"</f>
        <v>27.1190%</v>
      </c>
      <c r="AA105" t="str">
        <f>"27.1420%"</f>
        <v>27.1420%</v>
      </c>
      <c r="AB105" t="s">
        <v>1073</v>
      </c>
      <c r="AC105" t="s">
        <v>1074</v>
      </c>
      <c r="AD105" t="s">
        <v>1075</v>
      </c>
      <c r="AE105" t="str">
        <f>"20.0"</f>
        <v>20.0</v>
      </c>
    </row>
    <row r="106" spans="1:31" x14ac:dyDescent="0.3">
      <c r="A106" s="1" t="s">
        <v>1076</v>
      </c>
      <c r="B106" t="s">
        <v>33</v>
      </c>
      <c r="C106" t="s">
        <v>1077</v>
      </c>
      <c r="D106" t="s">
        <v>82</v>
      </c>
      <c r="E106" t="s">
        <v>50</v>
      </c>
      <c r="F106" t="s">
        <v>37</v>
      </c>
      <c r="G106" t="str">
        <f t="shared" si="8"/>
        <v>11000</v>
      </c>
      <c r="H106" t="s">
        <v>1078</v>
      </c>
      <c r="I106" t="str">
        <f>"49%"</f>
        <v>49%</v>
      </c>
      <c r="J106" t="str">
        <f>"-0.04"</f>
        <v>-0.04</v>
      </c>
      <c r="K106" t="str">
        <f t="shared" si="7"/>
        <v>110</v>
      </c>
      <c r="L106" t="str">
        <f>"BRIP1 p.S919P"</f>
        <v>BRIP1 p.S919P</v>
      </c>
      <c r="M106" t="str">
        <f>"NM_032043"</f>
        <v>NM_032043</v>
      </c>
      <c r="O106" t="s">
        <v>67</v>
      </c>
      <c r="P106" t="str">
        <f>"49%"</f>
        <v>49%</v>
      </c>
      <c r="Q106" t="str">
        <f>"0.00"</f>
        <v>0.00</v>
      </c>
      <c r="S106" t="s">
        <v>40</v>
      </c>
      <c r="T106" t="s">
        <v>1079</v>
      </c>
      <c r="U106" t="str">
        <f>"59.7200%"</f>
        <v>59.7200%</v>
      </c>
      <c r="V106" t="str">
        <f>"59.9800%"</f>
        <v>59.9800%</v>
      </c>
      <c r="W106" t="str">
        <f>"61.3400%"</f>
        <v>61.3400%</v>
      </c>
      <c r="X106" t="str">
        <f>"62.7796%"</f>
        <v>62.7796%</v>
      </c>
      <c r="Y106" t="s">
        <v>1080</v>
      </c>
      <c r="Z106" t="str">
        <f>"63.2390%"</f>
        <v>63.2390%</v>
      </c>
      <c r="AA106" t="str">
        <f>"63.2840%"</f>
        <v>63.2840%</v>
      </c>
      <c r="AB106" t="s">
        <v>1081</v>
      </c>
      <c r="AC106" t="s">
        <v>1082</v>
      </c>
      <c r="AD106" t="s">
        <v>1083</v>
      </c>
      <c r="AE106" t="str">
        <f>"4.321"</f>
        <v>4.321</v>
      </c>
    </row>
    <row r="107" spans="1:31" x14ac:dyDescent="0.3">
      <c r="A107" s="1" t="s">
        <v>1084</v>
      </c>
      <c r="B107" t="s">
        <v>351</v>
      </c>
      <c r="C107" t="s">
        <v>1085</v>
      </c>
      <c r="D107" t="s">
        <v>35</v>
      </c>
      <c r="E107" t="s">
        <v>36</v>
      </c>
      <c r="F107" t="s">
        <v>37</v>
      </c>
      <c r="G107" t="str">
        <f t="shared" si="8"/>
        <v>11000</v>
      </c>
      <c r="H107" t="s">
        <v>1086</v>
      </c>
      <c r="I107" t="str">
        <f>"48%"</f>
        <v>48%</v>
      </c>
      <c r="J107" t="str">
        <f>"-0.24"</f>
        <v>-0.24</v>
      </c>
      <c r="K107" t="str">
        <f t="shared" si="7"/>
        <v>110</v>
      </c>
      <c r="L107" t="str">
        <f>"POLQ p.H1201R"</f>
        <v>POLQ p.H1201R</v>
      </c>
      <c r="M107" t="str">
        <f>"NM_199420"</f>
        <v>NM_199420</v>
      </c>
      <c r="O107" t="s">
        <v>1087</v>
      </c>
      <c r="P107" t="str">
        <f>"51%"</f>
        <v>51%</v>
      </c>
      <c r="Q107" t="str">
        <f>"-0.01"</f>
        <v>-0.01</v>
      </c>
      <c r="S107" t="s">
        <v>40</v>
      </c>
      <c r="T107" t="s">
        <v>1088</v>
      </c>
      <c r="U107" t="str">
        <f>"23.2500%"</f>
        <v>23.2500%</v>
      </c>
      <c r="V107" t="str">
        <f>"23.9700%"</f>
        <v>23.9700%</v>
      </c>
      <c r="W107" t="str">
        <f>"13.2500%"</f>
        <v>13.2500%</v>
      </c>
      <c r="X107" t="str">
        <f>"28.9736%"</f>
        <v>28.9736%</v>
      </c>
      <c r="Y107" t="s">
        <v>1089</v>
      </c>
      <c r="Z107" t="str">
        <f>"22.6290%"</f>
        <v>22.6290%</v>
      </c>
      <c r="AA107" t="str">
        <f>"22.6290%"</f>
        <v>22.6290%</v>
      </c>
      <c r="AB107" t="s">
        <v>1090</v>
      </c>
      <c r="AE107" t="str">
        <f>"3.626"</f>
        <v>3.626</v>
      </c>
    </row>
    <row r="108" spans="1:31" x14ac:dyDescent="0.3">
      <c r="A108" s="1" t="s">
        <v>1091</v>
      </c>
      <c r="B108" t="s">
        <v>88</v>
      </c>
      <c r="C108" t="s">
        <v>1092</v>
      </c>
      <c r="D108" t="s">
        <v>36</v>
      </c>
      <c r="E108" t="s">
        <v>50</v>
      </c>
      <c r="F108" t="s">
        <v>37</v>
      </c>
      <c r="G108" t="str">
        <f t="shared" si="8"/>
        <v>11000</v>
      </c>
      <c r="H108" t="s">
        <v>1093</v>
      </c>
      <c r="I108" t="str">
        <f>"100%"</f>
        <v>100%</v>
      </c>
      <c r="J108" t="str">
        <f>"-0.01"</f>
        <v>-0.01</v>
      </c>
      <c r="K108" t="str">
        <f t="shared" si="7"/>
        <v>110</v>
      </c>
      <c r="L108" t="str">
        <f>"BARD1 p.R378S"</f>
        <v>BARD1 p.R378S</v>
      </c>
      <c r="M108" t="str">
        <f>"NM_000465"</f>
        <v>NM_000465</v>
      </c>
      <c r="O108" t="s">
        <v>1094</v>
      </c>
      <c r="P108" t="str">
        <f>"100%"</f>
        <v>100%</v>
      </c>
      <c r="Q108" t="str">
        <f>"-0.01"</f>
        <v>-0.01</v>
      </c>
      <c r="S108" t="s">
        <v>40</v>
      </c>
      <c r="T108" t="s">
        <v>1095</v>
      </c>
      <c r="U108" t="str">
        <f>"54.8700%"</f>
        <v>54.8700%</v>
      </c>
      <c r="V108" t="str">
        <f>"54.4900%"</f>
        <v>54.4900%</v>
      </c>
      <c r="W108" t="str">
        <f>"53.1800%"</f>
        <v>53.1800%</v>
      </c>
      <c r="X108" t="str">
        <f>"45.9265%"</f>
        <v>45.9265%</v>
      </c>
      <c r="Y108" t="s">
        <v>1096</v>
      </c>
      <c r="Z108" t="str">
        <f>"53.0460%"</f>
        <v>53.0460%</v>
      </c>
      <c r="AA108" t="str">
        <f>"53.0230%"</f>
        <v>53.0230%</v>
      </c>
      <c r="AB108" t="s">
        <v>1097</v>
      </c>
      <c r="AC108" t="s">
        <v>1098</v>
      </c>
      <c r="AD108" t="s">
        <v>1099</v>
      </c>
      <c r="AE108" t="str">
        <f>"10.79"</f>
        <v>10.79</v>
      </c>
    </row>
    <row r="109" spans="1:31" x14ac:dyDescent="0.3">
      <c r="A109" s="1" t="s">
        <v>1100</v>
      </c>
      <c r="B109" t="s">
        <v>65</v>
      </c>
      <c r="C109" t="s">
        <v>1101</v>
      </c>
      <c r="D109" t="s">
        <v>82</v>
      </c>
      <c r="E109" t="s">
        <v>35</v>
      </c>
      <c r="F109" t="s">
        <v>37</v>
      </c>
      <c r="G109" t="str">
        <f t="shared" si="8"/>
        <v>11000</v>
      </c>
      <c r="H109" t="s">
        <v>1102</v>
      </c>
      <c r="I109" t="str">
        <f>"100%"</f>
        <v>100%</v>
      </c>
      <c r="J109" t="str">
        <f>"0.02"</f>
        <v>0.02</v>
      </c>
      <c r="K109" t="str">
        <f t="shared" si="7"/>
        <v>110</v>
      </c>
      <c r="L109" t="str">
        <f>"SYNE1"</f>
        <v>SYNE1</v>
      </c>
      <c r="M109" t="str">
        <f>""</f>
        <v/>
      </c>
      <c r="O109" t="s">
        <v>1103</v>
      </c>
      <c r="P109" t="str">
        <f>"100%"</f>
        <v>100%</v>
      </c>
      <c r="Q109" t="str">
        <f>"-0.00"</f>
        <v>-0.00</v>
      </c>
      <c r="S109" t="s">
        <v>40</v>
      </c>
      <c r="T109" t="s">
        <v>1104</v>
      </c>
      <c r="U109" t="str">
        <f>"77.6000%"</f>
        <v>77.6000%</v>
      </c>
      <c r="V109" t="str">
        <f>"77.9800%"</f>
        <v>77.9800%</v>
      </c>
      <c r="W109" t="str">
        <f>"79.5900%"</f>
        <v>79.5900%</v>
      </c>
      <c r="X109" t="str">
        <f>"80.3315%"</f>
        <v>80.3315%</v>
      </c>
      <c r="Y109" t="s">
        <v>1105</v>
      </c>
      <c r="Z109" t="str">
        <f>"78.2410%"</f>
        <v>78.2410%</v>
      </c>
      <c r="AA109" t="str">
        <f>"78.2180%"</f>
        <v>78.2180%</v>
      </c>
      <c r="AB109" t="s">
        <v>1106</v>
      </c>
      <c r="AC109" t="s">
        <v>1107</v>
      </c>
      <c r="AD109" t="s">
        <v>1108</v>
      </c>
      <c r="AE109" t="str">
        <f>"0.004"</f>
        <v>0.004</v>
      </c>
    </row>
    <row r="110" spans="1:31" x14ac:dyDescent="0.3">
      <c r="A110" s="1" t="s">
        <v>1109</v>
      </c>
      <c r="B110" t="s">
        <v>330</v>
      </c>
      <c r="C110" t="s">
        <v>1110</v>
      </c>
      <c r="D110" t="s">
        <v>50</v>
      </c>
      <c r="E110" t="s">
        <v>36</v>
      </c>
      <c r="F110" t="s">
        <v>37</v>
      </c>
      <c r="G110" t="str">
        <f t="shared" si="8"/>
        <v>11000</v>
      </c>
      <c r="H110" t="s">
        <v>1111</v>
      </c>
      <c r="I110" t="str">
        <f>"47%"</f>
        <v>47%</v>
      </c>
      <c r="J110" t="str">
        <f>"0.05"</f>
        <v>0.05</v>
      </c>
      <c r="K110" t="str">
        <f t="shared" si="7"/>
        <v>110</v>
      </c>
      <c r="L110" t="str">
        <f>"NCOA3 p.Q586H"</f>
        <v>NCOA3 p.Q586H</v>
      </c>
      <c r="M110" t="str">
        <f>"NM_181659"</f>
        <v>NM_181659</v>
      </c>
      <c r="O110" t="s">
        <v>1112</v>
      </c>
      <c r="P110" t="str">
        <f>"50%"</f>
        <v>50%</v>
      </c>
      <c r="Q110" t="str">
        <f t="shared" ref="Q110:Q117" si="9">"-0.01"</f>
        <v>-0.01</v>
      </c>
      <c r="S110" t="s">
        <v>40</v>
      </c>
      <c r="T110" t="s">
        <v>1113</v>
      </c>
      <c r="U110" t="str">
        <f>"7.0100%"</f>
        <v>7.0100%</v>
      </c>
      <c r="V110" t="str">
        <f>"7.1100%"</f>
        <v>7.1100%</v>
      </c>
      <c r="W110" t="str">
        <f>"7.0000%"</f>
        <v>7.0000%</v>
      </c>
      <c r="X110" t="str">
        <f>"3.9537%"</f>
        <v>3.9537%</v>
      </c>
      <c r="Y110" t="s">
        <v>1114</v>
      </c>
      <c r="Z110" t="str">
        <f>"7.3750%"</f>
        <v>7.3750%</v>
      </c>
      <c r="AA110" t="str">
        <f>"7.3750%"</f>
        <v>7.3750%</v>
      </c>
      <c r="AB110" t="s">
        <v>1115</v>
      </c>
      <c r="AC110" t="s">
        <v>1116</v>
      </c>
      <c r="AE110" t="str">
        <f>"14.27"</f>
        <v>14.27</v>
      </c>
    </row>
    <row r="111" spans="1:31" x14ac:dyDescent="0.3">
      <c r="A111" s="1" t="s">
        <v>1117</v>
      </c>
      <c r="B111" t="s">
        <v>106</v>
      </c>
      <c r="C111" t="s">
        <v>1118</v>
      </c>
      <c r="D111" t="s">
        <v>50</v>
      </c>
      <c r="E111" t="s">
        <v>82</v>
      </c>
      <c r="F111" t="s">
        <v>37</v>
      </c>
      <c r="G111" t="str">
        <f t="shared" si="8"/>
        <v>11000</v>
      </c>
      <c r="H111" t="s">
        <v>1087</v>
      </c>
      <c r="I111" t="str">
        <f>"50%"</f>
        <v>50%</v>
      </c>
      <c r="J111" t="str">
        <f>"-0.00"</f>
        <v>-0.00</v>
      </c>
      <c r="K111" t="str">
        <f t="shared" si="7"/>
        <v>110</v>
      </c>
      <c r="L111" t="str">
        <f>"MAP3K1 p.D806N"</f>
        <v>MAP3K1 p.D806N</v>
      </c>
      <c r="M111" t="str">
        <f>"NM_005921"</f>
        <v>NM_005921</v>
      </c>
      <c r="O111" t="s">
        <v>1119</v>
      </c>
      <c r="P111" t="str">
        <f>"48%"</f>
        <v>48%</v>
      </c>
      <c r="Q111" t="str">
        <f t="shared" si="9"/>
        <v>-0.01</v>
      </c>
      <c r="S111" t="s">
        <v>40</v>
      </c>
      <c r="T111" t="s">
        <v>1120</v>
      </c>
      <c r="U111" t="str">
        <f>"59.8400%"</f>
        <v>59.8400%</v>
      </c>
      <c r="V111" t="str">
        <f>"59.5100%"</f>
        <v>59.5100%</v>
      </c>
      <c r="W111" t="str">
        <f>"65.0100%"</f>
        <v>65.0100%</v>
      </c>
      <c r="X111" t="str">
        <f>"47.6438%"</f>
        <v>47.6438%</v>
      </c>
      <c r="Y111" t="s">
        <v>1121</v>
      </c>
      <c r="Z111" t="str">
        <f>"59.6430%"</f>
        <v>59.6430%</v>
      </c>
      <c r="AA111" t="str">
        <f>"59.6660%"</f>
        <v>59.6660%</v>
      </c>
      <c r="AB111" t="s">
        <v>1122</v>
      </c>
      <c r="AC111" t="s">
        <v>1123</v>
      </c>
      <c r="AD111" t="s">
        <v>1124</v>
      </c>
      <c r="AE111" t="str">
        <f>"13.63"</f>
        <v>13.63</v>
      </c>
    </row>
    <row r="112" spans="1:31" x14ac:dyDescent="0.3">
      <c r="A112" s="1" t="s">
        <v>1125</v>
      </c>
      <c r="B112" t="s">
        <v>106</v>
      </c>
      <c r="C112" t="s">
        <v>1126</v>
      </c>
      <c r="D112" t="s">
        <v>1127</v>
      </c>
      <c r="E112" t="s">
        <v>82</v>
      </c>
      <c r="F112" t="s">
        <v>37</v>
      </c>
      <c r="G112" t="str">
        <f>"11100"</f>
        <v>11100</v>
      </c>
      <c r="H112" t="s">
        <v>1128</v>
      </c>
      <c r="I112" t="str">
        <f>"47%"</f>
        <v>47%</v>
      </c>
      <c r="J112" t="str">
        <f>"-0.00"</f>
        <v>-0.00</v>
      </c>
      <c r="K112" t="str">
        <f>"111"</f>
        <v>111</v>
      </c>
      <c r="L112" t="str">
        <f>"CHD1 p.1684_1684del"</f>
        <v>CHD1 p.1684_1684del</v>
      </c>
      <c r="M112" t="str">
        <f>"NM_001270"</f>
        <v>NM_001270</v>
      </c>
      <c r="O112" t="s">
        <v>426</v>
      </c>
      <c r="P112" t="str">
        <f>"50%"</f>
        <v>50%</v>
      </c>
      <c r="Q112" t="str">
        <f t="shared" si="9"/>
        <v>-0.01</v>
      </c>
      <c r="S112" t="s">
        <v>160</v>
      </c>
      <c r="T112" t="s">
        <v>1129</v>
      </c>
      <c r="U112" t="str">
        <f>"22.2100%"</f>
        <v>22.2100%</v>
      </c>
      <c r="V112" t="str">
        <f>"21.6500%"</f>
        <v>21.6500%</v>
      </c>
      <c r="W112" t="str">
        <f>"29.4500%"</f>
        <v>29.4500%</v>
      </c>
      <c r="X112" t="str">
        <f>"21.2660%"</f>
        <v>21.2660%</v>
      </c>
      <c r="Y112" t="s">
        <v>1130</v>
      </c>
      <c r="Z112" t="str">
        <f>"23.5680%"</f>
        <v>23.5680%</v>
      </c>
      <c r="AA112" t="str">
        <f>"23.5680%"</f>
        <v>23.5680%</v>
      </c>
      <c r="AB112" t="s">
        <v>1131</v>
      </c>
      <c r="AC112" t="s">
        <v>1132</v>
      </c>
      <c r="AE112" t="str">
        <f>""</f>
        <v/>
      </c>
    </row>
    <row r="113" spans="1:31" x14ac:dyDescent="0.3">
      <c r="A113" s="1" t="s">
        <v>1133</v>
      </c>
      <c r="B113" t="s">
        <v>351</v>
      </c>
      <c r="C113" t="s">
        <v>1134</v>
      </c>
      <c r="D113" t="s">
        <v>50</v>
      </c>
      <c r="E113" t="s">
        <v>35</v>
      </c>
      <c r="F113" t="s">
        <v>37</v>
      </c>
      <c r="G113" t="str">
        <f t="shared" ref="G113:G151" si="10">"11000"</f>
        <v>11000</v>
      </c>
      <c r="H113" t="s">
        <v>1135</v>
      </c>
      <c r="I113" t="str">
        <f>"45%"</f>
        <v>45%</v>
      </c>
      <c r="J113" t="str">
        <f>"-0.24"</f>
        <v>-0.24</v>
      </c>
      <c r="K113" t="str">
        <f t="shared" ref="K113:K151" si="11">"110"</f>
        <v>110</v>
      </c>
      <c r="L113" t="str">
        <f>"POLQ p.P1381T"</f>
        <v>POLQ p.P1381T</v>
      </c>
      <c r="M113" t="str">
        <f>"NM_199420"</f>
        <v>NM_199420</v>
      </c>
      <c r="O113" t="s">
        <v>443</v>
      </c>
      <c r="P113" t="str">
        <f>"48%"</f>
        <v>48%</v>
      </c>
      <c r="Q113" t="str">
        <f t="shared" si="9"/>
        <v>-0.01</v>
      </c>
      <c r="S113" t="s">
        <v>40</v>
      </c>
      <c r="T113" t="s">
        <v>1136</v>
      </c>
      <c r="U113" t="str">
        <f>"2.3300%"</f>
        <v>2.3300%</v>
      </c>
      <c r="V113" t="str">
        <f>"2.3600%"</f>
        <v>2.3600%</v>
      </c>
      <c r="W113" t="str">
        <f>"1.8000%"</f>
        <v>1.8000%</v>
      </c>
      <c r="X113" t="str">
        <f>"1.7772%"</f>
        <v>1.7772%</v>
      </c>
      <c r="Y113" t="s">
        <v>1137</v>
      </c>
      <c r="Z113" t="str">
        <f>"2.2220%"</f>
        <v>2.2220%</v>
      </c>
      <c r="AA113" t="str">
        <f>"2.1990%"</f>
        <v>2.1990%</v>
      </c>
      <c r="AB113" t="s">
        <v>1138</v>
      </c>
      <c r="AE113" t="str">
        <f>"1.238"</f>
        <v>1.238</v>
      </c>
    </row>
    <row r="114" spans="1:31" x14ac:dyDescent="0.3">
      <c r="A114" s="1" t="s">
        <v>1139</v>
      </c>
      <c r="B114" t="s">
        <v>219</v>
      </c>
      <c r="C114" t="s">
        <v>1140</v>
      </c>
      <c r="D114" t="s">
        <v>35</v>
      </c>
      <c r="E114" t="s">
        <v>36</v>
      </c>
      <c r="F114" t="s">
        <v>37</v>
      </c>
      <c r="G114" t="str">
        <f t="shared" si="10"/>
        <v>11000</v>
      </c>
      <c r="H114" t="s">
        <v>1141</v>
      </c>
      <c r="I114" t="str">
        <f>"52%"</f>
        <v>52%</v>
      </c>
      <c r="J114" t="str">
        <f>"0.04"</f>
        <v>0.04</v>
      </c>
      <c r="K114" t="str">
        <f t="shared" si="11"/>
        <v>110</v>
      </c>
      <c r="L114" t="str">
        <f>"MAML2 p.Q237R"</f>
        <v>MAML2 p.Q237R</v>
      </c>
      <c r="M114" t="str">
        <f>"NM_032427"</f>
        <v>NM_032427</v>
      </c>
      <c r="O114" t="s">
        <v>1142</v>
      </c>
      <c r="P114" t="str">
        <f>"49%"</f>
        <v>49%</v>
      </c>
      <c r="Q114" t="str">
        <f t="shared" si="9"/>
        <v>-0.01</v>
      </c>
      <c r="S114" t="s">
        <v>40</v>
      </c>
      <c r="T114" t="s">
        <v>1143</v>
      </c>
      <c r="U114" t="str">
        <f>"1.4000%"</f>
        <v>1.4000%</v>
      </c>
      <c r="V114" t="str">
        <f>"1.4100%"</f>
        <v>1.4100%</v>
      </c>
      <c r="W114" t="str">
        <f>"1.4600%"</f>
        <v>1.4600%</v>
      </c>
      <c r="X114" t="str">
        <f>"0.5391%"</f>
        <v>0.5391%</v>
      </c>
      <c r="Y114" t="s">
        <v>1144</v>
      </c>
      <c r="Z114" t="str">
        <f>"1.3740%"</f>
        <v>1.3740%</v>
      </c>
      <c r="AA114" t="str">
        <f>"1.3970%"</f>
        <v>1.3970%</v>
      </c>
      <c r="AB114" t="s">
        <v>1145</v>
      </c>
      <c r="AC114" t="s">
        <v>1146</v>
      </c>
      <c r="AE114" t="str">
        <f>"8.969"</f>
        <v>8.969</v>
      </c>
    </row>
    <row r="115" spans="1:31" x14ac:dyDescent="0.3">
      <c r="A115" s="1" t="s">
        <v>1147</v>
      </c>
      <c r="B115" t="s">
        <v>320</v>
      </c>
      <c r="C115" t="s">
        <v>1148</v>
      </c>
      <c r="D115" t="s">
        <v>35</v>
      </c>
      <c r="E115" t="s">
        <v>36</v>
      </c>
      <c r="F115" t="s">
        <v>37</v>
      </c>
      <c r="G115" t="str">
        <f t="shared" si="10"/>
        <v>11000</v>
      </c>
      <c r="H115" t="s">
        <v>1149</v>
      </c>
      <c r="I115" t="str">
        <f>"45%"</f>
        <v>45%</v>
      </c>
      <c r="J115" t="str">
        <f>"0.03"</f>
        <v>0.03</v>
      </c>
      <c r="K115" t="str">
        <f t="shared" si="11"/>
        <v>110</v>
      </c>
      <c r="L115" t="str">
        <f>"FAT1 p.H1273R"</f>
        <v>FAT1 p.H1273R</v>
      </c>
      <c r="M115" t="str">
        <f>"NM_005245"</f>
        <v>NM_005245</v>
      </c>
      <c r="O115" t="s">
        <v>1150</v>
      </c>
      <c r="P115" t="str">
        <f>"48%"</f>
        <v>48%</v>
      </c>
      <c r="Q115" t="str">
        <f t="shared" si="9"/>
        <v>-0.01</v>
      </c>
      <c r="S115" t="s">
        <v>40</v>
      </c>
      <c r="T115" t="s">
        <v>1151</v>
      </c>
      <c r="U115" t="str">
        <f>"58.7600%"</f>
        <v>58.7600%</v>
      </c>
      <c r="V115" t="str">
        <f>"58.8500%"</f>
        <v>58.8500%</v>
      </c>
      <c r="W115" t="str">
        <f>"63.3800%"</f>
        <v>63.3800%</v>
      </c>
      <c r="X115" t="str">
        <f>"64.5767%"</f>
        <v>64.5767%</v>
      </c>
      <c r="Y115" t="s">
        <v>1152</v>
      </c>
      <c r="Z115" t="str">
        <f>"58.8640%"</f>
        <v>58.8640%</v>
      </c>
      <c r="AA115" t="str">
        <f>"58.8640%"</f>
        <v>58.8640%</v>
      </c>
      <c r="AB115" t="s">
        <v>1153</v>
      </c>
      <c r="AC115" t="s">
        <v>1154</v>
      </c>
      <c r="AE115" t="str">
        <f>"0.854"</f>
        <v>0.854</v>
      </c>
    </row>
    <row r="116" spans="1:31" x14ac:dyDescent="0.3">
      <c r="A116" s="1" t="s">
        <v>1155</v>
      </c>
      <c r="B116" t="s">
        <v>320</v>
      </c>
      <c r="C116" t="s">
        <v>1156</v>
      </c>
      <c r="D116" t="s">
        <v>36</v>
      </c>
      <c r="E116" t="s">
        <v>35</v>
      </c>
      <c r="F116" t="s">
        <v>37</v>
      </c>
      <c r="G116" t="str">
        <f t="shared" si="10"/>
        <v>11000</v>
      </c>
      <c r="H116" t="s">
        <v>1157</v>
      </c>
      <c r="I116" t="str">
        <f>"51%"</f>
        <v>51%</v>
      </c>
      <c r="J116" t="str">
        <f>"-0.41"</f>
        <v>-0.41</v>
      </c>
      <c r="K116" t="str">
        <f t="shared" si="11"/>
        <v>110</v>
      </c>
      <c r="L116" t="str">
        <f>"TET2 p.L34F"</f>
        <v>TET2 p.L34F</v>
      </c>
      <c r="M116" t="str">
        <f>"NM_001127208"</f>
        <v>NM_001127208</v>
      </c>
      <c r="O116" t="s">
        <v>1158</v>
      </c>
      <c r="P116" t="str">
        <f>"50%"</f>
        <v>50%</v>
      </c>
      <c r="Q116" t="str">
        <f t="shared" si="9"/>
        <v>-0.01</v>
      </c>
      <c r="S116" t="s">
        <v>40</v>
      </c>
      <c r="T116" t="s">
        <v>1159</v>
      </c>
      <c r="U116" t="str">
        <f>"1.5300%"</f>
        <v>1.5300%</v>
      </c>
      <c r="V116" t="str">
        <f>"1.5700%"</f>
        <v>1.5700%</v>
      </c>
      <c r="W116" t="str">
        <f>"1.4300%"</f>
        <v>1.4300%</v>
      </c>
      <c r="X116" t="str">
        <f>"0.6390%"</f>
        <v>0.6390%</v>
      </c>
      <c r="Y116" t="s">
        <v>1160</v>
      </c>
      <c r="Z116" t="str">
        <f>"1.3510%"</f>
        <v>1.3510%</v>
      </c>
      <c r="AA116" t="str">
        <f>"1.3510%"</f>
        <v>1.3510%</v>
      </c>
      <c r="AB116" t="s">
        <v>1161</v>
      </c>
      <c r="AC116" t="s">
        <v>1162</v>
      </c>
      <c r="AD116" t="s">
        <v>1163</v>
      </c>
      <c r="AE116" t="str">
        <f>"17.98"</f>
        <v>17.98</v>
      </c>
    </row>
    <row r="117" spans="1:31" x14ac:dyDescent="0.3">
      <c r="A117" s="1" t="s">
        <v>1164</v>
      </c>
      <c r="B117" t="s">
        <v>219</v>
      </c>
      <c r="C117" t="s">
        <v>1165</v>
      </c>
      <c r="D117" t="s">
        <v>36</v>
      </c>
      <c r="E117" t="s">
        <v>35</v>
      </c>
      <c r="F117" t="s">
        <v>37</v>
      </c>
      <c r="G117" t="str">
        <f t="shared" si="10"/>
        <v>11000</v>
      </c>
      <c r="H117" t="s">
        <v>1166</v>
      </c>
      <c r="I117" t="str">
        <f>"47%"</f>
        <v>47%</v>
      </c>
      <c r="J117" t="str">
        <f>"-0.02"</f>
        <v>-0.02</v>
      </c>
      <c r="K117" t="str">
        <f t="shared" si="11"/>
        <v>110</v>
      </c>
      <c r="L117" t="str">
        <f>"OR5L1 p.R54W"</f>
        <v>OR5L1 p.R54W</v>
      </c>
      <c r="M117" t="str">
        <f>"NM_001004738"</f>
        <v>NM_001004738</v>
      </c>
      <c r="O117" t="s">
        <v>1167</v>
      </c>
      <c r="P117" t="str">
        <f>"49%"</f>
        <v>49%</v>
      </c>
      <c r="Q117" t="str">
        <f t="shared" si="9"/>
        <v>-0.01</v>
      </c>
      <c r="S117" t="s">
        <v>40</v>
      </c>
      <c r="T117" t="s">
        <v>1168</v>
      </c>
      <c r="U117" t="str">
        <f>"7.6600%"</f>
        <v>7.6600%</v>
      </c>
      <c r="V117" t="str">
        <f>"7.2800%"</f>
        <v>7.2800%</v>
      </c>
      <c r="W117" t="str">
        <f>"9.5000%"</f>
        <v>9.5000%</v>
      </c>
      <c r="X117" t="str">
        <f>"8.9457%"</f>
        <v>8.9457%</v>
      </c>
      <c r="Y117" t="s">
        <v>1169</v>
      </c>
      <c r="Z117" t="str">
        <f>"7.2380%"</f>
        <v>7.2380%</v>
      </c>
      <c r="AA117" t="str">
        <f>"7.5580%"</f>
        <v>7.5580%</v>
      </c>
      <c r="AB117" t="s">
        <v>1170</v>
      </c>
      <c r="AC117" t="s">
        <v>1171</v>
      </c>
      <c r="AE117" t="str">
        <f>"14.43"</f>
        <v>14.43</v>
      </c>
    </row>
    <row r="118" spans="1:31" x14ac:dyDescent="0.3">
      <c r="A118" s="1" t="s">
        <v>1172</v>
      </c>
      <c r="B118" t="s">
        <v>683</v>
      </c>
      <c r="C118" t="s">
        <v>1173</v>
      </c>
      <c r="D118" t="s">
        <v>36</v>
      </c>
      <c r="E118" t="s">
        <v>35</v>
      </c>
      <c r="F118" t="s">
        <v>37</v>
      </c>
      <c r="G118" t="str">
        <f t="shared" si="10"/>
        <v>11000</v>
      </c>
      <c r="H118" t="s">
        <v>1174</v>
      </c>
      <c r="I118" t="str">
        <f>"49%"</f>
        <v>49%</v>
      </c>
      <c r="J118" t="str">
        <f>"-0.03"</f>
        <v>-0.03</v>
      </c>
      <c r="K118" t="str">
        <f t="shared" si="11"/>
        <v>110</v>
      </c>
      <c r="L118" t="str">
        <f>"PTPRB"</f>
        <v>PTPRB</v>
      </c>
      <c r="M118" t="str">
        <f>""</f>
        <v/>
      </c>
      <c r="O118" t="s">
        <v>1175</v>
      </c>
      <c r="P118" t="str">
        <f>"46%"</f>
        <v>46%</v>
      </c>
      <c r="Q118" t="str">
        <f>"-0.00"</f>
        <v>-0.00</v>
      </c>
      <c r="S118" t="s">
        <v>40</v>
      </c>
      <c r="T118" t="s">
        <v>1176</v>
      </c>
      <c r="U118" t="str">
        <f>"47.0600%"</f>
        <v>47.0600%</v>
      </c>
      <c r="V118" t="str">
        <f>"46.9900%"</f>
        <v>46.9900%</v>
      </c>
      <c r="W118" t="str">
        <f>"48.1800%"</f>
        <v>48.1800%</v>
      </c>
      <c r="X118" t="str">
        <f>"59.1254%"</f>
        <v>59.1254%</v>
      </c>
      <c r="Y118" t="s">
        <v>1177</v>
      </c>
      <c r="Z118" t="str">
        <f>"46.6330%"</f>
        <v>46.6330%</v>
      </c>
      <c r="AA118" t="str">
        <f>"46.6330%"</f>
        <v>46.6330%</v>
      </c>
      <c r="AB118" t="s">
        <v>1178</v>
      </c>
      <c r="AC118" t="s">
        <v>1179</v>
      </c>
      <c r="AE118" t="str">
        <f>"5.326"</f>
        <v>5.326</v>
      </c>
    </row>
    <row r="119" spans="1:31" x14ac:dyDescent="0.3">
      <c r="A119" s="1" t="s">
        <v>1180</v>
      </c>
      <c r="B119" t="s">
        <v>626</v>
      </c>
      <c r="C119" t="s">
        <v>1181</v>
      </c>
      <c r="D119" t="s">
        <v>82</v>
      </c>
      <c r="E119" t="s">
        <v>50</v>
      </c>
      <c r="F119" t="s">
        <v>37</v>
      </c>
      <c r="G119" t="str">
        <f t="shared" si="10"/>
        <v>11000</v>
      </c>
      <c r="H119" t="s">
        <v>1182</v>
      </c>
      <c r="I119" t="str">
        <f>"100%"</f>
        <v>100%</v>
      </c>
      <c r="J119" t="str">
        <f>"0.05"</f>
        <v>0.05</v>
      </c>
      <c r="K119" t="str">
        <f t="shared" si="11"/>
        <v>110</v>
      </c>
      <c r="L119" t="str">
        <f>"RSPO2 p.L186P"</f>
        <v>RSPO2 p.L186P</v>
      </c>
      <c r="M119" t="str">
        <f>"NM_178565"</f>
        <v>NM_178565</v>
      </c>
      <c r="O119" t="s">
        <v>1183</v>
      </c>
      <c r="P119" t="str">
        <f>"100%"</f>
        <v>100%</v>
      </c>
      <c r="Q119" t="str">
        <f>"-0.00"</f>
        <v>-0.00</v>
      </c>
      <c r="S119" t="s">
        <v>40</v>
      </c>
      <c r="T119" t="s">
        <v>1184</v>
      </c>
      <c r="U119" t="str">
        <f>"57.8400%"</f>
        <v>57.8400%</v>
      </c>
      <c r="V119" t="str">
        <f>"58.8000%"</f>
        <v>58.8000%</v>
      </c>
      <c r="W119" t="str">
        <f>"47.2900%"</f>
        <v>47.2900%</v>
      </c>
      <c r="X119" t="str">
        <f>"49.0216%"</f>
        <v>49.0216%</v>
      </c>
      <c r="Y119" t="s">
        <v>1185</v>
      </c>
      <c r="Z119" t="str">
        <f>"60.9710%"</f>
        <v>60.9710%</v>
      </c>
      <c r="AA119" t="str">
        <f>"60.9250%"</f>
        <v>60.9250%</v>
      </c>
      <c r="AB119" t="s">
        <v>1186</v>
      </c>
      <c r="AC119" t="s">
        <v>1187</v>
      </c>
      <c r="AE119" t="str">
        <f>"11.67"</f>
        <v>11.67</v>
      </c>
    </row>
    <row r="120" spans="1:31" x14ac:dyDescent="0.3">
      <c r="A120" s="1" t="s">
        <v>1188</v>
      </c>
      <c r="B120" t="s">
        <v>540</v>
      </c>
      <c r="C120" t="s">
        <v>1189</v>
      </c>
      <c r="D120" t="s">
        <v>35</v>
      </c>
      <c r="E120" t="s">
        <v>36</v>
      </c>
      <c r="F120" t="s">
        <v>37</v>
      </c>
      <c r="G120" t="str">
        <f t="shared" si="10"/>
        <v>11000</v>
      </c>
      <c r="H120" t="s">
        <v>1190</v>
      </c>
      <c r="I120" t="str">
        <f>"100%"</f>
        <v>100%</v>
      </c>
      <c r="J120" t="str">
        <f>"-0.00"</f>
        <v>-0.00</v>
      </c>
      <c r="K120" t="str">
        <f t="shared" si="11"/>
        <v>110</v>
      </c>
      <c r="L120" t="str">
        <f>"BRCA2 p.V2466A"</f>
        <v>BRCA2 p.V2466A</v>
      </c>
      <c r="M120" t="str">
        <f>"NM_000059"</f>
        <v>NM_000059</v>
      </c>
      <c r="O120" t="s">
        <v>1191</v>
      </c>
      <c r="P120" t="str">
        <f>"100%"</f>
        <v>100%</v>
      </c>
      <c r="Q120" t="str">
        <f>"-0.02"</f>
        <v>-0.02</v>
      </c>
      <c r="S120" t="s">
        <v>40</v>
      </c>
      <c r="T120" t="s">
        <v>1192</v>
      </c>
      <c r="U120" t="str">
        <f>"99.3700%"</f>
        <v>99.3700%</v>
      </c>
      <c r="V120" t="str">
        <f>"99.5000%"</f>
        <v>99.5000%</v>
      </c>
      <c r="W120" t="str">
        <f>"97.7700%"</f>
        <v>97.7700%</v>
      </c>
      <c r="X120" t="str">
        <f>"97.5839%"</f>
        <v>97.5839%</v>
      </c>
      <c r="Y120" t="s">
        <v>1193</v>
      </c>
      <c r="Z120" t="str">
        <f>"99.3360%"</f>
        <v>99.3360%</v>
      </c>
      <c r="AA120" t="str">
        <f>"99.3360%"</f>
        <v>99.3360%</v>
      </c>
      <c r="AB120" t="s">
        <v>1194</v>
      </c>
      <c r="AC120" t="s">
        <v>1195</v>
      </c>
      <c r="AD120" t="s">
        <v>1196</v>
      </c>
      <c r="AE120" t="str">
        <f>"2.662"</f>
        <v>2.662</v>
      </c>
    </row>
    <row r="121" spans="1:31" x14ac:dyDescent="0.3">
      <c r="A121" s="1" t="s">
        <v>1197</v>
      </c>
      <c r="B121" t="s">
        <v>351</v>
      </c>
      <c r="C121" t="s">
        <v>1198</v>
      </c>
      <c r="D121" t="s">
        <v>50</v>
      </c>
      <c r="E121" t="s">
        <v>36</v>
      </c>
      <c r="F121" t="s">
        <v>37</v>
      </c>
      <c r="G121" t="str">
        <f t="shared" si="10"/>
        <v>11000</v>
      </c>
      <c r="H121" t="s">
        <v>567</v>
      </c>
      <c r="I121" t="str">
        <f>"100%"</f>
        <v>100%</v>
      </c>
      <c r="J121" t="str">
        <f>"-0.24"</f>
        <v>-0.24</v>
      </c>
      <c r="K121" t="str">
        <f t="shared" si="11"/>
        <v>110</v>
      </c>
      <c r="L121" t="str">
        <f>"POLQ p.T982R"</f>
        <v>POLQ p.T982R</v>
      </c>
      <c r="M121" t="str">
        <f>"NM_199420"</f>
        <v>NM_199420</v>
      </c>
      <c r="O121" t="s">
        <v>1199</v>
      </c>
      <c r="P121" t="str">
        <f>"100%"</f>
        <v>100%</v>
      </c>
      <c r="Q121" t="str">
        <f>"-0.01"</f>
        <v>-0.01</v>
      </c>
      <c r="S121" t="s">
        <v>40</v>
      </c>
      <c r="T121" t="s">
        <v>1200</v>
      </c>
      <c r="U121" t="str">
        <f>"67.4100%"</f>
        <v>67.4100%</v>
      </c>
      <c r="V121" t="str">
        <f>"66.8700%"</f>
        <v>66.8700%</v>
      </c>
      <c r="W121" t="str">
        <f>"60.2800%"</f>
        <v>60.2800%</v>
      </c>
      <c r="X121" t="str">
        <f>"69.6486%"</f>
        <v>69.6486%</v>
      </c>
      <c r="Y121" t="s">
        <v>1201</v>
      </c>
      <c r="Z121" t="str">
        <f>"66.9490%"</f>
        <v>66.9490%</v>
      </c>
      <c r="AA121" t="str">
        <f>"66.9720%"</f>
        <v>66.9720%</v>
      </c>
      <c r="AB121" t="s">
        <v>1202</v>
      </c>
      <c r="AC121" t="s">
        <v>1203</v>
      </c>
      <c r="AE121" t="str">
        <f>"0.020"</f>
        <v>0.020</v>
      </c>
    </row>
    <row r="122" spans="1:31" x14ac:dyDescent="0.3">
      <c r="A122" s="1" t="s">
        <v>1204</v>
      </c>
      <c r="B122" t="s">
        <v>88</v>
      </c>
      <c r="C122" t="s">
        <v>1205</v>
      </c>
      <c r="D122" t="s">
        <v>50</v>
      </c>
      <c r="E122" t="s">
        <v>36</v>
      </c>
      <c r="F122" t="s">
        <v>37</v>
      </c>
      <c r="G122" t="str">
        <f t="shared" si="10"/>
        <v>11000</v>
      </c>
      <c r="H122" t="s">
        <v>1206</v>
      </c>
      <c r="I122" t="str">
        <f>"51%"</f>
        <v>51%</v>
      </c>
      <c r="J122" t="str">
        <f>"0.01"</f>
        <v>0.01</v>
      </c>
      <c r="K122" t="str">
        <f t="shared" si="11"/>
        <v>110</v>
      </c>
      <c r="L122" t="str">
        <f>"ALK p.D1529E"</f>
        <v>ALK p.D1529E</v>
      </c>
      <c r="M122" t="str">
        <f>"NM_004304"</f>
        <v>NM_004304</v>
      </c>
      <c r="O122" t="s">
        <v>1207</v>
      </c>
      <c r="P122" t="str">
        <f>"48%"</f>
        <v>48%</v>
      </c>
      <c r="Q122" t="str">
        <f>"-0.01"</f>
        <v>-0.01</v>
      </c>
      <c r="S122" t="s">
        <v>40</v>
      </c>
      <c r="T122" t="s">
        <v>1208</v>
      </c>
      <c r="U122" t="str">
        <f>"46.0000%"</f>
        <v>46.0000%</v>
      </c>
      <c r="V122" t="str">
        <f>"46.7700%"</f>
        <v>46.7700%</v>
      </c>
      <c r="W122" t="str">
        <f>"43.3500%"</f>
        <v>43.3500%</v>
      </c>
      <c r="X122" t="str">
        <f>"57.2883%"</f>
        <v>57.2883%</v>
      </c>
      <c r="Y122" t="s">
        <v>1209</v>
      </c>
      <c r="Z122" t="str">
        <f>"45.9690%"</f>
        <v>45.9690%</v>
      </c>
      <c r="AA122" t="str">
        <f>"45.9460%"</f>
        <v>45.9460%</v>
      </c>
      <c r="AB122" t="s">
        <v>1210</v>
      </c>
      <c r="AC122" t="s">
        <v>1211</v>
      </c>
      <c r="AD122" t="s">
        <v>1212</v>
      </c>
      <c r="AE122" t="str">
        <f>"2.203"</f>
        <v>2.203</v>
      </c>
    </row>
    <row r="123" spans="1:31" x14ac:dyDescent="0.3">
      <c r="A123" s="1" t="s">
        <v>1213</v>
      </c>
      <c r="B123" t="s">
        <v>320</v>
      </c>
      <c r="C123" t="s">
        <v>1214</v>
      </c>
      <c r="D123" t="s">
        <v>35</v>
      </c>
      <c r="E123" t="s">
        <v>82</v>
      </c>
      <c r="F123" t="s">
        <v>37</v>
      </c>
      <c r="G123" t="str">
        <f t="shared" si="10"/>
        <v>11000</v>
      </c>
      <c r="H123" t="s">
        <v>1215</v>
      </c>
      <c r="I123" t="str">
        <f>"46%"</f>
        <v>46%</v>
      </c>
      <c r="J123" t="str">
        <f>"0.03"</f>
        <v>0.03</v>
      </c>
      <c r="K123" t="str">
        <f t="shared" si="11"/>
        <v>110</v>
      </c>
      <c r="L123" t="str">
        <f>"FAT1 p.Q2933L"</f>
        <v>FAT1 p.Q2933L</v>
      </c>
      <c r="M123" t="str">
        <f>"NM_005245"</f>
        <v>NM_005245</v>
      </c>
      <c r="O123" t="s">
        <v>91</v>
      </c>
      <c r="P123" t="str">
        <f>"55%"</f>
        <v>55%</v>
      </c>
      <c r="Q123" t="str">
        <f>"-0.01"</f>
        <v>-0.01</v>
      </c>
      <c r="S123" t="s">
        <v>40</v>
      </c>
      <c r="T123" t="s">
        <v>1216</v>
      </c>
      <c r="U123" t="str">
        <f>"4.8000%"</f>
        <v>4.8000%</v>
      </c>
      <c r="V123" t="str">
        <f>"4.9200%"</f>
        <v>4.9200%</v>
      </c>
      <c r="W123" t="str">
        <f>""</f>
        <v/>
      </c>
      <c r="X123" t="str">
        <f>"5.3115%"</f>
        <v>5.3115%</v>
      </c>
      <c r="Y123" t="s">
        <v>1217</v>
      </c>
      <c r="Z123" t="str">
        <f>"4.5350%"</f>
        <v>4.5350%</v>
      </c>
      <c r="AA123" t="str">
        <f>"4.5120%"</f>
        <v>4.5120%</v>
      </c>
      <c r="AB123" t="s">
        <v>1218</v>
      </c>
      <c r="AC123" t="s">
        <v>1219</v>
      </c>
      <c r="AE123" t="str">
        <f>"1.247"</f>
        <v>1.247</v>
      </c>
    </row>
    <row r="124" spans="1:31" x14ac:dyDescent="0.3">
      <c r="A124" s="1" t="s">
        <v>1220</v>
      </c>
      <c r="B124" t="s">
        <v>219</v>
      </c>
      <c r="C124" t="s">
        <v>1221</v>
      </c>
      <c r="D124" t="s">
        <v>50</v>
      </c>
      <c r="E124" t="s">
        <v>82</v>
      </c>
      <c r="F124" t="s">
        <v>37</v>
      </c>
      <c r="G124" t="str">
        <f t="shared" si="10"/>
        <v>11000</v>
      </c>
      <c r="H124" t="s">
        <v>1222</v>
      </c>
      <c r="I124" t="str">
        <f>"46%"</f>
        <v>46%</v>
      </c>
      <c r="J124" t="str">
        <f>"0.16"</f>
        <v>0.16</v>
      </c>
      <c r="K124" t="str">
        <f t="shared" si="11"/>
        <v>110</v>
      </c>
      <c r="L124" t="str">
        <f>"FANCF p.P320L"</f>
        <v>FANCF p.P320L</v>
      </c>
      <c r="M124" t="str">
        <f>"NM_022725"</f>
        <v>NM_022725</v>
      </c>
      <c r="O124" t="s">
        <v>1223</v>
      </c>
      <c r="P124" t="str">
        <f>"47%"</f>
        <v>47%</v>
      </c>
      <c r="Q124" t="str">
        <f>"-0.03"</f>
        <v>-0.03</v>
      </c>
      <c r="S124" t="s">
        <v>40</v>
      </c>
      <c r="T124" t="s">
        <v>1224</v>
      </c>
      <c r="U124" t="str">
        <f>"1.2600%"</f>
        <v>1.2600%</v>
      </c>
      <c r="V124" t="str">
        <f>"1.2600%"</f>
        <v>1.2600%</v>
      </c>
      <c r="W124" t="str">
        <f>"1.3100%"</f>
        <v>1.3100%</v>
      </c>
      <c r="X124" t="str">
        <f>"0.4992%"</f>
        <v>0.4992%</v>
      </c>
      <c r="Y124" t="s">
        <v>1225</v>
      </c>
      <c r="Z124" t="str">
        <f>"1.4660%"</f>
        <v>1.4660%</v>
      </c>
      <c r="AA124" t="str">
        <f>"1.4660%"</f>
        <v>1.4660%</v>
      </c>
      <c r="AB124" t="s">
        <v>1226</v>
      </c>
      <c r="AD124" t="s">
        <v>1227</v>
      </c>
      <c r="AE124" t="str">
        <f>"16.83"</f>
        <v>16.83</v>
      </c>
    </row>
    <row r="125" spans="1:31" x14ac:dyDescent="0.3">
      <c r="A125" s="1" t="s">
        <v>1228</v>
      </c>
      <c r="B125" t="s">
        <v>330</v>
      </c>
      <c r="C125" t="s">
        <v>1229</v>
      </c>
      <c r="D125" t="s">
        <v>50</v>
      </c>
      <c r="E125" t="s">
        <v>82</v>
      </c>
      <c r="F125" t="s">
        <v>37</v>
      </c>
      <c r="G125" t="str">
        <f t="shared" si="10"/>
        <v>11000</v>
      </c>
      <c r="H125" t="s">
        <v>1230</v>
      </c>
      <c r="I125" t="str">
        <f>"40%"</f>
        <v>40%</v>
      </c>
      <c r="J125" t="str">
        <f>"0.25"</f>
        <v>0.25</v>
      </c>
      <c r="K125" t="str">
        <f t="shared" si="11"/>
        <v>110</v>
      </c>
      <c r="L125" t="str">
        <f>"PLCB4"</f>
        <v>PLCB4</v>
      </c>
      <c r="M125" t="str">
        <f>""</f>
        <v/>
      </c>
      <c r="O125" t="s">
        <v>338</v>
      </c>
      <c r="P125" t="str">
        <f>"49%"</f>
        <v>49%</v>
      </c>
      <c r="Q125" t="str">
        <f>"-0.02"</f>
        <v>-0.02</v>
      </c>
      <c r="S125" t="s">
        <v>40</v>
      </c>
      <c r="T125" t="s">
        <v>1231</v>
      </c>
      <c r="U125" t="str">
        <f>"59.6500%"</f>
        <v>59.6500%</v>
      </c>
      <c r="V125" t="str">
        <f>"59.7200%"</f>
        <v>59.7200%</v>
      </c>
      <c r="W125" t="str">
        <f>"51.6500%"</f>
        <v>51.6500%</v>
      </c>
      <c r="X125" t="str">
        <f>"47.1446%"</f>
        <v>47.1446%</v>
      </c>
      <c r="Y125" t="s">
        <v>1232</v>
      </c>
      <c r="Z125" t="str">
        <f>"61.5440%"</f>
        <v>61.5440%</v>
      </c>
      <c r="AA125" t="str">
        <f>"61.5900%"</f>
        <v>61.5900%</v>
      </c>
      <c r="AB125" t="s">
        <v>1233</v>
      </c>
      <c r="AC125" t="s">
        <v>1234</v>
      </c>
      <c r="AD125" t="s">
        <v>1235</v>
      </c>
      <c r="AE125" t="str">
        <f>"12.93"</f>
        <v>12.93</v>
      </c>
    </row>
    <row r="126" spans="1:31" x14ac:dyDescent="0.3">
      <c r="A126" s="1" t="s">
        <v>1236</v>
      </c>
      <c r="B126" t="s">
        <v>626</v>
      </c>
      <c r="C126" t="s">
        <v>1237</v>
      </c>
      <c r="D126" t="s">
        <v>50</v>
      </c>
      <c r="E126" t="s">
        <v>82</v>
      </c>
      <c r="F126" t="s">
        <v>37</v>
      </c>
      <c r="G126" t="str">
        <f t="shared" si="10"/>
        <v>11000</v>
      </c>
      <c r="H126" t="s">
        <v>1238</v>
      </c>
      <c r="I126" t="str">
        <f>"46%"</f>
        <v>46%</v>
      </c>
      <c r="J126" t="str">
        <f>"0.49"</f>
        <v>0.49</v>
      </c>
      <c r="K126" t="str">
        <f t="shared" si="11"/>
        <v>110</v>
      </c>
      <c r="L126" t="str">
        <f>"ZFHX4 p.G3114D"</f>
        <v>ZFHX4 p.G3114D</v>
      </c>
      <c r="M126" t="str">
        <f>"NM_024721"</f>
        <v>NM_024721</v>
      </c>
      <c r="O126" t="s">
        <v>1239</v>
      </c>
      <c r="P126" t="str">
        <f>"49%"</f>
        <v>49%</v>
      </c>
      <c r="Q126" t="str">
        <f>"-0.00"</f>
        <v>-0.00</v>
      </c>
      <c r="S126" t="s">
        <v>40</v>
      </c>
      <c r="T126" t="s">
        <v>1240</v>
      </c>
      <c r="U126" t="str">
        <f>"1.1600%"</f>
        <v>1.1600%</v>
      </c>
      <c r="V126" t="str">
        <f>"1.1500%"</f>
        <v>1.1500%</v>
      </c>
      <c r="W126" t="str">
        <f>"1.1900%"</f>
        <v>1.1900%</v>
      </c>
      <c r="X126" t="str">
        <f>"0.4792%"</f>
        <v>0.4792%</v>
      </c>
      <c r="Y126" t="s">
        <v>1241</v>
      </c>
      <c r="Z126" t="str">
        <f>"1.4660%"</f>
        <v>1.4660%</v>
      </c>
      <c r="AA126" t="str">
        <f>"1.4660%"</f>
        <v>1.4660%</v>
      </c>
      <c r="AB126" t="s">
        <v>1242</v>
      </c>
      <c r="AE126" t="str">
        <f>"17.60"</f>
        <v>17.60</v>
      </c>
    </row>
    <row r="127" spans="1:31" x14ac:dyDescent="0.3">
      <c r="A127" s="1" t="s">
        <v>1243</v>
      </c>
      <c r="B127" t="s">
        <v>219</v>
      </c>
      <c r="C127" t="s">
        <v>1244</v>
      </c>
      <c r="D127" t="s">
        <v>35</v>
      </c>
      <c r="E127" t="s">
        <v>36</v>
      </c>
      <c r="F127" t="s">
        <v>37</v>
      </c>
      <c r="G127" t="str">
        <f t="shared" si="10"/>
        <v>11000</v>
      </c>
      <c r="H127" t="s">
        <v>1245</v>
      </c>
      <c r="I127" t="str">
        <f>"48%"</f>
        <v>48%</v>
      </c>
      <c r="J127" t="str">
        <f>"-0.02"</f>
        <v>-0.02</v>
      </c>
      <c r="K127" t="str">
        <f t="shared" si="11"/>
        <v>110</v>
      </c>
      <c r="L127" t="str">
        <f>"OR5L1 p.S287P"</f>
        <v>OR5L1 p.S287P</v>
      </c>
      <c r="M127" t="str">
        <f>"NM_001004738"</f>
        <v>NM_001004738</v>
      </c>
      <c r="O127" t="s">
        <v>1246</v>
      </c>
      <c r="P127" t="str">
        <f>"49%"</f>
        <v>49%</v>
      </c>
      <c r="Q127" t="str">
        <f>"-0.01"</f>
        <v>-0.01</v>
      </c>
      <c r="S127" t="s">
        <v>40</v>
      </c>
      <c r="T127" t="s">
        <v>1247</v>
      </c>
      <c r="U127" t="str">
        <f>"8.1600%"</f>
        <v>8.1600%</v>
      </c>
      <c r="V127" t="str">
        <f>"7.7400%"</f>
        <v>7.7400%</v>
      </c>
      <c r="W127" t="str">
        <f>"10.7400%"</f>
        <v>10.7400%</v>
      </c>
      <c r="X127" t="str">
        <f>"10.4832%"</f>
        <v>10.4832%</v>
      </c>
      <c r="Y127" t="s">
        <v>1248</v>
      </c>
      <c r="Z127" t="str">
        <f>"7.7420%"</f>
        <v>7.7420%</v>
      </c>
      <c r="AA127" t="str">
        <f>"7.7420%"</f>
        <v>7.7420%</v>
      </c>
      <c r="AB127" t="s">
        <v>1249</v>
      </c>
      <c r="AC127" t="s">
        <v>1250</v>
      </c>
      <c r="AE127" t="str">
        <f>"0.453"</f>
        <v>0.453</v>
      </c>
    </row>
    <row r="128" spans="1:31" x14ac:dyDescent="0.3">
      <c r="A128" s="1" t="s">
        <v>1251</v>
      </c>
      <c r="B128" t="s">
        <v>626</v>
      </c>
      <c r="C128" t="s">
        <v>1252</v>
      </c>
      <c r="D128" t="s">
        <v>50</v>
      </c>
      <c r="E128" t="s">
        <v>36</v>
      </c>
      <c r="F128" t="s">
        <v>37</v>
      </c>
      <c r="G128" t="str">
        <f t="shared" si="10"/>
        <v>11000</v>
      </c>
      <c r="H128" t="s">
        <v>1253</v>
      </c>
      <c r="I128" t="str">
        <f>"50%"</f>
        <v>50%</v>
      </c>
      <c r="J128" t="str">
        <f>"0.02"</f>
        <v>0.02</v>
      </c>
      <c r="K128" t="str">
        <f t="shared" si="11"/>
        <v>110</v>
      </c>
      <c r="L128" t="str">
        <f>"ZFHX4 p.V66L"</f>
        <v>ZFHX4 p.V66L</v>
      </c>
      <c r="M128" t="str">
        <f>"NM_024721"</f>
        <v>NM_024721</v>
      </c>
      <c r="O128" t="s">
        <v>602</v>
      </c>
      <c r="P128" t="str">
        <f>"52%"</f>
        <v>52%</v>
      </c>
      <c r="Q128" t="str">
        <f>"-0.00"</f>
        <v>-0.00</v>
      </c>
      <c r="S128" t="s">
        <v>40</v>
      </c>
      <c r="T128" t="s">
        <v>1254</v>
      </c>
      <c r="U128" t="str">
        <f>"3.1600%"</f>
        <v>3.1600%</v>
      </c>
      <c r="V128" t="str">
        <f>"3.1900%"</f>
        <v>3.1900%</v>
      </c>
      <c r="W128" t="str">
        <f>"2.8300%"</f>
        <v>2.8300%</v>
      </c>
      <c r="X128" t="str">
        <f>"1.3978%"</f>
        <v>1.3978%</v>
      </c>
      <c r="Y128" t="s">
        <v>1255</v>
      </c>
      <c r="Z128" t="str">
        <f>"3.0000%"</f>
        <v>3.0000%</v>
      </c>
      <c r="AA128" t="str">
        <f>"3.0000%"</f>
        <v>3.0000%</v>
      </c>
      <c r="AB128" t="s">
        <v>1256</v>
      </c>
      <c r="AE128" t="str">
        <f>"2.338"</f>
        <v>2.338</v>
      </c>
    </row>
    <row r="129" spans="1:31" x14ac:dyDescent="0.3">
      <c r="A129" s="1" t="s">
        <v>1257</v>
      </c>
      <c r="B129" t="s">
        <v>231</v>
      </c>
      <c r="C129" t="s">
        <v>1258</v>
      </c>
      <c r="D129" t="s">
        <v>82</v>
      </c>
      <c r="E129" t="s">
        <v>50</v>
      </c>
      <c r="F129" t="s">
        <v>37</v>
      </c>
      <c r="G129" t="str">
        <f t="shared" si="10"/>
        <v>11000</v>
      </c>
      <c r="H129" t="s">
        <v>1259</v>
      </c>
      <c r="I129" t="str">
        <f>"49%"</f>
        <v>49%</v>
      </c>
      <c r="J129" t="str">
        <f>"-0.01"</f>
        <v>-0.01</v>
      </c>
      <c r="K129" t="str">
        <f t="shared" si="11"/>
        <v>110</v>
      </c>
      <c r="L129" t="str">
        <f>"EP300 p.I997V"</f>
        <v>EP300 p.I997V</v>
      </c>
      <c r="M129" t="str">
        <f>"NM_001429"</f>
        <v>NM_001429</v>
      </c>
      <c r="O129" t="s">
        <v>1260</v>
      </c>
      <c r="P129" t="str">
        <f>"52%"</f>
        <v>52%</v>
      </c>
      <c r="Q129" t="str">
        <f>"-0.00"</f>
        <v>-0.00</v>
      </c>
      <c r="S129" t="s">
        <v>40</v>
      </c>
      <c r="T129" t="s">
        <v>1261</v>
      </c>
      <c r="U129" t="str">
        <f>"29.5900%"</f>
        <v>29.5900%</v>
      </c>
      <c r="V129" t="str">
        <f>"31.1400%"</f>
        <v>31.1400%</v>
      </c>
      <c r="W129" t="str">
        <f>"20.5800%"</f>
        <v>20.5800%</v>
      </c>
      <c r="X129" t="str">
        <f>"22.3442%"</f>
        <v>22.3442%</v>
      </c>
      <c r="Y129" t="s">
        <v>1262</v>
      </c>
      <c r="Z129" t="str">
        <f>"28.5850%"</f>
        <v>28.5850%</v>
      </c>
      <c r="AA129" t="str">
        <f>"28.5850%"</f>
        <v>28.5850%</v>
      </c>
      <c r="AB129" t="s">
        <v>1263</v>
      </c>
      <c r="AC129" t="s">
        <v>1264</v>
      </c>
      <c r="AD129" t="s">
        <v>1265</v>
      </c>
      <c r="AE129" t="str">
        <f>"7.139"</f>
        <v>7.139</v>
      </c>
    </row>
    <row r="130" spans="1:31" x14ac:dyDescent="0.3">
      <c r="A130" s="1" t="s">
        <v>1266</v>
      </c>
      <c r="B130" t="s">
        <v>65</v>
      </c>
      <c r="C130" t="s">
        <v>1267</v>
      </c>
      <c r="D130" t="s">
        <v>82</v>
      </c>
      <c r="E130" t="s">
        <v>35</v>
      </c>
      <c r="F130" t="s">
        <v>37</v>
      </c>
      <c r="G130" t="str">
        <f t="shared" si="10"/>
        <v>11000</v>
      </c>
      <c r="H130" t="s">
        <v>1268</v>
      </c>
      <c r="I130" t="str">
        <f>"100%"</f>
        <v>100%</v>
      </c>
      <c r="J130" t="str">
        <f>"0.02"</f>
        <v>0.02</v>
      </c>
      <c r="K130" t="str">
        <f t="shared" si="11"/>
        <v>110</v>
      </c>
      <c r="L130" t="str">
        <f>"SYNE1"</f>
        <v>SYNE1</v>
      </c>
      <c r="M130" t="str">
        <f>""</f>
        <v/>
      </c>
      <c r="O130" t="s">
        <v>1269</v>
      </c>
      <c r="P130" t="str">
        <f>"100%"</f>
        <v>100%</v>
      </c>
      <c r="Q130" t="str">
        <f>"-0.00"</f>
        <v>-0.00</v>
      </c>
      <c r="S130" t="s">
        <v>40</v>
      </c>
      <c r="T130" t="s">
        <v>1270</v>
      </c>
      <c r="U130" t="str">
        <f>"77.9700%"</f>
        <v>77.9700%</v>
      </c>
      <c r="V130" t="str">
        <f>"78.2500%"</f>
        <v>78.2500%</v>
      </c>
      <c r="W130" t="str">
        <f>"81.0500%"</f>
        <v>81.0500%</v>
      </c>
      <c r="X130" t="str">
        <f>"81.4696%"</f>
        <v>81.4696%</v>
      </c>
      <c r="Y130" t="s">
        <v>1271</v>
      </c>
      <c r="Z130" t="str">
        <f>"78.3550%"</f>
        <v>78.3550%</v>
      </c>
      <c r="AA130" t="str">
        <f>"78.3780%"</f>
        <v>78.3780%</v>
      </c>
      <c r="AB130" t="s">
        <v>1272</v>
      </c>
      <c r="AC130" t="s">
        <v>1273</v>
      </c>
      <c r="AD130" t="s">
        <v>1274</v>
      </c>
      <c r="AE130" t="str">
        <f>"12.70"</f>
        <v>12.70</v>
      </c>
    </row>
    <row r="131" spans="1:31" x14ac:dyDescent="0.3">
      <c r="A131" s="1" t="s">
        <v>1275</v>
      </c>
      <c r="B131" t="s">
        <v>120</v>
      </c>
      <c r="C131" t="s">
        <v>1276</v>
      </c>
      <c r="D131" t="s">
        <v>36</v>
      </c>
      <c r="E131" t="s">
        <v>35</v>
      </c>
      <c r="F131" t="s">
        <v>37</v>
      </c>
      <c r="G131" t="str">
        <f t="shared" si="10"/>
        <v>11000</v>
      </c>
      <c r="H131" t="s">
        <v>1277</v>
      </c>
      <c r="I131" t="str">
        <f>"50%"</f>
        <v>50%</v>
      </c>
      <c r="J131" t="str">
        <f>"0.01"</f>
        <v>0.01</v>
      </c>
      <c r="K131" t="str">
        <f t="shared" si="11"/>
        <v>110</v>
      </c>
      <c r="L131" t="str">
        <f>"SPEN p.A970V"</f>
        <v>SPEN p.A970V</v>
      </c>
      <c r="M131" t="str">
        <f>"NM_015001"</f>
        <v>NM_015001</v>
      </c>
      <c r="O131" t="s">
        <v>1278</v>
      </c>
      <c r="P131" t="str">
        <f>"53%"</f>
        <v>53%</v>
      </c>
      <c r="Q131" t="str">
        <f>"-0.01"</f>
        <v>-0.01</v>
      </c>
      <c r="S131" t="s">
        <v>40</v>
      </c>
      <c r="T131" t="s">
        <v>1279</v>
      </c>
      <c r="U131" t="str">
        <f>"13.0900%"</f>
        <v>13.0900%</v>
      </c>
      <c r="V131" t="str">
        <f>"14.1000%"</f>
        <v>14.1000%</v>
      </c>
      <c r="W131" t="str">
        <f>"8.0900%"</f>
        <v>8.0900%</v>
      </c>
      <c r="X131" t="str">
        <f>"12.0807%"</f>
        <v>12.0807%</v>
      </c>
      <c r="Y131" t="s">
        <v>1280</v>
      </c>
      <c r="Z131" t="str">
        <f>"13.7430%"</f>
        <v>13.7430%</v>
      </c>
      <c r="AA131" t="str">
        <f>"13.7430%"</f>
        <v>13.7430%</v>
      </c>
      <c r="AB131" t="s">
        <v>1281</v>
      </c>
      <c r="AC131" t="s">
        <v>1282</v>
      </c>
      <c r="AE131" t="str">
        <f>"0.047"</f>
        <v>0.047</v>
      </c>
    </row>
    <row r="132" spans="1:31" x14ac:dyDescent="0.3">
      <c r="A132" s="1" t="s">
        <v>1283</v>
      </c>
      <c r="B132" t="s">
        <v>683</v>
      </c>
      <c r="C132" t="s">
        <v>1284</v>
      </c>
      <c r="D132" t="s">
        <v>36</v>
      </c>
      <c r="E132" t="s">
        <v>35</v>
      </c>
      <c r="F132" t="s">
        <v>37</v>
      </c>
      <c r="G132" t="str">
        <f t="shared" si="10"/>
        <v>11000</v>
      </c>
      <c r="H132" t="s">
        <v>1285</v>
      </c>
      <c r="I132" t="str">
        <f>"49%"</f>
        <v>49%</v>
      </c>
      <c r="J132" t="str">
        <f>"-0.03"</f>
        <v>-0.03</v>
      </c>
      <c r="K132" t="str">
        <f t="shared" si="11"/>
        <v>110</v>
      </c>
      <c r="L132" t="str">
        <f>"COL2A1 p.V1262I"</f>
        <v>COL2A1 p.V1262I</v>
      </c>
      <c r="M132" t="str">
        <f>"NM_033150"</f>
        <v>NM_033150</v>
      </c>
      <c r="O132" t="s">
        <v>1286</v>
      </c>
      <c r="P132" t="str">
        <f>"52%"</f>
        <v>52%</v>
      </c>
      <c r="Q132" t="str">
        <f>"-0.00"</f>
        <v>-0.00</v>
      </c>
      <c r="S132" t="s">
        <v>40</v>
      </c>
      <c r="T132" t="s">
        <v>1287</v>
      </c>
      <c r="U132" t="str">
        <f>"5.4900%"</f>
        <v>5.4900%</v>
      </c>
      <c r="V132" t="str">
        <f>"5.3900%"</f>
        <v>5.3900%</v>
      </c>
      <c r="W132" t="str">
        <f>"5.3800%"</f>
        <v>5.3800%</v>
      </c>
      <c r="X132" t="str">
        <f>"2.5559%"</f>
        <v>2.5559%</v>
      </c>
      <c r="Y132" t="s">
        <v>1288</v>
      </c>
      <c r="Z132" t="str">
        <f>"5.0160%"</f>
        <v>5.0160%</v>
      </c>
      <c r="AA132" t="str">
        <f>"5.0160%"</f>
        <v>5.0160%</v>
      </c>
      <c r="AB132" t="s">
        <v>1289</v>
      </c>
      <c r="AD132" t="s">
        <v>1290</v>
      </c>
      <c r="AE132" t="str">
        <f>"0.028"</f>
        <v>0.028</v>
      </c>
    </row>
    <row r="133" spans="1:31" x14ac:dyDescent="0.3">
      <c r="A133" s="1" t="s">
        <v>1291</v>
      </c>
      <c r="B133" t="s">
        <v>351</v>
      </c>
      <c r="C133" t="s">
        <v>1292</v>
      </c>
      <c r="D133" t="s">
        <v>35</v>
      </c>
      <c r="E133" t="s">
        <v>36</v>
      </c>
      <c r="F133" t="s">
        <v>37</v>
      </c>
      <c r="G133" t="str">
        <f t="shared" si="10"/>
        <v>11000</v>
      </c>
      <c r="H133" t="s">
        <v>1119</v>
      </c>
      <c r="I133" t="str">
        <f>"48%"</f>
        <v>48%</v>
      </c>
      <c r="J133" t="str">
        <f>"-0.01"</f>
        <v>-0.01</v>
      </c>
      <c r="K133" t="str">
        <f t="shared" si="11"/>
        <v>110</v>
      </c>
      <c r="L133" t="str">
        <f>"EPHA3 p.W924R"</f>
        <v>EPHA3 p.W924R</v>
      </c>
      <c r="M133" t="str">
        <f>"NM_005233"</f>
        <v>NM_005233</v>
      </c>
      <c r="O133" t="s">
        <v>1293</v>
      </c>
      <c r="P133" t="str">
        <f>"47%"</f>
        <v>47%</v>
      </c>
      <c r="Q133" t="str">
        <f>"-0.01"</f>
        <v>-0.01</v>
      </c>
      <c r="S133" t="s">
        <v>40</v>
      </c>
      <c r="T133" t="s">
        <v>1294</v>
      </c>
      <c r="U133" t="str">
        <f>"37.5900%"</f>
        <v>37.5900%</v>
      </c>
      <c r="V133" t="str">
        <f>"37.0700%"</f>
        <v>37.0700%</v>
      </c>
      <c r="W133" t="str">
        <f>"46.8300%"</f>
        <v>46.8300%</v>
      </c>
      <c r="X133" t="str">
        <f>"39.1174%"</f>
        <v>39.1174%</v>
      </c>
      <c r="Y133" t="s">
        <v>1295</v>
      </c>
      <c r="Z133" t="str">
        <f>"37.5170%"</f>
        <v>37.5170%</v>
      </c>
      <c r="AA133" t="str">
        <f>"37.4940%"</f>
        <v>37.4940%</v>
      </c>
      <c r="AB133" t="s">
        <v>1296</v>
      </c>
      <c r="AC133" t="s">
        <v>1297</v>
      </c>
      <c r="AE133" t="str">
        <f>"11.95"</f>
        <v>11.95</v>
      </c>
    </row>
    <row r="134" spans="1:31" x14ac:dyDescent="0.3">
      <c r="A134" s="1" t="s">
        <v>1298</v>
      </c>
      <c r="B134" t="s">
        <v>351</v>
      </c>
      <c r="C134" t="s">
        <v>1299</v>
      </c>
      <c r="D134" t="s">
        <v>50</v>
      </c>
      <c r="E134" t="s">
        <v>82</v>
      </c>
      <c r="F134" t="s">
        <v>37</v>
      </c>
      <c r="G134" t="str">
        <f t="shared" si="10"/>
        <v>11000</v>
      </c>
      <c r="H134" t="s">
        <v>1300</v>
      </c>
      <c r="I134" t="str">
        <f>"49%"</f>
        <v>49%</v>
      </c>
      <c r="J134" t="str">
        <f>"-0.01"</f>
        <v>-0.01</v>
      </c>
      <c r="K134" t="str">
        <f t="shared" si="11"/>
        <v>110</v>
      </c>
      <c r="L134" t="str">
        <f>"EPHA3 p.R914H"</f>
        <v>EPHA3 p.R914H</v>
      </c>
      <c r="M134" t="str">
        <f>"NM_005233"</f>
        <v>NM_005233</v>
      </c>
      <c r="O134" t="s">
        <v>1301</v>
      </c>
      <c r="P134" t="str">
        <f>"47%"</f>
        <v>47%</v>
      </c>
      <c r="Q134" t="str">
        <f>"-0.01"</f>
        <v>-0.01</v>
      </c>
      <c r="S134" t="s">
        <v>40</v>
      </c>
      <c r="T134" t="s">
        <v>1302</v>
      </c>
      <c r="U134" t="str">
        <f>"7.6700%"</f>
        <v>7.6700%</v>
      </c>
      <c r="V134" t="str">
        <f>"7.6200%"</f>
        <v>7.6200%</v>
      </c>
      <c r="W134" t="str">
        <f>"6.7800%"</f>
        <v>6.7800%</v>
      </c>
      <c r="X134" t="str">
        <f>"5.4912%"</f>
        <v>5.4912%</v>
      </c>
      <c r="Y134" t="s">
        <v>1303</v>
      </c>
      <c r="Z134" t="str">
        <f>"8.1310%"</f>
        <v>8.1310%</v>
      </c>
      <c r="AA134" t="str">
        <f>"8.1310%"</f>
        <v>8.1310%</v>
      </c>
      <c r="AB134" t="s">
        <v>1304</v>
      </c>
      <c r="AC134" t="s">
        <v>1305</v>
      </c>
      <c r="AE134" t="str">
        <f>"14.24"</f>
        <v>14.24</v>
      </c>
    </row>
    <row r="135" spans="1:31" x14ac:dyDescent="0.3">
      <c r="A135" s="1" t="s">
        <v>1306</v>
      </c>
      <c r="B135" t="s">
        <v>540</v>
      </c>
      <c r="C135" t="s">
        <v>1307</v>
      </c>
      <c r="D135" t="s">
        <v>35</v>
      </c>
      <c r="E135" t="s">
        <v>36</v>
      </c>
      <c r="F135" t="s">
        <v>37</v>
      </c>
      <c r="G135" t="str">
        <f t="shared" si="10"/>
        <v>11000</v>
      </c>
      <c r="H135" t="s">
        <v>651</v>
      </c>
      <c r="I135" t="str">
        <f>"46%"</f>
        <v>46%</v>
      </c>
      <c r="J135" t="str">
        <f>"-0.02"</f>
        <v>-0.02</v>
      </c>
      <c r="K135" t="str">
        <f t="shared" si="11"/>
        <v>110</v>
      </c>
      <c r="L135" t="str">
        <f>"DGKH p.V1201A"</f>
        <v>DGKH p.V1201A</v>
      </c>
      <c r="M135" t="str">
        <f>"NM_178009"</f>
        <v>NM_178009</v>
      </c>
      <c r="O135" t="s">
        <v>677</v>
      </c>
      <c r="P135" t="str">
        <f>"47%"</f>
        <v>47%</v>
      </c>
      <c r="Q135" t="str">
        <f>"-0.02"</f>
        <v>-0.02</v>
      </c>
      <c r="S135" t="s">
        <v>40</v>
      </c>
      <c r="T135" t="s">
        <v>1308</v>
      </c>
      <c r="U135" t="str">
        <f>"4.4800%"</f>
        <v>4.4800%</v>
      </c>
      <c r="V135" t="str">
        <f>"4.4500%"</f>
        <v>4.4500%</v>
      </c>
      <c r="W135" t="str">
        <f>"2.0800%"</f>
        <v>2.0800%</v>
      </c>
      <c r="X135" t="str">
        <f>"6.2300%"</f>
        <v>6.2300%</v>
      </c>
      <c r="Y135" t="s">
        <v>1309</v>
      </c>
      <c r="Z135" t="str">
        <f>"4.1690%"</f>
        <v>4.1690%</v>
      </c>
      <c r="AA135" t="str">
        <f>"4.1460%"</f>
        <v>4.1460%</v>
      </c>
      <c r="AB135" t="s">
        <v>1310</v>
      </c>
      <c r="AE135" t="str">
        <f>"16.95"</f>
        <v>16.95</v>
      </c>
    </row>
    <row r="136" spans="1:31" x14ac:dyDescent="0.3">
      <c r="A136" s="1" t="s">
        <v>1311</v>
      </c>
      <c r="B136" t="s">
        <v>626</v>
      </c>
      <c r="C136" t="s">
        <v>1312</v>
      </c>
      <c r="D136" t="s">
        <v>50</v>
      </c>
      <c r="E136" t="s">
        <v>35</v>
      </c>
      <c r="F136" t="s">
        <v>37</v>
      </c>
      <c r="G136" t="str">
        <f t="shared" si="10"/>
        <v>11000</v>
      </c>
      <c r="H136" t="s">
        <v>1191</v>
      </c>
      <c r="I136" t="str">
        <f>"100%"</f>
        <v>100%</v>
      </c>
      <c r="J136" t="str">
        <f>"0.01"</f>
        <v>0.01</v>
      </c>
      <c r="K136" t="str">
        <f t="shared" si="11"/>
        <v>110</v>
      </c>
      <c r="L136" t="str">
        <f>"WRN p.L1074F"</f>
        <v>WRN p.L1074F</v>
      </c>
      <c r="M136" t="str">
        <f>"NM_000553"</f>
        <v>NM_000553</v>
      </c>
      <c r="O136" t="s">
        <v>686</v>
      </c>
      <c r="P136" t="str">
        <f>"100%"</f>
        <v>100%</v>
      </c>
      <c r="Q136" t="str">
        <f>"-0.01"</f>
        <v>-0.01</v>
      </c>
      <c r="S136" t="s">
        <v>40</v>
      </c>
      <c r="T136" t="s">
        <v>1313</v>
      </c>
      <c r="U136" t="str">
        <f>"44.9200%"</f>
        <v>44.9200%</v>
      </c>
      <c r="V136" t="str">
        <f>"45.3200%"</f>
        <v>45.3200%</v>
      </c>
      <c r="W136" t="str">
        <f>"46.6900%"</f>
        <v>46.6900%</v>
      </c>
      <c r="X136" t="str">
        <f>"49.6006%"</f>
        <v>49.6006%</v>
      </c>
      <c r="Y136" t="s">
        <v>1314</v>
      </c>
      <c r="Z136" t="str">
        <f>"48.3970%"</f>
        <v>48.3970%</v>
      </c>
      <c r="AA136" t="str">
        <f>"48.3970%"</f>
        <v>48.3970%</v>
      </c>
      <c r="AB136" t="s">
        <v>1315</v>
      </c>
      <c r="AC136" t="s">
        <v>1316</v>
      </c>
      <c r="AD136" t="s">
        <v>1317</v>
      </c>
      <c r="AE136" t="str">
        <f>"0.008"</f>
        <v>0.008</v>
      </c>
    </row>
    <row r="137" spans="1:31" x14ac:dyDescent="0.3">
      <c r="A137" s="1" t="s">
        <v>1318</v>
      </c>
      <c r="B137" t="s">
        <v>106</v>
      </c>
      <c r="C137" t="s">
        <v>1319</v>
      </c>
      <c r="D137" t="s">
        <v>82</v>
      </c>
      <c r="E137" t="s">
        <v>50</v>
      </c>
      <c r="F137" t="s">
        <v>37</v>
      </c>
      <c r="G137" t="str">
        <f t="shared" si="10"/>
        <v>11000</v>
      </c>
      <c r="H137" t="s">
        <v>1320</v>
      </c>
      <c r="I137" t="str">
        <f>"49%"</f>
        <v>49%</v>
      </c>
      <c r="J137" t="str">
        <f>"-0.05"</f>
        <v>-0.05</v>
      </c>
      <c r="K137" t="str">
        <f t="shared" si="11"/>
        <v>110</v>
      </c>
      <c r="L137" t="str">
        <f>"IL7R p.I356V"</f>
        <v>IL7R p.I356V</v>
      </c>
      <c r="M137" t="str">
        <f>"NM_002185"</f>
        <v>NM_002185</v>
      </c>
      <c r="O137" t="s">
        <v>695</v>
      </c>
      <c r="P137" t="str">
        <f>"49%"</f>
        <v>49%</v>
      </c>
      <c r="Q137" t="str">
        <f>"0.02"</f>
        <v>0.02</v>
      </c>
      <c r="S137" t="s">
        <v>40</v>
      </c>
      <c r="T137" t="s">
        <v>1321</v>
      </c>
      <c r="U137" t="str">
        <f>"24.4500%"</f>
        <v>24.4500%</v>
      </c>
      <c r="V137" t="str">
        <f>"23.9000%"</f>
        <v>23.9000%</v>
      </c>
      <c r="W137" t="str">
        <f>"29.3200%"</f>
        <v>29.3200%</v>
      </c>
      <c r="X137" t="str">
        <f>"22.0847%"</f>
        <v>22.0847%</v>
      </c>
      <c r="Y137" t="s">
        <v>1322</v>
      </c>
      <c r="Z137" t="str">
        <f>"21.9880%"</f>
        <v>21.9880%</v>
      </c>
      <c r="AA137" t="str">
        <f>"21.9880%"</f>
        <v>21.9880%</v>
      </c>
      <c r="AB137" t="s">
        <v>1323</v>
      </c>
      <c r="AC137" t="s">
        <v>1324</v>
      </c>
      <c r="AD137" t="s">
        <v>1325</v>
      </c>
      <c r="AE137" t="str">
        <f>"4.605"</f>
        <v>4.605</v>
      </c>
    </row>
    <row r="138" spans="1:31" x14ac:dyDescent="0.3">
      <c r="A138" s="1" t="s">
        <v>1326</v>
      </c>
      <c r="B138" t="s">
        <v>65</v>
      </c>
      <c r="C138" t="s">
        <v>1327</v>
      </c>
      <c r="D138" t="s">
        <v>50</v>
      </c>
      <c r="E138" t="s">
        <v>35</v>
      </c>
      <c r="F138" t="s">
        <v>37</v>
      </c>
      <c r="G138" t="str">
        <f t="shared" si="10"/>
        <v>11000</v>
      </c>
      <c r="H138" t="s">
        <v>1328</v>
      </c>
      <c r="I138" t="str">
        <f>"49%"</f>
        <v>49%</v>
      </c>
      <c r="J138" t="str">
        <f>"-0.00"</f>
        <v>-0.00</v>
      </c>
      <c r="K138" t="str">
        <f t="shared" si="11"/>
        <v>110</v>
      </c>
      <c r="L138" t="str">
        <f>"WISP3 p.Q74H"</f>
        <v>WISP3 p.Q74H</v>
      </c>
      <c r="M138" t="str">
        <f>"NM_198239"</f>
        <v>NM_198239</v>
      </c>
      <c r="O138" t="s">
        <v>294</v>
      </c>
      <c r="P138" t="str">
        <f>"47%"</f>
        <v>47%</v>
      </c>
      <c r="Q138" t="str">
        <f>"-0.00"</f>
        <v>-0.00</v>
      </c>
      <c r="S138" t="s">
        <v>40</v>
      </c>
      <c r="T138" t="s">
        <v>1329</v>
      </c>
      <c r="U138" t="str">
        <f>"26.0600%"</f>
        <v>26.0600%</v>
      </c>
      <c r="V138" t="str">
        <f>"25.5000%"</f>
        <v>25.5000%</v>
      </c>
      <c r="W138" t="str">
        <f>"33.6200%"</f>
        <v>33.6200%</v>
      </c>
      <c r="X138" t="str">
        <f>"29.8922%"</f>
        <v>29.8922%</v>
      </c>
      <c r="Y138" t="s">
        <v>1330</v>
      </c>
      <c r="Z138" t="str">
        <f>"28.0120%"</f>
        <v>28.0120%</v>
      </c>
      <c r="AA138" t="str">
        <f>"28.0120%"</f>
        <v>28.0120%</v>
      </c>
      <c r="AB138" t="s">
        <v>1331</v>
      </c>
      <c r="AC138" t="s">
        <v>1332</v>
      </c>
      <c r="AD138" t="s">
        <v>1333</v>
      </c>
      <c r="AE138" t="str">
        <f>"0.324"</f>
        <v>0.324</v>
      </c>
    </row>
    <row r="139" spans="1:31" x14ac:dyDescent="0.3">
      <c r="A139" s="1" t="s">
        <v>1334</v>
      </c>
      <c r="B139" t="s">
        <v>65</v>
      </c>
      <c r="C139" t="s">
        <v>1335</v>
      </c>
      <c r="D139" t="s">
        <v>82</v>
      </c>
      <c r="E139" t="s">
        <v>50</v>
      </c>
      <c r="F139" t="s">
        <v>37</v>
      </c>
      <c r="G139" t="str">
        <f t="shared" si="10"/>
        <v>11000</v>
      </c>
      <c r="H139" t="s">
        <v>542</v>
      </c>
      <c r="I139" t="str">
        <f>"52%"</f>
        <v>52%</v>
      </c>
      <c r="J139" t="str">
        <f>"0.02"</f>
        <v>0.02</v>
      </c>
      <c r="K139" t="str">
        <f t="shared" si="11"/>
        <v>110</v>
      </c>
      <c r="L139" t="str">
        <f>"SYNE1"</f>
        <v>SYNE1</v>
      </c>
      <c r="M139" t="str">
        <f>""</f>
        <v/>
      </c>
      <c r="O139" t="s">
        <v>1336</v>
      </c>
      <c r="P139" t="str">
        <f>"50%"</f>
        <v>50%</v>
      </c>
      <c r="Q139" t="str">
        <f>"-0.00"</f>
        <v>-0.00</v>
      </c>
      <c r="S139" t="s">
        <v>40</v>
      </c>
      <c r="T139" t="s">
        <v>1337</v>
      </c>
      <c r="U139" t="str">
        <f>"48.1100%"</f>
        <v>48.1100%</v>
      </c>
      <c r="V139" t="str">
        <f>"46.7400%"</f>
        <v>46.7400%</v>
      </c>
      <c r="W139" t="str">
        <f>"53.2500%"</f>
        <v>53.2500%</v>
      </c>
      <c r="X139" t="str">
        <f>"60.7228%"</f>
        <v>60.7228%</v>
      </c>
      <c r="Y139" t="s">
        <v>1338</v>
      </c>
      <c r="Z139" t="str">
        <f>"49.7480%"</f>
        <v>49.7480%</v>
      </c>
      <c r="AA139" t="str">
        <f>"49.7250%"</f>
        <v>49.7250%</v>
      </c>
      <c r="AB139" t="s">
        <v>1339</v>
      </c>
      <c r="AC139" t="s">
        <v>1340</v>
      </c>
      <c r="AD139" t="s">
        <v>1341</v>
      </c>
      <c r="AE139" t="str">
        <f>"19.02"</f>
        <v>19.02</v>
      </c>
    </row>
    <row r="140" spans="1:31" x14ac:dyDescent="0.3">
      <c r="A140" s="1" t="s">
        <v>1342</v>
      </c>
      <c r="B140" t="s">
        <v>65</v>
      </c>
      <c r="C140" t="s">
        <v>1343</v>
      </c>
      <c r="D140" t="s">
        <v>35</v>
      </c>
      <c r="E140" t="s">
        <v>36</v>
      </c>
      <c r="F140" t="s">
        <v>37</v>
      </c>
      <c r="G140" t="str">
        <f t="shared" si="10"/>
        <v>11000</v>
      </c>
      <c r="H140" t="s">
        <v>1344</v>
      </c>
      <c r="I140" t="str">
        <f>"100%"</f>
        <v>100%</v>
      </c>
      <c r="J140" t="str">
        <f>"0.02"</f>
        <v>0.02</v>
      </c>
      <c r="K140" t="str">
        <f t="shared" si="11"/>
        <v>110</v>
      </c>
      <c r="L140" t="str">
        <f>"SYNE1"</f>
        <v>SYNE1</v>
      </c>
      <c r="M140" t="str">
        <f>""</f>
        <v/>
      </c>
      <c r="O140" t="s">
        <v>1345</v>
      </c>
      <c r="P140" t="str">
        <f>"100%"</f>
        <v>100%</v>
      </c>
      <c r="Q140" t="str">
        <f>"-0.00"</f>
        <v>-0.00</v>
      </c>
      <c r="S140" t="s">
        <v>40</v>
      </c>
      <c r="T140" t="s">
        <v>1346</v>
      </c>
      <c r="U140" t="str">
        <f>"75.4700%"</f>
        <v>75.4700%</v>
      </c>
      <c r="V140" t="str">
        <f>"74.9300%"</f>
        <v>74.9300%</v>
      </c>
      <c r="W140" t="str">
        <f>"78.8200%"</f>
        <v>78.8200%</v>
      </c>
      <c r="X140" t="str">
        <f>"79.3131%"</f>
        <v>79.3131%</v>
      </c>
      <c r="Y140" t="s">
        <v>1347</v>
      </c>
      <c r="Z140" t="str">
        <f>"66.7890%"</f>
        <v>66.7890%</v>
      </c>
      <c r="AA140" t="str">
        <f>"66.7660%"</f>
        <v>66.7660%</v>
      </c>
      <c r="AB140" t="s">
        <v>1348</v>
      </c>
      <c r="AC140" t="s">
        <v>1349</v>
      </c>
      <c r="AD140" t="s">
        <v>1350</v>
      </c>
      <c r="AE140" t="str">
        <f>"9.124"</f>
        <v>9.124</v>
      </c>
    </row>
    <row r="141" spans="1:31" x14ac:dyDescent="0.3">
      <c r="A141" s="1" t="s">
        <v>1351</v>
      </c>
      <c r="B141" t="s">
        <v>266</v>
      </c>
      <c r="C141" t="s">
        <v>1352</v>
      </c>
      <c r="D141" t="s">
        <v>35</v>
      </c>
      <c r="E141" t="s">
        <v>36</v>
      </c>
      <c r="F141" t="s">
        <v>37</v>
      </c>
      <c r="G141" t="str">
        <f t="shared" si="10"/>
        <v>11000</v>
      </c>
      <c r="H141" t="s">
        <v>1353</v>
      </c>
      <c r="I141" t="str">
        <f>"48%"</f>
        <v>48%</v>
      </c>
      <c r="J141" t="str">
        <f>"-0.03"</f>
        <v>-0.03</v>
      </c>
      <c r="K141" t="str">
        <f t="shared" si="11"/>
        <v>110</v>
      </c>
      <c r="L141" t="str">
        <f>"PTPRD p.T781A"</f>
        <v>PTPRD p.T781A</v>
      </c>
      <c r="M141" t="str">
        <f>"NM_002839"</f>
        <v>NM_002839</v>
      </c>
      <c r="O141" t="s">
        <v>1354</v>
      </c>
      <c r="P141" t="str">
        <f>"54%"</f>
        <v>54%</v>
      </c>
      <c r="Q141" t="str">
        <f>"-0.00"</f>
        <v>-0.00</v>
      </c>
      <c r="S141" t="s">
        <v>40</v>
      </c>
      <c r="T141" t="s">
        <v>1355</v>
      </c>
      <c r="U141" t="str">
        <f>"2.6900%"</f>
        <v>2.6900%</v>
      </c>
      <c r="V141" t="str">
        <f>"2.2200%"</f>
        <v>2.2200%</v>
      </c>
      <c r="W141" t="str">
        <f>"2.1500%"</f>
        <v>2.1500%</v>
      </c>
      <c r="X141" t="str">
        <f>"1.6973%"</f>
        <v>1.6973%</v>
      </c>
      <c r="Y141" t="s">
        <v>1356</v>
      </c>
      <c r="Z141" t="str">
        <f>"2.1070%"</f>
        <v>2.1070%</v>
      </c>
      <c r="AA141" t="str">
        <f>"2.1070%"</f>
        <v>2.1070%</v>
      </c>
      <c r="AB141" t="s">
        <v>1357</v>
      </c>
      <c r="AC141" t="s">
        <v>1358</v>
      </c>
      <c r="AE141" t="str">
        <f>"6.679"</f>
        <v>6.679</v>
      </c>
    </row>
    <row r="142" spans="1:31" x14ac:dyDescent="0.3">
      <c r="A142" s="1" t="s">
        <v>1359</v>
      </c>
      <c r="B142" t="s">
        <v>120</v>
      </c>
      <c r="C142" t="s">
        <v>1360</v>
      </c>
      <c r="D142" t="s">
        <v>50</v>
      </c>
      <c r="E142" t="s">
        <v>36</v>
      </c>
      <c r="F142" t="s">
        <v>37</v>
      </c>
      <c r="G142" t="str">
        <f t="shared" si="10"/>
        <v>11000</v>
      </c>
      <c r="H142" t="s">
        <v>1278</v>
      </c>
      <c r="I142" t="str">
        <f>"49%"</f>
        <v>49%</v>
      </c>
      <c r="J142" t="str">
        <f>"-0.03"</f>
        <v>-0.03</v>
      </c>
      <c r="K142" t="str">
        <f t="shared" si="11"/>
        <v>110</v>
      </c>
      <c r="L142" t="str">
        <f>"SPTA1 p.L1858V"</f>
        <v>SPTA1 p.L1858V</v>
      </c>
      <c r="M142" t="str">
        <f>"NM_003126"</f>
        <v>NM_003126</v>
      </c>
      <c r="O142" t="s">
        <v>1361</v>
      </c>
      <c r="P142" t="str">
        <f>"52%"</f>
        <v>52%</v>
      </c>
      <c r="Q142" t="str">
        <f>"-0.00"</f>
        <v>-0.00</v>
      </c>
      <c r="S142" t="s">
        <v>40</v>
      </c>
      <c r="T142" t="s">
        <v>1362</v>
      </c>
      <c r="U142" t="str">
        <f>"25.6700%"</f>
        <v>25.6700%</v>
      </c>
      <c r="V142" t="str">
        <f>"25.5000%"</f>
        <v>25.5000%</v>
      </c>
      <c r="W142" t="str">
        <f>"24.9500%"</f>
        <v>24.9500%</v>
      </c>
      <c r="X142" t="str">
        <f>"22.7835%"</f>
        <v>22.7835%</v>
      </c>
      <c r="Y142" t="s">
        <v>1363</v>
      </c>
      <c r="Z142" t="str">
        <f>"25.3090%"</f>
        <v>25.3090%</v>
      </c>
      <c r="AA142" t="str">
        <f>"25.3090%"</f>
        <v>25.3090%</v>
      </c>
      <c r="AB142" t="s">
        <v>1364</v>
      </c>
      <c r="AC142" t="s">
        <v>1365</v>
      </c>
      <c r="AD142" t="s">
        <v>1366</v>
      </c>
      <c r="AE142" t="str">
        <f>"13.00"</f>
        <v>13.00</v>
      </c>
    </row>
    <row r="143" spans="1:31" x14ac:dyDescent="0.3">
      <c r="A143" s="1" t="s">
        <v>1367</v>
      </c>
      <c r="B143" t="s">
        <v>106</v>
      </c>
      <c r="C143" t="s">
        <v>1368</v>
      </c>
      <c r="D143" t="s">
        <v>35</v>
      </c>
      <c r="E143" t="s">
        <v>36</v>
      </c>
      <c r="F143" t="s">
        <v>143</v>
      </c>
      <c r="G143" t="str">
        <f t="shared" si="10"/>
        <v>11000</v>
      </c>
      <c r="H143" t="s">
        <v>1369</v>
      </c>
      <c r="I143" t="str">
        <f>"100%"</f>
        <v>100%</v>
      </c>
      <c r="J143" t="str">
        <f>"0.01"</f>
        <v>0.01</v>
      </c>
      <c r="K143" t="str">
        <f t="shared" si="11"/>
        <v>110</v>
      </c>
      <c r="L143" t="str">
        <f>"LOC100505841"</f>
        <v>LOC100505841</v>
      </c>
      <c r="M143" t="str">
        <f>""</f>
        <v/>
      </c>
      <c r="O143" t="s">
        <v>1370</v>
      </c>
      <c r="P143" t="str">
        <f>"100%"</f>
        <v>100%</v>
      </c>
      <c r="Q143" t="str">
        <f>"-0.01"</f>
        <v>-0.01</v>
      </c>
      <c r="R143" t="s">
        <v>1371</v>
      </c>
      <c r="U143" t="str">
        <f>"35.1200%"</f>
        <v>35.1200%</v>
      </c>
      <c r="V143" t="str">
        <f>"27.1700%"</f>
        <v>27.1700%</v>
      </c>
      <c r="W143" t="str">
        <f>""</f>
        <v/>
      </c>
      <c r="X143" t="str">
        <f>"38.2188%"</f>
        <v>38.2188%</v>
      </c>
      <c r="Y143" t="s">
        <v>1372</v>
      </c>
      <c r="Z143" t="str">
        <f>"24.8510%"</f>
        <v>24.8510%</v>
      </c>
      <c r="AA143" t="str">
        <f>"24.8050%"</f>
        <v>24.8050%</v>
      </c>
      <c r="AB143" t="s">
        <v>1373</v>
      </c>
      <c r="AE143" t="str">
        <f>""</f>
        <v/>
      </c>
    </row>
    <row r="144" spans="1:31" x14ac:dyDescent="0.3">
      <c r="A144" s="1" t="s">
        <v>1374</v>
      </c>
      <c r="B144" t="s">
        <v>274</v>
      </c>
      <c r="C144" t="s">
        <v>1375</v>
      </c>
      <c r="D144" t="s">
        <v>82</v>
      </c>
      <c r="E144" t="s">
        <v>50</v>
      </c>
      <c r="F144" t="s">
        <v>37</v>
      </c>
      <c r="G144" t="str">
        <f t="shared" si="10"/>
        <v>11000</v>
      </c>
      <c r="H144" t="s">
        <v>1376</v>
      </c>
      <c r="I144" t="str">
        <f>"100%"</f>
        <v>100%</v>
      </c>
      <c r="J144" t="str">
        <f>"0.25"</f>
        <v>0.25</v>
      </c>
      <c r="K144" t="str">
        <f t="shared" si="11"/>
        <v>110</v>
      </c>
      <c r="L144" t="str">
        <f>"ZFHX3 p.V777A"</f>
        <v>ZFHX3 p.V777A</v>
      </c>
      <c r="M144" t="str">
        <f>"NM_006885"</f>
        <v>NM_006885</v>
      </c>
      <c r="O144" t="s">
        <v>1377</v>
      </c>
      <c r="P144" t="str">
        <f>"98%"</f>
        <v>98%</v>
      </c>
      <c r="Q144" t="str">
        <f>"-0.00"</f>
        <v>-0.00</v>
      </c>
      <c r="S144" t="s">
        <v>40</v>
      </c>
      <c r="T144" t="s">
        <v>1378</v>
      </c>
      <c r="U144" t="str">
        <f>"77.1300%"</f>
        <v>77.1300%</v>
      </c>
      <c r="V144" t="str">
        <f>"79.0600%"</f>
        <v>79.0600%</v>
      </c>
      <c r="W144" t="str">
        <f>"82.2100%"</f>
        <v>82.2100%</v>
      </c>
      <c r="X144" t="str">
        <f>"76.5575%"</f>
        <v>76.5575%</v>
      </c>
      <c r="Y144" t="s">
        <v>1379</v>
      </c>
      <c r="Z144" t="str">
        <f>"83.1420%"</f>
        <v>83.1420%</v>
      </c>
      <c r="AA144" t="str">
        <f>"83.3030%"</f>
        <v>83.3030%</v>
      </c>
      <c r="AB144" t="s">
        <v>1380</v>
      </c>
      <c r="AC144" t="s">
        <v>1381</v>
      </c>
      <c r="AE144" t="str">
        <f>"1.367"</f>
        <v>1.367</v>
      </c>
    </row>
    <row r="145" spans="1:31" x14ac:dyDescent="0.3">
      <c r="A145" s="1" t="s">
        <v>1382</v>
      </c>
      <c r="B145" t="s">
        <v>209</v>
      </c>
      <c r="C145" t="s">
        <v>1383</v>
      </c>
      <c r="D145" t="s">
        <v>36</v>
      </c>
      <c r="E145" t="s">
        <v>82</v>
      </c>
      <c r="F145" t="s">
        <v>37</v>
      </c>
      <c r="G145" t="str">
        <f t="shared" si="10"/>
        <v>11000</v>
      </c>
      <c r="H145" t="s">
        <v>1384</v>
      </c>
      <c r="I145" t="str">
        <f>"100%"</f>
        <v>100%</v>
      </c>
      <c r="J145" t="str">
        <f>"0.00"</f>
        <v>0.00</v>
      </c>
      <c r="K145" t="str">
        <f t="shared" si="11"/>
        <v>110</v>
      </c>
      <c r="L145" t="str">
        <f>"TSHR"</f>
        <v>TSHR</v>
      </c>
      <c r="M145" t="str">
        <f>""</f>
        <v/>
      </c>
      <c r="O145" t="s">
        <v>1385</v>
      </c>
      <c r="P145" t="str">
        <f>"100%"</f>
        <v>100%</v>
      </c>
      <c r="Q145" t="str">
        <f>"-0.00"</f>
        <v>-0.00</v>
      </c>
      <c r="S145" t="s">
        <v>40</v>
      </c>
      <c r="T145" t="s">
        <v>1386</v>
      </c>
      <c r="U145" t="str">
        <f>"64.6500%"</f>
        <v>64.6500%</v>
      </c>
      <c r="V145" t="str">
        <f>"64.6000%"</f>
        <v>64.6000%</v>
      </c>
      <c r="W145" t="str">
        <f>"64.2500%"</f>
        <v>64.2500%</v>
      </c>
      <c r="X145" t="str">
        <f>"61.0224%"</f>
        <v>61.0224%</v>
      </c>
      <c r="Y145" t="s">
        <v>1387</v>
      </c>
      <c r="Z145" t="str">
        <f>"64.0400%"</f>
        <v>64.0400%</v>
      </c>
      <c r="AA145" t="str">
        <f>"64.0170%"</f>
        <v>64.0170%</v>
      </c>
      <c r="AB145" t="s">
        <v>1388</v>
      </c>
      <c r="AD145" t="s">
        <v>1389</v>
      </c>
      <c r="AE145" t="str">
        <f>"8.541"</f>
        <v>8.541</v>
      </c>
    </row>
    <row r="146" spans="1:31" x14ac:dyDescent="0.3">
      <c r="A146" s="1" t="s">
        <v>1390</v>
      </c>
      <c r="B146" t="s">
        <v>33</v>
      </c>
      <c r="C146" t="s">
        <v>1391</v>
      </c>
      <c r="D146" t="s">
        <v>36</v>
      </c>
      <c r="E146" t="s">
        <v>50</v>
      </c>
      <c r="F146" t="s">
        <v>37</v>
      </c>
      <c r="G146" t="str">
        <f t="shared" si="10"/>
        <v>11000</v>
      </c>
      <c r="H146" t="s">
        <v>1392</v>
      </c>
      <c r="I146" t="str">
        <f>"51%"</f>
        <v>51%</v>
      </c>
      <c r="J146" t="str">
        <f>"-0.01"</f>
        <v>-0.01</v>
      </c>
      <c r="K146" t="str">
        <f t="shared" si="11"/>
        <v>110</v>
      </c>
      <c r="L146" t="str">
        <f>"ERBB2 p.P1170A"</f>
        <v>ERBB2 p.P1170A</v>
      </c>
      <c r="M146" t="str">
        <f>"NM_004448"</f>
        <v>NM_004448</v>
      </c>
      <c r="O146" t="s">
        <v>1393</v>
      </c>
      <c r="P146" t="str">
        <f>"50%"</f>
        <v>50%</v>
      </c>
      <c r="Q146" t="str">
        <f>"0.00"</f>
        <v>0.00</v>
      </c>
      <c r="S146" t="s">
        <v>40</v>
      </c>
      <c r="T146" t="s">
        <v>1394</v>
      </c>
      <c r="U146" t="str">
        <f>"60.7000%"</f>
        <v>60.7000%</v>
      </c>
      <c r="V146" t="str">
        <f>"61.1800%"</f>
        <v>61.1800%</v>
      </c>
      <c r="W146" t="str">
        <f>"51.3500%"</f>
        <v>51.3500%</v>
      </c>
      <c r="X146" t="str">
        <f>"45.2077%"</f>
        <v>45.2077%</v>
      </c>
      <c r="Y146" t="s">
        <v>1395</v>
      </c>
      <c r="Z146" t="str">
        <f>"59.1850%"</f>
        <v>59.1850%</v>
      </c>
      <c r="AA146" t="str">
        <f>"59.1160%"</f>
        <v>59.1160%</v>
      </c>
      <c r="AB146" t="s">
        <v>1396</v>
      </c>
      <c r="AC146" t="s">
        <v>1397</v>
      </c>
      <c r="AD146" t="s">
        <v>1398</v>
      </c>
      <c r="AE146" t="str">
        <f>"22.3"</f>
        <v>22.3</v>
      </c>
    </row>
    <row r="147" spans="1:31" x14ac:dyDescent="0.3">
      <c r="A147" s="1" t="s">
        <v>1399</v>
      </c>
      <c r="B147" t="s">
        <v>120</v>
      </c>
      <c r="C147" t="s">
        <v>1400</v>
      </c>
      <c r="D147" t="s">
        <v>50</v>
      </c>
      <c r="E147" t="s">
        <v>36</v>
      </c>
      <c r="F147" t="s">
        <v>37</v>
      </c>
      <c r="G147" t="str">
        <f t="shared" si="10"/>
        <v>11000</v>
      </c>
      <c r="H147" t="s">
        <v>1401</v>
      </c>
      <c r="I147" t="str">
        <f>"100%"</f>
        <v>100%</v>
      </c>
      <c r="J147" t="str">
        <f>"0.01"</f>
        <v>0.01</v>
      </c>
      <c r="K147" t="str">
        <f t="shared" si="11"/>
        <v>110</v>
      </c>
      <c r="L147" t="str">
        <f>"MYCL"</f>
        <v>MYCL</v>
      </c>
      <c r="M147" t="str">
        <f>""</f>
        <v/>
      </c>
      <c r="O147" t="s">
        <v>797</v>
      </c>
      <c r="P147" t="str">
        <f>"100%"</f>
        <v>100%</v>
      </c>
      <c r="Q147" t="str">
        <f>"-0.01"</f>
        <v>-0.01</v>
      </c>
      <c r="S147" t="s">
        <v>40</v>
      </c>
      <c r="T147" t="s">
        <v>1402</v>
      </c>
      <c r="U147" t="str">
        <f>"88.6500%"</f>
        <v>88.6500%</v>
      </c>
      <c r="V147" t="str">
        <f>"88.4200%"</f>
        <v>88.4200%</v>
      </c>
      <c r="W147" t="str">
        <f>"90.3700%"</f>
        <v>90.3700%</v>
      </c>
      <c r="X147" t="str">
        <f>"93.5703%"</f>
        <v>93.5703%</v>
      </c>
      <c r="Y147" t="s">
        <v>1403</v>
      </c>
      <c r="Z147" t="str">
        <f>"89.0060%"</f>
        <v>89.0060%</v>
      </c>
      <c r="AA147" t="str">
        <f>"89.0520%"</f>
        <v>89.0520%</v>
      </c>
      <c r="AB147" t="s">
        <v>1404</v>
      </c>
      <c r="AC147" t="s">
        <v>1405</v>
      </c>
      <c r="AE147" t="str">
        <f>"0.234"</f>
        <v>0.234</v>
      </c>
    </row>
    <row r="148" spans="1:31" x14ac:dyDescent="0.3">
      <c r="A148" s="1" t="s">
        <v>1406</v>
      </c>
      <c r="B148" t="s">
        <v>120</v>
      </c>
      <c r="C148" t="s">
        <v>1407</v>
      </c>
      <c r="D148" t="s">
        <v>82</v>
      </c>
      <c r="E148" t="s">
        <v>50</v>
      </c>
      <c r="F148" t="s">
        <v>143</v>
      </c>
      <c r="G148" t="str">
        <f t="shared" si="10"/>
        <v>11000</v>
      </c>
      <c r="H148" t="s">
        <v>1408</v>
      </c>
      <c r="I148" t="str">
        <f>"49%"</f>
        <v>49%</v>
      </c>
      <c r="J148" t="str">
        <f>"0.01"</f>
        <v>0.01</v>
      </c>
      <c r="K148" t="str">
        <f t="shared" si="11"/>
        <v>110</v>
      </c>
      <c r="L148" t="str">
        <f>"LOC110117498-PIK3R3;PIK3R3"</f>
        <v>LOC110117498-PIK3R3;PIK3R3</v>
      </c>
      <c r="M148" t="str">
        <f>""</f>
        <v/>
      </c>
      <c r="O148" t="s">
        <v>1409</v>
      </c>
      <c r="P148" t="str">
        <f>"49%"</f>
        <v>49%</v>
      </c>
      <c r="Q148" t="str">
        <f>"-0.01"</f>
        <v>-0.01</v>
      </c>
      <c r="R148" t="s">
        <v>1410</v>
      </c>
      <c r="U148" t="str">
        <f>""</f>
        <v/>
      </c>
      <c r="V148" t="str">
        <f>""</f>
        <v/>
      </c>
      <c r="W148" t="str">
        <f>""</f>
        <v/>
      </c>
      <c r="X148" t="str">
        <f>"49.7604%"</f>
        <v>49.7604%</v>
      </c>
      <c r="Y148" t="s">
        <v>1411</v>
      </c>
      <c r="Z148" t="str">
        <f>"47.4580%"</f>
        <v>47.4580%</v>
      </c>
      <c r="AA148" t="str">
        <f>"47.4810%"</f>
        <v>47.4810%</v>
      </c>
      <c r="AB148" t="s">
        <v>1412</v>
      </c>
      <c r="AE148" t="str">
        <f>""</f>
        <v/>
      </c>
    </row>
    <row r="149" spans="1:31" x14ac:dyDescent="0.3">
      <c r="A149" s="1" t="s">
        <v>1413</v>
      </c>
      <c r="B149" t="s">
        <v>219</v>
      </c>
      <c r="C149" t="s">
        <v>1414</v>
      </c>
      <c r="D149" t="s">
        <v>50</v>
      </c>
      <c r="E149" t="s">
        <v>35</v>
      </c>
      <c r="F149" t="s">
        <v>37</v>
      </c>
      <c r="G149" t="str">
        <f t="shared" si="10"/>
        <v>11000</v>
      </c>
      <c r="H149" t="s">
        <v>1415</v>
      </c>
      <c r="I149" t="str">
        <f>"100%"</f>
        <v>100%</v>
      </c>
      <c r="J149" t="str">
        <f>"0.04"</f>
        <v>0.04</v>
      </c>
      <c r="K149" t="str">
        <f t="shared" si="11"/>
        <v>110</v>
      </c>
      <c r="L149" t="str">
        <f>"FAT3 p.V3518L"</f>
        <v>FAT3 p.V3518L</v>
      </c>
      <c r="M149" t="str">
        <f>"NM_001008781"</f>
        <v>NM_001008781</v>
      </c>
      <c r="O149" t="s">
        <v>1416</v>
      </c>
      <c r="P149" t="str">
        <f>"100%"</f>
        <v>100%</v>
      </c>
      <c r="Q149" t="str">
        <f>"-0.01"</f>
        <v>-0.01</v>
      </c>
      <c r="S149" t="s">
        <v>40</v>
      </c>
      <c r="T149" t="s">
        <v>1417</v>
      </c>
      <c r="U149" t="str">
        <f>"37.4000%"</f>
        <v>37.4000%</v>
      </c>
      <c r="V149" t="str">
        <f>"37.2400%"</f>
        <v>37.2400%</v>
      </c>
      <c r="W149" t="str">
        <f>"34.0400%"</f>
        <v>34.0400%</v>
      </c>
      <c r="X149" t="str">
        <f>"32.3482%"</f>
        <v>32.3482%</v>
      </c>
      <c r="Y149" t="s">
        <v>1418</v>
      </c>
      <c r="Z149" t="str">
        <f>"36.1660%"</f>
        <v>36.1660%</v>
      </c>
      <c r="AA149" t="str">
        <f>"36.1660%"</f>
        <v>36.1660%</v>
      </c>
      <c r="AB149" t="s">
        <v>1419</v>
      </c>
      <c r="AE149" t="str">
        <f>"1.037"</f>
        <v>1.037</v>
      </c>
    </row>
    <row r="150" spans="1:31" x14ac:dyDescent="0.3">
      <c r="A150" s="1" t="s">
        <v>1420</v>
      </c>
      <c r="B150" t="s">
        <v>65</v>
      </c>
      <c r="C150" t="s">
        <v>1421</v>
      </c>
      <c r="D150" t="s">
        <v>82</v>
      </c>
      <c r="E150" t="s">
        <v>36</v>
      </c>
      <c r="F150" t="s">
        <v>37</v>
      </c>
      <c r="G150" t="str">
        <f t="shared" si="10"/>
        <v>11000</v>
      </c>
      <c r="H150" t="s">
        <v>1422</v>
      </c>
      <c r="I150" t="str">
        <f>"100%"</f>
        <v>100%</v>
      </c>
      <c r="J150" t="str">
        <f>"0.15"</f>
        <v>0.15</v>
      </c>
      <c r="K150" t="str">
        <f t="shared" si="11"/>
        <v>110</v>
      </c>
      <c r="L150" t="str">
        <f>"SLC22A2 p.S270A"</f>
        <v>SLC22A2 p.S270A</v>
      </c>
      <c r="M150" t="str">
        <f>"NM_003058"</f>
        <v>NM_003058</v>
      </c>
      <c r="O150" t="s">
        <v>150</v>
      </c>
      <c r="P150" t="str">
        <f>"100%"</f>
        <v>100%</v>
      </c>
      <c r="Q150" t="str">
        <f>"0.01"</f>
        <v>0.01</v>
      </c>
      <c r="S150" t="s">
        <v>40</v>
      </c>
      <c r="T150" t="s">
        <v>1423</v>
      </c>
      <c r="U150" t="str">
        <f>"89.3300%"</f>
        <v>89.3300%</v>
      </c>
      <c r="V150" t="str">
        <f>"89.8900%"</f>
        <v>89.8900%</v>
      </c>
      <c r="W150" t="str">
        <f>"87.9100%"</f>
        <v>87.9100%</v>
      </c>
      <c r="X150" t="str">
        <f>"86.2620%"</f>
        <v>86.2620%</v>
      </c>
      <c r="Y150" t="s">
        <v>1424</v>
      </c>
      <c r="Z150" t="str">
        <f>"89.7390%"</f>
        <v>89.7390%</v>
      </c>
      <c r="AA150" t="str">
        <f>"89.7850%"</f>
        <v>89.7850%</v>
      </c>
      <c r="AB150" t="s">
        <v>1425</v>
      </c>
      <c r="AE150" t="str">
        <f>"10.10"</f>
        <v>10.10</v>
      </c>
    </row>
    <row r="151" spans="1:31" x14ac:dyDescent="0.3">
      <c r="A151" s="1" t="s">
        <v>1426</v>
      </c>
      <c r="B151" t="s">
        <v>219</v>
      </c>
      <c r="C151" t="s">
        <v>1427</v>
      </c>
      <c r="D151" t="s">
        <v>50</v>
      </c>
      <c r="E151" t="s">
        <v>35</v>
      </c>
      <c r="F151" t="s">
        <v>37</v>
      </c>
      <c r="G151" t="str">
        <f t="shared" si="10"/>
        <v>11000</v>
      </c>
      <c r="H151" t="s">
        <v>1428</v>
      </c>
      <c r="I151" t="str">
        <f>"51%"</f>
        <v>51%</v>
      </c>
      <c r="J151" t="str">
        <f>"0.04"</f>
        <v>0.04</v>
      </c>
      <c r="K151" t="str">
        <f t="shared" si="11"/>
        <v>110</v>
      </c>
      <c r="L151" t="str">
        <f>"FAT3 p.S3709I"</f>
        <v>FAT3 p.S3709I</v>
      </c>
      <c r="M151" t="str">
        <f>"NM_001008781"</f>
        <v>NM_001008781</v>
      </c>
      <c r="O151" t="s">
        <v>1429</v>
      </c>
      <c r="P151" t="str">
        <f>"50%"</f>
        <v>50%</v>
      </c>
      <c r="Q151" t="str">
        <f>"-0.01"</f>
        <v>-0.01</v>
      </c>
      <c r="S151" t="s">
        <v>40</v>
      </c>
      <c r="T151" t="s">
        <v>1430</v>
      </c>
      <c r="U151" t="str">
        <f>"0.7800%"</f>
        <v>0.7800%</v>
      </c>
      <c r="V151" t="str">
        <f>"0.8300%"</f>
        <v>0.8300%</v>
      </c>
      <c r="W151" t="str">
        <f>"1.0400%"</f>
        <v>1.0400%</v>
      </c>
      <c r="X151" t="str">
        <f>"0.4193%"</f>
        <v>0.4193%</v>
      </c>
      <c r="Y151" t="s">
        <v>1431</v>
      </c>
      <c r="Z151" t="str">
        <f>"0.9620%"</f>
        <v>0.9620%</v>
      </c>
      <c r="AA151" t="str">
        <f>"0.9620%"</f>
        <v>0.9620%</v>
      </c>
      <c r="AB151" t="s">
        <v>1432</v>
      </c>
      <c r="AE151" t="str">
        <f>"13.49"</f>
        <v>13.49</v>
      </c>
    </row>
    <row r="152" spans="1:31" x14ac:dyDescent="0.3">
      <c r="A152" s="1" t="s">
        <v>1433</v>
      </c>
      <c r="B152" t="s">
        <v>683</v>
      </c>
      <c r="C152" t="s">
        <v>1434</v>
      </c>
      <c r="D152" t="s">
        <v>36</v>
      </c>
      <c r="E152" t="s">
        <v>1435</v>
      </c>
      <c r="F152" t="s">
        <v>129</v>
      </c>
      <c r="G152" t="str">
        <f>"11100"</f>
        <v>11100</v>
      </c>
      <c r="H152" t="s">
        <v>1436</v>
      </c>
      <c r="I152" t="str">
        <f>"100%"</f>
        <v>100%</v>
      </c>
      <c r="J152" t="str">
        <f>"-0.03"</f>
        <v>-0.03</v>
      </c>
      <c r="K152" t="str">
        <f>"111"</f>
        <v>111</v>
      </c>
      <c r="L152" t="str">
        <f>"RAP1B"</f>
        <v>RAP1B</v>
      </c>
      <c r="M152" t="str">
        <f>""</f>
        <v/>
      </c>
      <c r="O152" t="s">
        <v>1437</v>
      </c>
      <c r="P152" t="str">
        <f>"100%"</f>
        <v>100%</v>
      </c>
      <c r="Q152" t="str">
        <f>"-0.00"</f>
        <v>-0.00</v>
      </c>
      <c r="R152" t="s">
        <v>1438</v>
      </c>
      <c r="U152" t="str">
        <f>""</f>
        <v/>
      </c>
      <c r="V152" t="str">
        <f>""</f>
        <v/>
      </c>
      <c r="W152" t="str">
        <f>""</f>
        <v/>
      </c>
      <c r="X152" t="str">
        <f>""</f>
        <v/>
      </c>
      <c r="Y152" t="s">
        <v>1439</v>
      </c>
      <c r="Z152" t="str">
        <f>"66.9950%"</f>
        <v>66.9950%</v>
      </c>
      <c r="AA152" t="str">
        <f>"67.0640%"</f>
        <v>67.0640%</v>
      </c>
      <c r="AB152" t="s">
        <v>1440</v>
      </c>
      <c r="AE152" t="str">
        <f>""</f>
        <v/>
      </c>
    </row>
    <row r="153" spans="1:31" x14ac:dyDescent="0.3">
      <c r="A153" s="1" t="s">
        <v>1441</v>
      </c>
      <c r="B153" t="s">
        <v>65</v>
      </c>
      <c r="C153" t="s">
        <v>1442</v>
      </c>
      <c r="D153" t="s">
        <v>36</v>
      </c>
      <c r="E153" t="s">
        <v>35</v>
      </c>
      <c r="F153" t="s">
        <v>37</v>
      </c>
      <c r="G153" t="str">
        <f t="shared" ref="G153:G158" si="12">"11000"</f>
        <v>11000</v>
      </c>
      <c r="H153" t="s">
        <v>1443</v>
      </c>
      <c r="I153" t="str">
        <f>"50%"</f>
        <v>50%</v>
      </c>
      <c r="J153" t="str">
        <f>"0.04"</f>
        <v>0.04</v>
      </c>
      <c r="K153" t="str">
        <f t="shared" ref="K153:K158" si="13">"110"</f>
        <v>110</v>
      </c>
      <c r="L153" t="str">
        <f>"ROS1 p.R167Q"</f>
        <v>ROS1 p.R167Q</v>
      </c>
      <c r="M153" t="str">
        <f>"NM_002944"</f>
        <v>NM_002944</v>
      </c>
      <c r="O153" t="s">
        <v>1444</v>
      </c>
      <c r="P153" t="str">
        <f>"49%"</f>
        <v>49%</v>
      </c>
      <c r="Q153" t="str">
        <f>"-0.00"</f>
        <v>-0.00</v>
      </c>
      <c r="S153" t="s">
        <v>40</v>
      </c>
      <c r="T153" t="s">
        <v>1445</v>
      </c>
      <c r="U153" t="str">
        <f>"7.1000%"</f>
        <v>7.1000%</v>
      </c>
      <c r="V153" t="str">
        <f>"7.1200%"</f>
        <v>7.1200%</v>
      </c>
      <c r="W153" t="str">
        <f>"6.6700%"</f>
        <v>6.6700%</v>
      </c>
      <c r="X153" t="str">
        <f>"5.0120%"</f>
        <v>5.0120%</v>
      </c>
      <c r="Y153" t="s">
        <v>1446</v>
      </c>
      <c r="Z153" t="str">
        <f>"7.0090%"</f>
        <v>7.0090%</v>
      </c>
      <c r="AA153" t="str">
        <f>"7.0090%"</f>
        <v>7.0090%</v>
      </c>
      <c r="AB153" t="s">
        <v>1447</v>
      </c>
      <c r="AC153" t="s">
        <v>1448</v>
      </c>
      <c r="AE153" t="str">
        <f>"19.72"</f>
        <v>19.72</v>
      </c>
    </row>
    <row r="154" spans="1:31" x14ac:dyDescent="0.3">
      <c r="A154" s="1" t="s">
        <v>1449</v>
      </c>
      <c r="B154" t="s">
        <v>120</v>
      </c>
      <c r="C154" t="s">
        <v>1450</v>
      </c>
      <c r="D154" t="s">
        <v>82</v>
      </c>
      <c r="E154" t="s">
        <v>50</v>
      </c>
      <c r="F154" t="s">
        <v>37</v>
      </c>
      <c r="G154" t="str">
        <f t="shared" si="12"/>
        <v>11000</v>
      </c>
      <c r="H154" t="s">
        <v>1451</v>
      </c>
      <c r="I154" t="str">
        <f>"43%"</f>
        <v>43%</v>
      </c>
      <c r="J154" t="str">
        <f>"-0.53"</f>
        <v>-0.53</v>
      </c>
      <c r="K154" t="str">
        <f t="shared" si="13"/>
        <v>110</v>
      </c>
      <c r="L154" t="str">
        <f>"SPTA1 p.C1568R"</f>
        <v>SPTA1 p.C1568R</v>
      </c>
      <c r="M154" t="str">
        <f>"NM_003126"</f>
        <v>NM_003126</v>
      </c>
      <c r="O154" t="s">
        <v>1452</v>
      </c>
      <c r="P154" t="str">
        <f>"47%"</f>
        <v>47%</v>
      </c>
      <c r="Q154" t="str">
        <f>"-0.00"</f>
        <v>-0.00</v>
      </c>
      <c r="S154" t="s">
        <v>40</v>
      </c>
      <c r="T154" t="s">
        <v>1453</v>
      </c>
      <c r="U154" t="str">
        <f>"57.8900%"</f>
        <v>57.8900%</v>
      </c>
      <c r="V154" t="str">
        <f>"57.8400%"</f>
        <v>57.8400%</v>
      </c>
      <c r="W154" t="str">
        <f>"59.9600%"</f>
        <v>59.9600%</v>
      </c>
      <c r="X154" t="str">
        <f>"59.4050%"</f>
        <v>59.4050%</v>
      </c>
      <c r="Y154" t="s">
        <v>1454</v>
      </c>
      <c r="Z154" t="str">
        <f>"58.3370%"</f>
        <v>58.3370%</v>
      </c>
      <c r="AA154" t="str">
        <f>"58.3140%"</f>
        <v>58.3140%</v>
      </c>
      <c r="AB154" t="s">
        <v>1455</v>
      </c>
      <c r="AC154" t="s">
        <v>1456</v>
      </c>
      <c r="AD154" t="s">
        <v>1457</v>
      </c>
      <c r="AE154" t="str">
        <f>"0.005"</f>
        <v>0.005</v>
      </c>
    </row>
    <row r="155" spans="1:31" x14ac:dyDescent="0.3">
      <c r="A155" s="1" t="s">
        <v>1458</v>
      </c>
      <c r="B155" t="s">
        <v>219</v>
      </c>
      <c r="C155" t="s">
        <v>1459</v>
      </c>
      <c r="D155" t="s">
        <v>82</v>
      </c>
      <c r="E155" t="s">
        <v>50</v>
      </c>
      <c r="F155" t="s">
        <v>37</v>
      </c>
      <c r="G155" t="str">
        <f t="shared" si="12"/>
        <v>11000</v>
      </c>
      <c r="H155" t="s">
        <v>1460</v>
      </c>
      <c r="I155" t="str">
        <f>"100%"</f>
        <v>100%</v>
      </c>
      <c r="J155" t="str">
        <f>"0.04"</f>
        <v>0.04</v>
      </c>
      <c r="K155" t="str">
        <f t="shared" si="13"/>
        <v>110</v>
      </c>
      <c r="L155" t="str">
        <f>"FAT3 p.S3812G"</f>
        <v>FAT3 p.S3812G</v>
      </c>
      <c r="M155" t="str">
        <f>"NM_001008781"</f>
        <v>NM_001008781</v>
      </c>
      <c r="O155" t="s">
        <v>1451</v>
      </c>
      <c r="P155" t="str">
        <f>"100%"</f>
        <v>100%</v>
      </c>
      <c r="Q155" t="str">
        <f>"-0.01"</f>
        <v>-0.01</v>
      </c>
      <c r="S155" t="s">
        <v>40</v>
      </c>
      <c r="T155" t="s">
        <v>1461</v>
      </c>
      <c r="U155" t="str">
        <f>"81.7500%"</f>
        <v>81.7500%</v>
      </c>
      <c r="V155" t="str">
        <f>"81.4300%"</f>
        <v>81.4300%</v>
      </c>
      <c r="W155" t="str">
        <f>"84.1800%"</f>
        <v>84.1800%</v>
      </c>
      <c r="X155" t="str">
        <f>"82.8474%"</f>
        <v>82.8474%</v>
      </c>
      <c r="Y155" t="s">
        <v>1462</v>
      </c>
      <c r="Z155" t="str">
        <f>"79.2260%"</f>
        <v>79.2260%</v>
      </c>
      <c r="AA155" t="str">
        <f>"79.2260%"</f>
        <v>79.2260%</v>
      </c>
      <c r="AB155" t="s">
        <v>1463</v>
      </c>
      <c r="AC155" t="s">
        <v>1464</v>
      </c>
      <c r="AE155" t="str">
        <f>"4.059"</f>
        <v>4.059</v>
      </c>
    </row>
    <row r="156" spans="1:31" x14ac:dyDescent="0.3">
      <c r="A156" s="1" t="s">
        <v>1465</v>
      </c>
      <c r="B156" t="s">
        <v>88</v>
      </c>
      <c r="C156" t="s">
        <v>1466</v>
      </c>
      <c r="D156" t="s">
        <v>82</v>
      </c>
      <c r="E156" t="s">
        <v>50</v>
      </c>
      <c r="F156" t="s">
        <v>37</v>
      </c>
      <c r="G156" t="str">
        <f t="shared" si="12"/>
        <v>11000</v>
      </c>
      <c r="H156" t="s">
        <v>1467</v>
      </c>
      <c r="I156" t="str">
        <f>"54%"</f>
        <v>54%</v>
      </c>
      <c r="J156" t="str">
        <f>"0.01"</f>
        <v>0.01</v>
      </c>
      <c r="K156" t="str">
        <f t="shared" si="13"/>
        <v>110</v>
      </c>
      <c r="L156" t="str">
        <f>"ALK p.V476A"</f>
        <v>ALK p.V476A</v>
      </c>
      <c r="M156" t="str">
        <f>"NM_004304"</f>
        <v>NM_004304</v>
      </c>
      <c r="O156" t="s">
        <v>1468</v>
      </c>
      <c r="P156" t="str">
        <f>"50%"</f>
        <v>50%</v>
      </c>
      <c r="Q156" t="str">
        <f>"-0.01"</f>
        <v>-0.01</v>
      </c>
      <c r="S156" t="s">
        <v>40</v>
      </c>
      <c r="T156" t="s">
        <v>1469</v>
      </c>
      <c r="U156" t="str">
        <f>"2.9300%"</f>
        <v>2.9300%</v>
      </c>
      <c r="V156" t="str">
        <f>"2.8600%"</f>
        <v>2.8600%</v>
      </c>
      <c r="W156" t="str">
        <f>"2.7400%"</f>
        <v>2.7400%</v>
      </c>
      <c r="X156" t="str">
        <f>"1.5974%"</f>
        <v>1.5974%</v>
      </c>
      <c r="Y156" t="s">
        <v>1470</v>
      </c>
      <c r="Z156" t="str">
        <f>"2.5190%"</f>
        <v>2.5190%</v>
      </c>
      <c r="AA156" t="str">
        <f>"2.5190%"</f>
        <v>2.5190%</v>
      </c>
      <c r="AB156" t="s">
        <v>1471</v>
      </c>
      <c r="AC156" t="s">
        <v>1472</v>
      </c>
      <c r="AD156" t="s">
        <v>1473</v>
      </c>
      <c r="AE156" t="str">
        <f>"1.964"</f>
        <v>1.964</v>
      </c>
    </row>
    <row r="157" spans="1:31" x14ac:dyDescent="0.3">
      <c r="A157" s="1" t="s">
        <v>1474</v>
      </c>
      <c r="B157" t="s">
        <v>47</v>
      </c>
      <c r="C157" t="s">
        <v>1475</v>
      </c>
      <c r="D157" t="s">
        <v>35</v>
      </c>
      <c r="E157" t="s">
        <v>36</v>
      </c>
      <c r="F157" t="s">
        <v>37</v>
      </c>
      <c r="G157" t="str">
        <f t="shared" si="12"/>
        <v>11000</v>
      </c>
      <c r="H157" t="s">
        <v>1476</v>
      </c>
      <c r="I157" t="str">
        <f>"100%"</f>
        <v>100%</v>
      </c>
      <c r="J157" t="str">
        <f>"-0.51"</f>
        <v>-0.51</v>
      </c>
      <c r="K157" t="str">
        <f t="shared" si="13"/>
        <v>110</v>
      </c>
      <c r="L157" t="str">
        <f>"BTK p.E24G"</f>
        <v>BTK p.E24G</v>
      </c>
      <c r="M157" t="str">
        <f>"NM_001287344"</f>
        <v>NM_001287344</v>
      </c>
      <c r="O157" t="s">
        <v>1477</v>
      </c>
      <c r="P157" t="str">
        <f>"100%"</f>
        <v>100%</v>
      </c>
      <c r="Q157" t="str">
        <f>"-0.55"</f>
        <v>-0.55</v>
      </c>
      <c r="S157" t="s">
        <v>40</v>
      </c>
      <c r="T157" t="s">
        <v>1478</v>
      </c>
      <c r="U157" t="str">
        <f>"33.8700%"</f>
        <v>33.8700%</v>
      </c>
      <c r="V157" t="str">
        <f>"25.1800%"</f>
        <v>25.1800%</v>
      </c>
      <c r="W157" t="str">
        <f>""</f>
        <v/>
      </c>
      <c r="X157" t="str">
        <f>"39.9205%"</f>
        <v>39.9205%</v>
      </c>
      <c r="Y157" t="s">
        <v>1479</v>
      </c>
      <c r="Z157" t="str">
        <f>"20.8830%"</f>
        <v>20.8830%</v>
      </c>
      <c r="AA157" t="str">
        <f>"20.8830%"</f>
        <v>20.8830%</v>
      </c>
      <c r="AB157" t="s">
        <v>1480</v>
      </c>
      <c r="AD157" t="s">
        <v>1481</v>
      </c>
      <c r="AE157" t="str">
        <f>""</f>
        <v/>
      </c>
    </row>
    <row r="158" spans="1:31" x14ac:dyDescent="0.3">
      <c r="A158" s="1" t="s">
        <v>1482</v>
      </c>
      <c r="B158" t="s">
        <v>120</v>
      </c>
      <c r="C158" t="s">
        <v>1483</v>
      </c>
      <c r="D158" t="s">
        <v>82</v>
      </c>
      <c r="E158" t="s">
        <v>50</v>
      </c>
      <c r="F158" t="s">
        <v>37</v>
      </c>
      <c r="G158" t="str">
        <f t="shared" si="12"/>
        <v>11000</v>
      </c>
      <c r="H158" t="s">
        <v>1484</v>
      </c>
      <c r="I158" t="str">
        <f>"45%"</f>
        <v>45%</v>
      </c>
      <c r="J158" t="str">
        <f>"-0.03"</f>
        <v>-0.03</v>
      </c>
      <c r="K158" t="str">
        <f t="shared" si="13"/>
        <v>110</v>
      </c>
      <c r="L158" t="str">
        <f>"SPTA1 p.I2265T"</f>
        <v>SPTA1 p.I2265T</v>
      </c>
      <c r="M158" t="str">
        <f>"NM_003126"</f>
        <v>NM_003126</v>
      </c>
      <c r="O158" t="s">
        <v>1485</v>
      </c>
      <c r="P158" t="str">
        <f>"45%"</f>
        <v>45%</v>
      </c>
      <c r="Q158" t="str">
        <f>"-0.00"</f>
        <v>-0.00</v>
      </c>
      <c r="S158" t="s">
        <v>40</v>
      </c>
      <c r="T158" t="s">
        <v>1486</v>
      </c>
      <c r="U158" t="str">
        <f>"53.7400%"</f>
        <v>53.7400%</v>
      </c>
      <c r="V158" t="str">
        <f>"53.7400%"</f>
        <v>53.7400%</v>
      </c>
      <c r="W158" t="str">
        <f>"50.6800%"</f>
        <v>50.6800%</v>
      </c>
      <c r="X158" t="str">
        <f>"50.6190%"</f>
        <v>50.6190%</v>
      </c>
      <c r="Y158" t="s">
        <v>1487</v>
      </c>
      <c r="Z158" t="str">
        <f>"54.9470%"</f>
        <v>54.9470%</v>
      </c>
      <c r="AA158" t="str">
        <f>"54.9240%"</f>
        <v>54.9240%</v>
      </c>
      <c r="AB158" t="s">
        <v>1488</v>
      </c>
      <c r="AC158" t="s">
        <v>1489</v>
      </c>
      <c r="AD158" t="s">
        <v>1490</v>
      </c>
      <c r="AE158" t="str">
        <f>"0.007"</f>
        <v>0.007</v>
      </c>
    </row>
    <row r="159" spans="1:31" x14ac:dyDescent="0.3">
      <c r="A159" s="1" t="s">
        <v>218</v>
      </c>
      <c r="B159" t="s">
        <v>219</v>
      </c>
      <c r="C159" t="s">
        <v>220</v>
      </c>
      <c r="D159" t="s">
        <v>221</v>
      </c>
      <c r="E159" t="s">
        <v>35</v>
      </c>
      <c r="F159" t="s">
        <v>37</v>
      </c>
      <c r="G159" t="str">
        <f>"01000"</f>
        <v>01000</v>
      </c>
      <c r="H159" t="s">
        <v>222</v>
      </c>
      <c r="I159" t="str">
        <f>"8%"</f>
        <v>8%</v>
      </c>
      <c r="J159" t="str">
        <f>"0.04"</f>
        <v>0.04</v>
      </c>
      <c r="K159" t="str">
        <f>"010"</f>
        <v>010</v>
      </c>
      <c r="L159" t="str">
        <f>"MAML2 p.603_607del"</f>
        <v>MAML2 p.603_607del</v>
      </c>
      <c r="M159" t="str">
        <f>"NM_032427"</f>
        <v>NM_032427</v>
      </c>
      <c r="O159" t="s">
        <v>223</v>
      </c>
      <c r="P159" t="str">
        <f>"14%"</f>
        <v>14%</v>
      </c>
      <c r="Q159" t="str">
        <f>"-0.01"</f>
        <v>-0.01</v>
      </c>
      <c r="S159" t="s">
        <v>160</v>
      </c>
      <c r="T159" t="s">
        <v>224</v>
      </c>
      <c r="U159" t="str">
        <f>"10.5900%"</f>
        <v>10.5900%</v>
      </c>
      <c r="V159" t="str">
        <f>"2.8100%"</f>
        <v>2.8100%</v>
      </c>
      <c r="W159" t="str">
        <f>"7.8400%"</f>
        <v>7.8400%</v>
      </c>
      <c r="X159" t="str">
        <f>""</f>
        <v/>
      </c>
      <c r="Y159" t="s">
        <v>225</v>
      </c>
      <c r="Z159" t="str">
        <f>"31.5620%"</f>
        <v>31.5620%</v>
      </c>
      <c r="AA159" t="str">
        <f>"18.7810%"</f>
        <v>18.7810%</v>
      </c>
      <c r="AB159" t="s">
        <v>226</v>
      </c>
      <c r="AC159" t="s">
        <v>227</v>
      </c>
      <c r="AE159" t="str">
        <f>""</f>
        <v/>
      </c>
    </row>
    <row r="160" spans="1:31" x14ac:dyDescent="0.3">
      <c r="A160" s="1" t="s">
        <v>1491</v>
      </c>
      <c r="B160" t="s">
        <v>65</v>
      </c>
      <c r="C160" t="s">
        <v>1492</v>
      </c>
      <c r="D160" t="s">
        <v>35</v>
      </c>
      <c r="E160" t="s">
        <v>36</v>
      </c>
      <c r="F160" t="s">
        <v>37</v>
      </c>
      <c r="G160" t="str">
        <f t="shared" ref="G160:G176" si="14">"11000"</f>
        <v>11000</v>
      </c>
      <c r="H160" t="s">
        <v>1493</v>
      </c>
      <c r="I160" t="str">
        <f>"46%"</f>
        <v>46%</v>
      </c>
      <c r="J160" t="str">
        <f>"0.02"</f>
        <v>0.02</v>
      </c>
      <c r="K160" t="str">
        <f t="shared" ref="K160:K176" si="15">"110"</f>
        <v>110</v>
      </c>
      <c r="L160" t="str">
        <f>"SYNE1 p.S16G"</f>
        <v>SYNE1 p.S16G</v>
      </c>
      <c r="M160" t="str">
        <f>"NM_001347702"</f>
        <v>NM_001347702</v>
      </c>
      <c r="O160" t="s">
        <v>1494</v>
      </c>
      <c r="P160" t="str">
        <f>"42%"</f>
        <v>42%</v>
      </c>
      <c r="Q160" t="str">
        <f>"-0.00"</f>
        <v>-0.00</v>
      </c>
      <c r="S160" t="s">
        <v>40</v>
      </c>
      <c r="T160" t="s">
        <v>1495</v>
      </c>
      <c r="U160" t="str">
        <f>"82.7800%"</f>
        <v>82.7800%</v>
      </c>
      <c r="V160" t="str">
        <f>"82.7100%"</f>
        <v>82.7100%</v>
      </c>
      <c r="W160" t="str">
        <f>"85.7200%"</f>
        <v>85.7200%</v>
      </c>
      <c r="X160" t="str">
        <f>"86.7013%"</f>
        <v>86.7013%</v>
      </c>
      <c r="Y160" t="s">
        <v>1496</v>
      </c>
      <c r="Z160" t="str">
        <f>"83.5550%"</f>
        <v>83.5550%</v>
      </c>
      <c r="AA160" t="str">
        <f>"83.5550%"</f>
        <v>83.5550%</v>
      </c>
      <c r="AB160" t="s">
        <v>1497</v>
      </c>
      <c r="AE160" t="str">
        <f>"1.881"</f>
        <v>1.881</v>
      </c>
    </row>
    <row r="161" spans="1:31" x14ac:dyDescent="0.3">
      <c r="A161" s="1" t="s">
        <v>1498</v>
      </c>
      <c r="B161" t="s">
        <v>219</v>
      </c>
      <c r="C161" t="s">
        <v>1499</v>
      </c>
      <c r="D161" t="s">
        <v>36</v>
      </c>
      <c r="E161" t="s">
        <v>35</v>
      </c>
      <c r="F161" t="s">
        <v>129</v>
      </c>
      <c r="G161" t="str">
        <f t="shared" si="14"/>
        <v>11000</v>
      </c>
      <c r="H161" t="s">
        <v>966</v>
      </c>
      <c r="I161" t="str">
        <f>"52%"</f>
        <v>52%</v>
      </c>
      <c r="J161" t="str">
        <f>"-0.18"</f>
        <v>-0.18</v>
      </c>
      <c r="K161" t="str">
        <f t="shared" si="15"/>
        <v>110</v>
      </c>
      <c r="L161" t="str">
        <f>"FAT3"</f>
        <v>FAT3</v>
      </c>
      <c r="M161" t="str">
        <f>""</f>
        <v/>
      </c>
      <c r="O161" t="s">
        <v>1500</v>
      </c>
      <c r="P161" t="str">
        <f>"48%"</f>
        <v>48%</v>
      </c>
      <c r="Q161" t="str">
        <f>"-0.01"</f>
        <v>-0.01</v>
      </c>
      <c r="R161" t="s">
        <v>1501</v>
      </c>
      <c r="U161" t="str">
        <f>""</f>
        <v/>
      </c>
      <c r="V161" t="str">
        <f>""</f>
        <v/>
      </c>
      <c r="W161" t="str">
        <f>""</f>
        <v/>
      </c>
      <c r="X161" t="str">
        <f>"10.8227%"</f>
        <v>10.8227%</v>
      </c>
      <c r="Y161" t="s">
        <v>1502</v>
      </c>
      <c r="Z161" t="str">
        <f>"12.7350%"</f>
        <v>12.7350%</v>
      </c>
      <c r="AA161" t="str">
        <f>"12.7120%"</f>
        <v>12.7120%</v>
      </c>
      <c r="AB161" t="s">
        <v>1503</v>
      </c>
      <c r="AE161" t="str">
        <f>""</f>
        <v/>
      </c>
    </row>
    <row r="162" spans="1:31" x14ac:dyDescent="0.3">
      <c r="A162" s="1" t="s">
        <v>1504</v>
      </c>
      <c r="B162" t="s">
        <v>113</v>
      </c>
      <c r="C162" t="s">
        <v>1505</v>
      </c>
      <c r="D162" t="s">
        <v>36</v>
      </c>
      <c r="E162" t="s">
        <v>35</v>
      </c>
      <c r="F162" t="s">
        <v>37</v>
      </c>
      <c r="G162" t="str">
        <f t="shared" si="14"/>
        <v>11000</v>
      </c>
      <c r="H162" t="s">
        <v>1506</v>
      </c>
      <c r="I162" t="str">
        <f>"55%"</f>
        <v>55%</v>
      </c>
      <c r="J162" t="str">
        <f>"-0.08"</f>
        <v>-0.08</v>
      </c>
      <c r="K162" t="str">
        <f t="shared" si="15"/>
        <v>110</v>
      </c>
      <c r="L162" t="str">
        <f>"KMT2B p.P1829L"</f>
        <v>KMT2B p.P1829L</v>
      </c>
      <c r="M162" t="str">
        <f>"NM_014727"</f>
        <v>NM_014727</v>
      </c>
      <c r="O162" t="s">
        <v>1500</v>
      </c>
      <c r="P162" t="str">
        <f>"51%"</f>
        <v>51%</v>
      </c>
      <c r="Q162" t="str">
        <f>"-0.01"</f>
        <v>-0.01</v>
      </c>
      <c r="S162" t="s">
        <v>40</v>
      </c>
      <c r="T162" t="s">
        <v>1507</v>
      </c>
      <c r="U162" t="str">
        <f>"11.0000%"</f>
        <v>11.0000%</v>
      </c>
      <c r="V162" t="str">
        <f>"10.9400%"</f>
        <v>10.9400%</v>
      </c>
      <c r="W162" t="str">
        <f>"8.9900%"</f>
        <v>8.9900%</v>
      </c>
      <c r="X162" t="str">
        <f>"10.0240%"</f>
        <v>10.0240%</v>
      </c>
      <c r="Y162" t="s">
        <v>1508</v>
      </c>
      <c r="Z162" t="str">
        <f>"9.4370%"</f>
        <v>9.4370%</v>
      </c>
      <c r="AA162" t="str">
        <f>"9.4370%"</f>
        <v>9.4370%</v>
      </c>
      <c r="AB162" t="s">
        <v>1509</v>
      </c>
      <c r="AC162" t="s">
        <v>1510</v>
      </c>
      <c r="AE162" t="str">
        <f>"8.457"</f>
        <v>8.457</v>
      </c>
    </row>
    <row r="163" spans="1:31" x14ac:dyDescent="0.3">
      <c r="A163" s="1" t="s">
        <v>1511</v>
      </c>
      <c r="B163" t="s">
        <v>209</v>
      </c>
      <c r="C163" t="s">
        <v>1512</v>
      </c>
      <c r="D163" t="s">
        <v>82</v>
      </c>
      <c r="E163" t="s">
        <v>50</v>
      </c>
      <c r="F163" t="s">
        <v>37</v>
      </c>
      <c r="G163" t="str">
        <f t="shared" si="14"/>
        <v>11000</v>
      </c>
      <c r="H163" t="s">
        <v>1513</v>
      </c>
      <c r="I163" t="str">
        <f>"100%"</f>
        <v>100%</v>
      </c>
      <c r="J163" t="str">
        <f>"0.00"</f>
        <v>0.00</v>
      </c>
      <c r="K163" t="str">
        <f t="shared" si="15"/>
        <v>110</v>
      </c>
      <c r="L163" t="str">
        <f>"BCL2L2;BCL2L2-PABPN1"</f>
        <v>BCL2L2;BCL2L2-PABPN1</v>
      </c>
      <c r="M163" t="str">
        <f>""</f>
        <v/>
      </c>
      <c r="O163" t="s">
        <v>1514</v>
      </c>
      <c r="P163" t="str">
        <f>"100%"</f>
        <v>100%</v>
      </c>
      <c r="Q163" t="str">
        <f>"-0.00"</f>
        <v>-0.00</v>
      </c>
      <c r="S163" t="s">
        <v>40</v>
      </c>
      <c r="T163" t="s">
        <v>1515</v>
      </c>
      <c r="U163" t="str">
        <f>"99.7900%"</f>
        <v>99.7900%</v>
      </c>
      <c r="V163" t="str">
        <f>"99.7900%"</f>
        <v>99.7900%</v>
      </c>
      <c r="W163" t="str">
        <f>"99.7700%"</f>
        <v>99.7700%</v>
      </c>
      <c r="X163" t="str">
        <f>"99.9401%"</f>
        <v>99.9401%</v>
      </c>
      <c r="Y163" t="s">
        <v>1516</v>
      </c>
      <c r="Z163" t="str">
        <f>"99.6790%"</f>
        <v>99.6790%</v>
      </c>
      <c r="AA163" t="str">
        <f>"99.6340%"</f>
        <v>99.6340%</v>
      </c>
      <c r="AB163" t="s">
        <v>1517</v>
      </c>
      <c r="AC163" t="s">
        <v>1518</v>
      </c>
      <c r="AE163" t="str">
        <f>"3.022"</f>
        <v>3.022</v>
      </c>
    </row>
    <row r="164" spans="1:31" x14ac:dyDescent="0.3">
      <c r="A164" s="1" t="s">
        <v>1519</v>
      </c>
      <c r="B164" t="s">
        <v>283</v>
      </c>
      <c r="C164" t="s">
        <v>1520</v>
      </c>
      <c r="D164" t="s">
        <v>50</v>
      </c>
      <c r="E164" t="s">
        <v>82</v>
      </c>
      <c r="F164" t="s">
        <v>37</v>
      </c>
      <c r="G164" t="str">
        <f t="shared" si="14"/>
        <v>11000</v>
      </c>
      <c r="H164" t="s">
        <v>1521</v>
      </c>
      <c r="I164" t="str">
        <f>"48%"</f>
        <v>48%</v>
      </c>
      <c r="J164" t="str">
        <f>"0.08"</f>
        <v>0.08</v>
      </c>
      <c r="K164" t="str">
        <f t="shared" si="15"/>
        <v>110</v>
      </c>
      <c r="L164" t="str">
        <f>"SMO p.R726Q"</f>
        <v>SMO p.R726Q</v>
      </c>
      <c r="M164" t="str">
        <f>"NM_005631"</f>
        <v>NM_005631</v>
      </c>
      <c r="O164" t="s">
        <v>359</v>
      </c>
      <c r="P164" t="str">
        <f>"46%"</f>
        <v>46%</v>
      </c>
      <c r="Q164" t="str">
        <f>"-0.02"</f>
        <v>-0.02</v>
      </c>
      <c r="S164" t="s">
        <v>40</v>
      </c>
      <c r="T164" t="s">
        <v>1522</v>
      </c>
      <c r="U164" t="str">
        <f>"0.1000%"</f>
        <v>0.1000%</v>
      </c>
      <c r="V164" t="str">
        <f>"0.0600%"</f>
        <v>0.0600%</v>
      </c>
      <c r="W164" t="str">
        <f>"0.0600%"</f>
        <v>0.0600%</v>
      </c>
      <c r="X164" t="str">
        <f>""</f>
        <v/>
      </c>
      <c r="Y164" t="s">
        <v>1523</v>
      </c>
      <c r="Z164" t="str">
        <f>"0.0690%"</f>
        <v>0.0690%</v>
      </c>
      <c r="AA164" t="str">
        <f>"0.0690%"</f>
        <v>0.0690%</v>
      </c>
      <c r="AB164" t="s">
        <v>1524</v>
      </c>
      <c r="AC164" t="s">
        <v>1525</v>
      </c>
      <c r="AD164" t="s">
        <v>1526</v>
      </c>
      <c r="AE164" t="str">
        <f>"13.61"</f>
        <v>13.61</v>
      </c>
    </row>
    <row r="165" spans="1:31" x14ac:dyDescent="0.3">
      <c r="A165" s="1" t="s">
        <v>1527</v>
      </c>
      <c r="B165" t="s">
        <v>209</v>
      </c>
      <c r="C165" t="s">
        <v>1528</v>
      </c>
      <c r="D165" t="s">
        <v>36</v>
      </c>
      <c r="E165" t="s">
        <v>35</v>
      </c>
      <c r="F165" t="s">
        <v>37</v>
      </c>
      <c r="G165" t="str">
        <f t="shared" si="14"/>
        <v>11000</v>
      </c>
      <c r="H165" t="s">
        <v>1529</v>
      </c>
      <c r="I165" t="str">
        <f>"100%"</f>
        <v>100%</v>
      </c>
      <c r="J165" t="str">
        <f>"0.00"</f>
        <v>0.00</v>
      </c>
      <c r="K165" t="str">
        <f t="shared" si="15"/>
        <v>110</v>
      </c>
      <c r="L165" t="str">
        <f>"FOXA1 p.A83T"</f>
        <v>FOXA1 p.A83T</v>
      </c>
      <c r="M165" t="str">
        <f>"NM_004496"</f>
        <v>NM_004496</v>
      </c>
      <c r="O165" t="s">
        <v>1530</v>
      </c>
      <c r="P165" t="str">
        <f>"100%"</f>
        <v>100%</v>
      </c>
      <c r="Q165" t="str">
        <f>"-0.00"</f>
        <v>-0.00</v>
      </c>
      <c r="S165" t="s">
        <v>40</v>
      </c>
      <c r="T165" t="s">
        <v>1531</v>
      </c>
      <c r="U165" t="str">
        <f>"60.8400%"</f>
        <v>60.8400%</v>
      </c>
      <c r="V165" t="str">
        <f>"61.6100%"</f>
        <v>61.6100%</v>
      </c>
      <c r="W165" t="str">
        <f>"53.8700%"</f>
        <v>53.8700%</v>
      </c>
      <c r="X165" t="str">
        <f>"58.3067%"</f>
        <v>58.3067%</v>
      </c>
      <c r="Y165" t="s">
        <v>1532</v>
      </c>
      <c r="Z165" t="str">
        <f>"63.0780%"</f>
        <v>63.0780%</v>
      </c>
      <c r="AA165" t="str">
        <f>"63.1010%"</f>
        <v>63.1010%</v>
      </c>
      <c r="AB165" t="s">
        <v>1533</v>
      </c>
      <c r="AC165" t="s">
        <v>1534</v>
      </c>
      <c r="AE165" t="str">
        <f>"15.22"</f>
        <v>15.22</v>
      </c>
    </row>
    <row r="166" spans="1:31" x14ac:dyDescent="0.3">
      <c r="A166" s="1" t="s">
        <v>1535</v>
      </c>
      <c r="B166" t="s">
        <v>58</v>
      </c>
      <c r="C166" t="s">
        <v>1536</v>
      </c>
      <c r="D166" t="s">
        <v>50</v>
      </c>
      <c r="E166" t="s">
        <v>35</v>
      </c>
      <c r="F166" t="s">
        <v>37</v>
      </c>
      <c r="G166" t="str">
        <f t="shared" si="14"/>
        <v>11000</v>
      </c>
      <c r="H166" t="s">
        <v>1537</v>
      </c>
      <c r="I166" t="str">
        <f>"54%"</f>
        <v>54%</v>
      </c>
      <c r="J166" t="str">
        <f>"-0.03"</f>
        <v>-0.03</v>
      </c>
      <c r="K166" t="str">
        <f t="shared" si="15"/>
        <v>110</v>
      </c>
      <c r="L166" t="str">
        <f>"KNSTRN p.R75L"</f>
        <v>KNSTRN p.R75L</v>
      </c>
      <c r="M166" t="str">
        <f>"NM_033286"</f>
        <v>NM_033286</v>
      </c>
      <c r="O166" t="s">
        <v>1538</v>
      </c>
      <c r="P166" t="str">
        <f>"48%"</f>
        <v>48%</v>
      </c>
      <c r="Q166" t="str">
        <f>"-0.00"</f>
        <v>-0.00</v>
      </c>
      <c r="S166" t="s">
        <v>40</v>
      </c>
      <c r="T166" t="s">
        <v>1539</v>
      </c>
      <c r="U166" t="str">
        <f>"9.0700%"</f>
        <v>9.0700%</v>
      </c>
      <c r="V166" t="str">
        <f>"9.2400%"</f>
        <v>9.2400%</v>
      </c>
      <c r="W166" t="str">
        <f>"8.9200%"</f>
        <v>8.9200%</v>
      </c>
      <c r="X166" t="str">
        <f>"4.4728%"</f>
        <v>4.4728%</v>
      </c>
      <c r="Y166" t="s">
        <v>1540</v>
      </c>
      <c r="Z166" t="str">
        <f>"9.9180%"</f>
        <v>9.9180%</v>
      </c>
      <c r="AA166" t="str">
        <f>"9.9180%"</f>
        <v>9.9180%</v>
      </c>
      <c r="AB166" t="s">
        <v>1541</v>
      </c>
      <c r="AC166" t="s">
        <v>1542</v>
      </c>
      <c r="AE166" t="str">
        <f>"16.97"</f>
        <v>16.97</v>
      </c>
    </row>
    <row r="167" spans="1:31" x14ac:dyDescent="0.3">
      <c r="A167" s="1" t="s">
        <v>1543</v>
      </c>
      <c r="B167" t="s">
        <v>683</v>
      </c>
      <c r="C167" t="s">
        <v>1544</v>
      </c>
      <c r="D167" t="s">
        <v>36</v>
      </c>
      <c r="E167" t="s">
        <v>82</v>
      </c>
      <c r="F167" t="s">
        <v>37</v>
      </c>
      <c r="G167" t="str">
        <f t="shared" si="14"/>
        <v>11000</v>
      </c>
      <c r="H167" t="s">
        <v>333</v>
      </c>
      <c r="I167" t="str">
        <f>"46%"</f>
        <v>46%</v>
      </c>
      <c r="J167" t="str">
        <f>"-0.03"</f>
        <v>-0.03</v>
      </c>
      <c r="K167" t="str">
        <f t="shared" si="15"/>
        <v>110</v>
      </c>
      <c r="L167" t="str">
        <f>"ESPL1 p.S614R"</f>
        <v>ESPL1 p.S614R</v>
      </c>
      <c r="M167" t="str">
        <f>"NM_012291"</f>
        <v>NM_012291</v>
      </c>
      <c r="O167" t="s">
        <v>1545</v>
      </c>
      <c r="P167" t="str">
        <f>"54%"</f>
        <v>54%</v>
      </c>
      <c r="Q167" t="str">
        <f>"-0.00"</f>
        <v>-0.00</v>
      </c>
      <c r="S167" t="s">
        <v>40</v>
      </c>
      <c r="T167" t="s">
        <v>1546</v>
      </c>
      <c r="U167" t="str">
        <f>"65.6100%"</f>
        <v>65.6100%</v>
      </c>
      <c r="V167" t="str">
        <f>"65.7500%"</f>
        <v>65.7500%</v>
      </c>
      <c r="W167" t="str">
        <f>"56.7500%"</f>
        <v>56.7500%</v>
      </c>
      <c r="X167" t="str">
        <f>"63.3187%"</f>
        <v>63.3187%</v>
      </c>
      <c r="Y167" t="s">
        <v>1547</v>
      </c>
      <c r="Z167" t="str">
        <f>"66.8120%"</f>
        <v>66.8120%</v>
      </c>
      <c r="AA167" t="str">
        <f>"66.8350%"</f>
        <v>66.8350%</v>
      </c>
      <c r="AB167" t="s">
        <v>1548</v>
      </c>
      <c r="AC167" t="s">
        <v>1549</v>
      </c>
      <c r="AE167" t="str">
        <f>"16.80"</f>
        <v>16.80</v>
      </c>
    </row>
    <row r="168" spans="1:31" x14ac:dyDescent="0.3">
      <c r="A168" s="1" t="s">
        <v>1550</v>
      </c>
      <c r="B168" t="s">
        <v>351</v>
      </c>
      <c r="C168" t="s">
        <v>1551</v>
      </c>
      <c r="D168" t="s">
        <v>50</v>
      </c>
      <c r="E168" t="s">
        <v>36</v>
      </c>
      <c r="F168" t="s">
        <v>37</v>
      </c>
      <c r="G168" t="str">
        <f t="shared" si="14"/>
        <v>11000</v>
      </c>
      <c r="H168" t="s">
        <v>1552</v>
      </c>
      <c r="I168" t="str">
        <f>"47%"</f>
        <v>47%</v>
      </c>
      <c r="J168" t="str">
        <f>"0.01"</f>
        <v>0.01</v>
      </c>
      <c r="K168" t="str">
        <f t="shared" si="15"/>
        <v>110</v>
      </c>
      <c r="L168" t="str">
        <f>"GATA2 p.P161A"</f>
        <v>GATA2 p.P161A</v>
      </c>
      <c r="M168" t="str">
        <f>"NM_001145661"</f>
        <v>NM_001145661</v>
      </c>
      <c r="O168" t="s">
        <v>269</v>
      </c>
      <c r="P168" t="str">
        <f>"51%"</f>
        <v>51%</v>
      </c>
      <c r="Q168" t="str">
        <f>"-0.01"</f>
        <v>-0.01</v>
      </c>
      <c r="S168" t="s">
        <v>40</v>
      </c>
      <c r="T168" t="s">
        <v>1553</v>
      </c>
      <c r="U168" t="str">
        <f>"0.9600%"</f>
        <v>0.9600%</v>
      </c>
      <c r="V168" t="str">
        <f>"0.8200%"</f>
        <v>0.8200%</v>
      </c>
      <c r="W168" t="str">
        <f>"0.9400%"</f>
        <v>0.9400%</v>
      </c>
      <c r="X168" t="str">
        <f>"0.1597%"</f>
        <v>0.1597%</v>
      </c>
      <c r="Y168" t="s">
        <v>1554</v>
      </c>
      <c r="Z168" t="str">
        <f>"0.9390%"</f>
        <v>0.9390%</v>
      </c>
      <c r="AA168" t="str">
        <f>"0.9390%"</f>
        <v>0.9390%</v>
      </c>
      <c r="AB168" t="s">
        <v>1555</v>
      </c>
      <c r="AC168" t="s">
        <v>1556</v>
      </c>
      <c r="AD168" t="s">
        <v>1557</v>
      </c>
      <c r="AE168" t="str">
        <f>"12.68"</f>
        <v>12.68</v>
      </c>
    </row>
    <row r="169" spans="1:31" x14ac:dyDescent="0.3">
      <c r="A169" s="1" t="s">
        <v>1558</v>
      </c>
      <c r="B169" t="s">
        <v>231</v>
      </c>
      <c r="C169" t="s">
        <v>1559</v>
      </c>
      <c r="D169" t="s">
        <v>50</v>
      </c>
      <c r="E169" t="s">
        <v>36</v>
      </c>
      <c r="F169" t="s">
        <v>37</v>
      </c>
      <c r="G169" t="str">
        <f t="shared" si="14"/>
        <v>11000</v>
      </c>
      <c r="H169" t="s">
        <v>901</v>
      </c>
      <c r="I169" t="str">
        <f>"43%"</f>
        <v>43%</v>
      </c>
      <c r="J169" t="str">
        <f>"0.05"</f>
        <v>0.05</v>
      </c>
      <c r="K169" t="str">
        <f t="shared" si="15"/>
        <v>110</v>
      </c>
      <c r="L169" t="str">
        <f>"LRRC74B p.G3R"</f>
        <v>LRRC74B p.G3R</v>
      </c>
      <c r="M169" t="str">
        <f>"NM_001291006"</f>
        <v>NM_001291006</v>
      </c>
      <c r="O169" t="s">
        <v>1560</v>
      </c>
      <c r="P169" t="str">
        <f>"48%"</f>
        <v>48%</v>
      </c>
      <c r="Q169" t="str">
        <f>"0.02"</f>
        <v>0.02</v>
      </c>
      <c r="S169" t="s">
        <v>40</v>
      </c>
      <c r="T169" t="s">
        <v>1561</v>
      </c>
      <c r="U169" t="str">
        <f>"3.6700%"</f>
        <v>3.6700%</v>
      </c>
      <c r="V169" t="str">
        <f>"5.3600%"</f>
        <v>5.3600%</v>
      </c>
      <c r="W169" t="str">
        <f>""</f>
        <v/>
      </c>
      <c r="X169" t="str">
        <f>"4.5527%"</f>
        <v>4.5527%</v>
      </c>
      <c r="Y169" t="s">
        <v>1562</v>
      </c>
      <c r="Z169" t="str">
        <f>"5.2680%"</f>
        <v>5.2680%</v>
      </c>
      <c r="AA169" t="str">
        <f>"5.2450%"</f>
        <v>5.2450%</v>
      </c>
      <c r="AB169" t="s">
        <v>1563</v>
      </c>
      <c r="AE169" t="str">
        <f>"14.25"</f>
        <v>14.25</v>
      </c>
    </row>
    <row r="170" spans="1:31" x14ac:dyDescent="0.3">
      <c r="A170" s="1" t="s">
        <v>1564</v>
      </c>
      <c r="B170" t="s">
        <v>33</v>
      </c>
      <c r="C170" t="s">
        <v>1565</v>
      </c>
      <c r="D170" t="s">
        <v>82</v>
      </c>
      <c r="E170" t="s">
        <v>50</v>
      </c>
      <c r="F170" t="s">
        <v>37</v>
      </c>
      <c r="G170" t="str">
        <f t="shared" si="14"/>
        <v>11000</v>
      </c>
      <c r="H170" t="s">
        <v>1566</v>
      </c>
      <c r="I170" t="str">
        <f>"100%"</f>
        <v>100%</v>
      </c>
      <c r="J170" t="str">
        <f>"0.01"</f>
        <v>0.01</v>
      </c>
      <c r="K170" t="str">
        <f t="shared" si="15"/>
        <v>110</v>
      </c>
      <c r="L170" t="str">
        <f>"AURKB p.M298T"</f>
        <v>AURKB p.M298T</v>
      </c>
      <c r="M170" t="str">
        <f>"NM_004217"</f>
        <v>NM_004217</v>
      </c>
      <c r="O170" t="s">
        <v>1567</v>
      </c>
      <c r="P170" t="str">
        <f>"100%"</f>
        <v>100%</v>
      </c>
      <c r="Q170" t="str">
        <f>"0.03"</f>
        <v>0.03</v>
      </c>
      <c r="S170" t="s">
        <v>40</v>
      </c>
      <c r="T170" t="s">
        <v>1568</v>
      </c>
      <c r="U170" t="str">
        <f>"83.0600%"</f>
        <v>83.0600%</v>
      </c>
      <c r="V170" t="str">
        <f>"83.2200%"</f>
        <v>83.2200%</v>
      </c>
      <c r="W170" t="str">
        <f>"82.1900%"</f>
        <v>82.1900%</v>
      </c>
      <c r="X170" t="str">
        <f>"73.6022%"</f>
        <v>73.6022%</v>
      </c>
      <c r="Y170" t="s">
        <v>1569</v>
      </c>
      <c r="Z170" t="str">
        <f>"80.1650%"</f>
        <v>80.1650%</v>
      </c>
      <c r="AA170" t="str">
        <f>"80.1650%"</f>
        <v>80.1650%</v>
      </c>
      <c r="AB170" t="s">
        <v>1570</v>
      </c>
      <c r="AC170" t="s">
        <v>1571</v>
      </c>
      <c r="AE170" t="str">
        <f>"0.092"</f>
        <v>0.092</v>
      </c>
    </row>
    <row r="171" spans="1:31" x14ac:dyDescent="0.3">
      <c r="A171" s="1" t="s">
        <v>1572</v>
      </c>
      <c r="B171" t="s">
        <v>120</v>
      </c>
      <c r="C171" t="s">
        <v>1573</v>
      </c>
      <c r="D171" t="s">
        <v>82</v>
      </c>
      <c r="E171" t="s">
        <v>50</v>
      </c>
      <c r="F171" t="s">
        <v>143</v>
      </c>
      <c r="G171" t="str">
        <f t="shared" si="14"/>
        <v>11000</v>
      </c>
      <c r="H171" t="s">
        <v>122</v>
      </c>
      <c r="I171" t="str">
        <f>"99%"</f>
        <v>99%</v>
      </c>
      <c r="J171" t="str">
        <f>"0.01"</f>
        <v>0.01</v>
      </c>
      <c r="K171" t="str">
        <f t="shared" si="15"/>
        <v>110</v>
      </c>
      <c r="L171" t="str">
        <f>"LOC110117498-PIK3R3;PIK3R3"</f>
        <v>LOC110117498-PIK3R3;PIK3R3</v>
      </c>
      <c r="M171" t="str">
        <f>""</f>
        <v/>
      </c>
      <c r="O171" t="s">
        <v>976</v>
      </c>
      <c r="P171" t="str">
        <f>"99%"</f>
        <v>99%</v>
      </c>
      <c r="Q171" t="str">
        <f>"-0.01"</f>
        <v>-0.01</v>
      </c>
      <c r="R171" t="s">
        <v>1574</v>
      </c>
      <c r="U171" t="str">
        <f>""</f>
        <v/>
      </c>
      <c r="V171" t="str">
        <f>""</f>
        <v/>
      </c>
      <c r="W171" t="str">
        <f>""</f>
        <v/>
      </c>
      <c r="X171" t="str">
        <f>"64.8363%"</f>
        <v>64.8363%</v>
      </c>
      <c r="Y171" t="s">
        <v>1575</v>
      </c>
      <c r="Z171" t="str">
        <f>"66.7890%"</f>
        <v>66.7890%</v>
      </c>
      <c r="AA171" t="str">
        <f>"66.8800%"</f>
        <v>66.8800%</v>
      </c>
      <c r="AB171" t="s">
        <v>1576</v>
      </c>
      <c r="AE171" t="str">
        <f>""</f>
        <v/>
      </c>
    </row>
    <row r="172" spans="1:31" x14ac:dyDescent="0.3">
      <c r="A172" s="1" t="s">
        <v>1577</v>
      </c>
      <c r="B172" t="s">
        <v>320</v>
      </c>
      <c r="C172" t="s">
        <v>1578</v>
      </c>
      <c r="D172" t="s">
        <v>36</v>
      </c>
      <c r="E172" t="s">
        <v>35</v>
      </c>
      <c r="F172" t="s">
        <v>37</v>
      </c>
      <c r="G172" t="str">
        <f t="shared" si="14"/>
        <v>11000</v>
      </c>
      <c r="H172" t="s">
        <v>1579</v>
      </c>
      <c r="I172" t="str">
        <f>"44%"</f>
        <v>44%</v>
      </c>
      <c r="J172" t="str">
        <f>"-0.08"</f>
        <v>-0.08</v>
      </c>
      <c r="K172" t="str">
        <f t="shared" si="15"/>
        <v>110</v>
      </c>
      <c r="L172" t="str">
        <f>"PDGFRA p.T782M"</f>
        <v>PDGFRA p.T782M</v>
      </c>
      <c r="M172" t="str">
        <f>"NM_001347827"</f>
        <v>NM_001347827</v>
      </c>
      <c r="O172" t="s">
        <v>1580</v>
      </c>
      <c r="P172" t="str">
        <f>"41%"</f>
        <v>41%</v>
      </c>
      <c r="Q172" t="str">
        <f>"-0.01"</f>
        <v>-0.01</v>
      </c>
      <c r="S172" t="s">
        <v>40</v>
      </c>
      <c r="T172" t="s">
        <v>1581</v>
      </c>
      <c r="U172" t="str">
        <f>"5.8100%"</f>
        <v>5.8100%</v>
      </c>
      <c r="V172" t="str">
        <f>"7.2100%"</f>
        <v>7.2100%</v>
      </c>
      <c r="W172" t="str">
        <f>""</f>
        <v/>
      </c>
      <c r="X172" t="str">
        <f>"6.5895%"</f>
        <v>6.5895%</v>
      </c>
      <c r="Y172" t="s">
        <v>1582</v>
      </c>
      <c r="Z172" t="str">
        <f>"7.4210%"</f>
        <v>7.4210%</v>
      </c>
      <c r="AA172" t="str">
        <f>"7.4210%"</f>
        <v>7.4210%</v>
      </c>
      <c r="AB172" t="s">
        <v>1583</v>
      </c>
      <c r="AD172" t="s">
        <v>1584</v>
      </c>
      <c r="AE172" t="str">
        <f>""</f>
        <v/>
      </c>
    </row>
    <row r="173" spans="1:31" x14ac:dyDescent="0.3">
      <c r="A173" s="1" t="s">
        <v>1585</v>
      </c>
      <c r="B173" t="s">
        <v>266</v>
      </c>
      <c r="C173" t="s">
        <v>1586</v>
      </c>
      <c r="D173" t="s">
        <v>82</v>
      </c>
      <c r="E173" t="s">
        <v>36</v>
      </c>
      <c r="F173" t="s">
        <v>37</v>
      </c>
      <c r="G173" t="str">
        <f t="shared" si="14"/>
        <v>11000</v>
      </c>
      <c r="H173" t="s">
        <v>1587</v>
      </c>
      <c r="I173" t="str">
        <f>"48%"</f>
        <v>48%</v>
      </c>
      <c r="J173" t="str">
        <f>"-0.03"</f>
        <v>-0.03</v>
      </c>
      <c r="K173" t="str">
        <f t="shared" si="15"/>
        <v>110</v>
      </c>
      <c r="L173" t="str">
        <f>"SMARCA2 p.Q228P"</f>
        <v>SMARCA2 p.Q228P</v>
      </c>
      <c r="M173" t="str">
        <f>"NM_003070"</f>
        <v>NM_003070</v>
      </c>
      <c r="O173" t="s">
        <v>1588</v>
      </c>
      <c r="P173" t="str">
        <f>"40%"</f>
        <v>40%</v>
      </c>
      <c r="Q173" t="str">
        <f>"-0.00"</f>
        <v>-0.00</v>
      </c>
      <c r="S173" t="s">
        <v>40</v>
      </c>
      <c r="T173" t="s">
        <v>1589</v>
      </c>
      <c r="U173" t="str">
        <f>"3.9000%"</f>
        <v>3.9000%</v>
      </c>
      <c r="V173" t="str">
        <f>"4.0000%"</f>
        <v>4.0000%</v>
      </c>
      <c r="W173" t="str">
        <f>""</f>
        <v/>
      </c>
      <c r="X173" t="str">
        <f>"2.9153%"</f>
        <v>2.9153%</v>
      </c>
      <c r="Y173" t="s">
        <v>1590</v>
      </c>
      <c r="Z173" t="str">
        <f>"5.2220%"</f>
        <v>5.2220%</v>
      </c>
      <c r="AA173" t="str">
        <f>"5.2450%"</f>
        <v>5.2450%</v>
      </c>
      <c r="AB173" t="s">
        <v>1591</v>
      </c>
      <c r="AC173" t="s">
        <v>1592</v>
      </c>
      <c r="AD173" t="s">
        <v>1593</v>
      </c>
      <c r="AE173" t="str">
        <f>"2.004"</f>
        <v>2.004</v>
      </c>
    </row>
    <row r="174" spans="1:31" x14ac:dyDescent="0.3">
      <c r="A174" s="1" t="s">
        <v>1594</v>
      </c>
      <c r="B174" t="s">
        <v>58</v>
      </c>
      <c r="C174" t="s">
        <v>1595</v>
      </c>
      <c r="D174" t="s">
        <v>35</v>
      </c>
      <c r="E174" t="s">
        <v>36</v>
      </c>
      <c r="F174" t="s">
        <v>37</v>
      </c>
      <c r="G174" t="str">
        <f t="shared" si="14"/>
        <v>11000</v>
      </c>
      <c r="H174" t="s">
        <v>1596</v>
      </c>
      <c r="I174" t="str">
        <f>"53%"</f>
        <v>53%</v>
      </c>
      <c r="J174" t="str">
        <f>"0.13"</f>
        <v>0.13</v>
      </c>
      <c r="K174" t="str">
        <f t="shared" si="15"/>
        <v>110</v>
      </c>
      <c r="L174" t="str">
        <f>"ADAMTS17 p.N1094S"</f>
        <v>ADAMTS17 p.N1094S</v>
      </c>
      <c r="M174" t="str">
        <f>"NM_139057"</f>
        <v>NM_139057</v>
      </c>
      <c r="O174" t="s">
        <v>1001</v>
      </c>
      <c r="P174" t="str">
        <f>"56%"</f>
        <v>56%</v>
      </c>
      <c r="Q174" t="str">
        <f>"0.01"</f>
        <v>0.01</v>
      </c>
      <c r="S174" t="s">
        <v>40</v>
      </c>
      <c r="T174" t="s">
        <v>1597</v>
      </c>
      <c r="U174" t="str">
        <f>"66.1700%"</f>
        <v>66.1700%</v>
      </c>
      <c r="V174" t="str">
        <f>"65.7700%"</f>
        <v>65.7700%</v>
      </c>
      <c r="W174" t="str">
        <f>"71.4400%"</f>
        <v>71.4400%</v>
      </c>
      <c r="X174" t="str">
        <f>"67.9513%"</f>
        <v>67.9513%</v>
      </c>
      <c r="Y174" t="s">
        <v>1598</v>
      </c>
      <c r="Z174" t="str">
        <f>"63.2160%"</f>
        <v>63.2160%</v>
      </c>
      <c r="AA174" t="str">
        <f>"63.1930%"</f>
        <v>63.1930%</v>
      </c>
      <c r="AB174" t="s">
        <v>1599</v>
      </c>
      <c r="AD174" t="s">
        <v>1600</v>
      </c>
      <c r="AE174" t="str">
        <f>"0.048"</f>
        <v>0.048</v>
      </c>
    </row>
    <row r="175" spans="1:31" x14ac:dyDescent="0.3">
      <c r="A175" s="1" t="s">
        <v>1601</v>
      </c>
      <c r="B175" t="s">
        <v>683</v>
      </c>
      <c r="C175" t="s">
        <v>1602</v>
      </c>
      <c r="D175" t="s">
        <v>82</v>
      </c>
      <c r="E175" t="s">
        <v>50</v>
      </c>
      <c r="F175" t="s">
        <v>37</v>
      </c>
      <c r="G175" t="str">
        <f t="shared" si="14"/>
        <v>11000</v>
      </c>
      <c r="H175" t="s">
        <v>1603</v>
      </c>
      <c r="I175" t="str">
        <f>"100%"</f>
        <v>100%</v>
      </c>
      <c r="J175" t="str">
        <f>"-0.03"</f>
        <v>-0.03</v>
      </c>
      <c r="K175" t="str">
        <f t="shared" si="15"/>
        <v>110</v>
      </c>
      <c r="L175" t="str">
        <f>"HNF1A p.S574G"</f>
        <v>HNF1A p.S574G</v>
      </c>
      <c r="M175" t="str">
        <f>"NM_000545"</f>
        <v>NM_000545</v>
      </c>
      <c r="O175" t="s">
        <v>1604</v>
      </c>
      <c r="P175" t="str">
        <f>"100%"</f>
        <v>100%</v>
      </c>
      <c r="Q175" t="str">
        <f>"-0.00"</f>
        <v>-0.00</v>
      </c>
      <c r="S175" t="s">
        <v>40</v>
      </c>
      <c r="T175" t="s">
        <v>1605</v>
      </c>
      <c r="U175" t="str">
        <f>"99.5800%"</f>
        <v>99.5800%</v>
      </c>
      <c r="V175" t="str">
        <f>"99.6600%"</f>
        <v>99.6600%</v>
      </c>
      <c r="W175" t="str">
        <f>"98.6900%"</f>
        <v>98.6900%</v>
      </c>
      <c r="X175" t="str">
        <f>"98.5224%"</f>
        <v>98.5224%</v>
      </c>
      <c r="Y175" t="s">
        <v>1606</v>
      </c>
      <c r="Z175" t="str">
        <f>"99.4960%"</f>
        <v>99.4960%</v>
      </c>
      <c r="AA175" t="str">
        <f>"99.5650%"</f>
        <v>99.5650%</v>
      </c>
      <c r="AB175" t="s">
        <v>1607</v>
      </c>
      <c r="AC175" t="s">
        <v>1608</v>
      </c>
      <c r="AD175" t="s">
        <v>1609</v>
      </c>
      <c r="AE175" t="str">
        <f>"1.220"</f>
        <v>1.220</v>
      </c>
    </row>
    <row r="176" spans="1:31" x14ac:dyDescent="0.3">
      <c r="A176" s="1" t="s">
        <v>1610</v>
      </c>
      <c r="B176" t="s">
        <v>219</v>
      </c>
      <c r="C176" t="s">
        <v>1611</v>
      </c>
      <c r="D176" t="s">
        <v>82</v>
      </c>
      <c r="E176" t="s">
        <v>50</v>
      </c>
      <c r="F176" t="s">
        <v>37</v>
      </c>
      <c r="G176" t="str">
        <f t="shared" si="14"/>
        <v>11000</v>
      </c>
      <c r="H176" t="s">
        <v>1017</v>
      </c>
      <c r="I176" t="str">
        <f>"39%"</f>
        <v>39%</v>
      </c>
      <c r="J176" t="str">
        <f>"-0.37"</f>
        <v>-0.37</v>
      </c>
      <c r="K176" t="str">
        <f t="shared" si="15"/>
        <v>110</v>
      </c>
      <c r="L176" t="str">
        <f>"INS-IGF2 p.L144P"</f>
        <v>INS-IGF2 p.L144P</v>
      </c>
      <c r="M176" t="str">
        <f>"NM_001042376"</f>
        <v>NM_001042376</v>
      </c>
      <c r="O176" t="s">
        <v>1612</v>
      </c>
      <c r="P176" t="str">
        <f>"41%"</f>
        <v>41%</v>
      </c>
      <c r="Q176" t="str">
        <f>"-0.03"</f>
        <v>-0.03</v>
      </c>
      <c r="S176" t="s">
        <v>40</v>
      </c>
      <c r="T176" t="s">
        <v>1613</v>
      </c>
      <c r="U176" t="str">
        <f>"42.1500%"</f>
        <v>42.1500%</v>
      </c>
      <c r="V176" t="str">
        <f>"49.0400%"</f>
        <v>49.0400%</v>
      </c>
      <c r="W176" t="str">
        <f>"34.7300%"</f>
        <v>34.7300%</v>
      </c>
      <c r="X176" t="str">
        <f>"34.7843%"</f>
        <v>34.7843%</v>
      </c>
      <c r="Y176" t="s">
        <v>1614</v>
      </c>
      <c r="Z176" t="str">
        <f>"45.3280%"</f>
        <v>45.3280%</v>
      </c>
      <c r="AA176" t="str">
        <f>"45.2820%"</f>
        <v>45.2820%</v>
      </c>
      <c r="AB176" t="s">
        <v>1615</v>
      </c>
      <c r="AE176" t="str">
        <f>"12.53"</f>
        <v>12.53</v>
      </c>
    </row>
    <row r="177" spans="1:31" x14ac:dyDescent="0.3">
      <c r="A177" s="1" t="s">
        <v>79</v>
      </c>
      <c r="B177" t="s">
        <v>80</v>
      </c>
      <c r="C177" t="s">
        <v>81</v>
      </c>
      <c r="D177" t="s">
        <v>36</v>
      </c>
      <c r="E177" t="s">
        <v>82</v>
      </c>
      <c r="F177" t="s">
        <v>37</v>
      </c>
      <c r="G177" t="str">
        <f>"10000"</f>
        <v>10000</v>
      </c>
      <c r="H177" t="s">
        <v>83</v>
      </c>
      <c r="I177" t="str">
        <f>"8%"</f>
        <v>8%</v>
      </c>
      <c r="J177" t="str">
        <f>"0.01"</f>
        <v>0.01</v>
      </c>
      <c r="K177" t="str">
        <f>"100"</f>
        <v>100</v>
      </c>
      <c r="L177" t="str">
        <f>"PTEN p.D268E"</f>
        <v>PTEN p.D268E</v>
      </c>
      <c r="M177" t="str">
        <f>"NM_000314"</f>
        <v>NM_000314</v>
      </c>
      <c r="O177" t="s">
        <v>75</v>
      </c>
      <c r="P177" t="str">
        <f>"5%"</f>
        <v>5%</v>
      </c>
      <c r="Q177" t="str">
        <f>"-0.01"</f>
        <v>-0.01</v>
      </c>
      <c r="S177" t="s">
        <v>40</v>
      </c>
      <c r="T177" t="s">
        <v>84</v>
      </c>
      <c r="U177" t="str">
        <f>"0.0900%"</f>
        <v>0.0900%</v>
      </c>
      <c r="V177" t="str">
        <f>"0.0700%"</f>
        <v>0.0700%</v>
      </c>
      <c r="W177" t="str">
        <f>""</f>
        <v/>
      </c>
      <c r="X177" t="str">
        <f>""</f>
        <v/>
      </c>
      <c r="Y177" t="s">
        <v>85</v>
      </c>
      <c r="Z177" t="str">
        <f>"27.5310%"</f>
        <v>27.5310%</v>
      </c>
      <c r="AA177" t="str">
        <f>""</f>
        <v/>
      </c>
      <c r="AB177" t="s">
        <v>86</v>
      </c>
      <c r="AE177" t="str">
        <f>"1.928"</f>
        <v>1.928</v>
      </c>
    </row>
    <row r="178" spans="1:31" x14ac:dyDescent="0.3">
      <c r="A178" s="1" t="s">
        <v>1616</v>
      </c>
      <c r="B178" t="s">
        <v>120</v>
      </c>
      <c r="C178" t="s">
        <v>1617</v>
      </c>
      <c r="D178" t="s">
        <v>82</v>
      </c>
      <c r="E178" t="s">
        <v>50</v>
      </c>
      <c r="F178" t="s">
        <v>37</v>
      </c>
      <c r="G178" t="str">
        <f t="shared" ref="G178:G186" si="16">"11000"</f>
        <v>11000</v>
      </c>
      <c r="H178" t="s">
        <v>1618</v>
      </c>
      <c r="I178" t="str">
        <f>"45%"</f>
        <v>45%</v>
      </c>
      <c r="J178" t="str">
        <f>"0.01"</f>
        <v>0.01</v>
      </c>
      <c r="K178" t="str">
        <f t="shared" ref="K178:K187" si="17">"110"</f>
        <v>110</v>
      </c>
      <c r="L178" t="str">
        <f>"TNFRSF14 p.K17R"</f>
        <v>TNFRSF14 p.K17R</v>
      </c>
      <c r="M178" t="str">
        <f>"NM_003820"</f>
        <v>NM_003820</v>
      </c>
      <c r="O178" t="s">
        <v>1619</v>
      </c>
      <c r="P178" t="str">
        <f>"45%"</f>
        <v>45%</v>
      </c>
      <c r="Q178" t="str">
        <f>"-0.01"</f>
        <v>-0.01</v>
      </c>
      <c r="S178" t="s">
        <v>40</v>
      </c>
      <c r="T178" t="s">
        <v>1620</v>
      </c>
      <c r="U178" t="str">
        <f>"54.4300%"</f>
        <v>54.4300%</v>
      </c>
      <c r="V178" t="str">
        <f>"51.2900%"</f>
        <v>51.2900%</v>
      </c>
      <c r="W178" t="str">
        <f>"55.8000%"</f>
        <v>55.8000%</v>
      </c>
      <c r="X178" t="str">
        <f>"61.4816%"</f>
        <v>61.4816%</v>
      </c>
      <c r="Y178" t="s">
        <v>1621</v>
      </c>
      <c r="Z178" t="str">
        <f>"48.4650%"</f>
        <v>48.4650%</v>
      </c>
      <c r="AA178" t="str">
        <f>"48.4650%"</f>
        <v>48.4650%</v>
      </c>
      <c r="AB178" t="s">
        <v>1622</v>
      </c>
      <c r="AC178" t="s">
        <v>1623</v>
      </c>
      <c r="AD178" t="s">
        <v>1624</v>
      </c>
      <c r="AE178" t="str">
        <f>"10.75"</f>
        <v>10.75</v>
      </c>
    </row>
    <row r="179" spans="1:31" x14ac:dyDescent="0.3">
      <c r="A179" s="1" t="s">
        <v>1625</v>
      </c>
      <c r="B179" t="s">
        <v>540</v>
      </c>
      <c r="C179" t="s">
        <v>1626</v>
      </c>
      <c r="D179" t="s">
        <v>36</v>
      </c>
      <c r="E179" t="s">
        <v>35</v>
      </c>
      <c r="F179" t="s">
        <v>37</v>
      </c>
      <c r="G179" t="str">
        <f t="shared" si="16"/>
        <v>11000</v>
      </c>
      <c r="H179" t="s">
        <v>1566</v>
      </c>
      <c r="I179" t="str">
        <f>"54%"</f>
        <v>54%</v>
      </c>
      <c r="J179" t="str">
        <f>"0.02"</f>
        <v>0.02</v>
      </c>
      <c r="K179" t="str">
        <f t="shared" si="17"/>
        <v>110</v>
      </c>
      <c r="L179" t="str">
        <f>"IRS2 p.G1057D"</f>
        <v>IRS2 p.G1057D</v>
      </c>
      <c r="M179" t="str">
        <f>"NM_003749"</f>
        <v>NM_003749</v>
      </c>
      <c r="O179" t="s">
        <v>1627</v>
      </c>
      <c r="P179" t="str">
        <f>"58%"</f>
        <v>58%</v>
      </c>
      <c r="Q179" t="str">
        <f>"-0.10"</f>
        <v>-0.10</v>
      </c>
      <c r="S179" t="s">
        <v>40</v>
      </c>
      <c r="T179" t="s">
        <v>1628</v>
      </c>
      <c r="U179" t="str">
        <f>"38.2100%"</f>
        <v>38.2100%</v>
      </c>
      <c r="V179" t="str">
        <f>"35.0500%"</f>
        <v>35.0500%</v>
      </c>
      <c r="W179" t="str">
        <f>"23.2600%"</f>
        <v>23.2600%</v>
      </c>
      <c r="X179" t="str">
        <f>"28.3347%"</f>
        <v>28.3347%</v>
      </c>
      <c r="Y179" t="s">
        <v>1629</v>
      </c>
      <c r="Z179" t="str">
        <f>"34.1270%"</f>
        <v>34.1270%</v>
      </c>
      <c r="AA179" t="str">
        <f>"34.1960%"</f>
        <v>34.1960%</v>
      </c>
      <c r="AB179" t="s">
        <v>1630</v>
      </c>
      <c r="AC179" t="s">
        <v>1631</v>
      </c>
      <c r="AD179" t="s">
        <v>1632</v>
      </c>
      <c r="AE179" t="str">
        <f>"5.984"</f>
        <v>5.984</v>
      </c>
    </row>
    <row r="180" spans="1:31" x14ac:dyDescent="0.3">
      <c r="A180" s="1" t="s">
        <v>329</v>
      </c>
      <c r="B180" t="s">
        <v>330</v>
      </c>
      <c r="C180" t="s">
        <v>331</v>
      </c>
      <c r="D180" t="s">
        <v>1633</v>
      </c>
      <c r="E180" t="s">
        <v>82</v>
      </c>
      <c r="F180" t="s">
        <v>37</v>
      </c>
      <c r="G180" t="str">
        <f t="shared" si="16"/>
        <v>11000</v>
      </c>
      <c r="H180" t="s">
        <v>1634</v>
      </c>
      <c r="I180" t="str">
        <f>"94%"</f>
        <v>94%</v>
      </c>
      <c r="J180" t="str">
        <f>"0.05"</f>
        <v>0.05</v>
      </c>
      <c r="K180" t="str">
        <f t="shared" si="17"/>
        <v>110</v>
      </c>
      <c r="L180" t="str">
        <f>"NCOA3 p.1255_1255del"</f>
        <v>NCOA3 p.1255_1255del</v>
      </c>
      <c r="M180" t="str">
        <f>"NM_181659"</f>
        <v>NM_181659</v>
      </c>
      <c r="O180" t="s">
        <v>1627</v>
      </c>
      <c r="P180" t="str">
        <f>"92%"</f>
        <v>92%</v>
      </c>
      <c r="Q180" t="str">
        <f>"-0.01"</f>
        <v>-0.01</v>
      </c>
      <c r="S180" t="s">
        <v>160</v>
      </c>
      <c r="T180" t="s">
        <v>1635</v>
      </c>
      <c r="U180" t="str">
        <f>"27.9800%"</f>
        <v>27.9800%</v>
      </c>
      <c r="V180" t="str">
        <f>""</f>
        <v/>
      </c>
      <c r="W180" t="str">
        <f>"35.5300%"</f>
        <v>35.5300%</v>
      </c>
      <c r="X180" t="str">
        <f>""</f>
        <v/>
      </c>
      <c r="Y180" t="s">
        <v>1636</v>
      </c>
      <c r="Z180" t="str">
        <f>"31.9290%"</f>
        <v>31.9290%</v>
      </c>
      <c r="AA180" t="str">
        <f>"32.6610%"</f>
        <v>32.6610%</v>
      </c>
      <c r="AB180" t="s">
        <v>1637</v>
      </c>
      <c r="AC180" t="s">
        <v>1638</v>
      </c>
      <c r="AE180" t="str">
        <f>""</f>
        <v/>
      </c>
    </row>
    <row r="181" spans="1:31" x14ac:dyDescent="0.3">
      <c r="A181" s="1" t="s">
        <v>1639</v>
      </c>
      <c r="B181" t="s">
        <v>266</v>
      </c>
      <c r="C181" t="s">
        <v>1640</v>
      </c>
      <c r="D181" t="s">
        <v>50</v>
      </c>
      <c r="E181" t="s">
        <v>82</v>
      </c>
      <c r="F181" t="s">
        <v>37</v>
      </c>
      <c r="G181" t="str">
        <f t="shared" si="16"/>
        <v>11000</v>
      </c>
      <c r="H181" t="s">
        <v>1641</v>
      </c>
      <c r="I181" t="str">
        <f>"100%"</f>
        <v>100%</v>
      </c>
      <c r="J181" t="str">
        <f>"-0.03"</f>
        <v>-0.03</v>
      </c>
      <c r="K181" t="str">
        <f t="shared" si="17"/>
        <v>110</v>
      </c>
      <c r="L181" t="str">
        <f>"PAX5"</f>
        <v>PAX5</v>
      </c>
      <c r="M181" t="str">
        <f>""</f>
        <v/>
      </c>
      <c r="O181" t="s">
        <v>1055</v>
      </c>
      <c r="P181" t="str">
        <f>"100%"</f>
        <v>100%</v>
      </c>
      <c r="Q181" t="str">
        <f>"-0.00"</f>
        <v>-0.00</v>
      </c>
      <c r="S181" t="s">
        <v>40</v>
      </c>
      <c r="T181" t="s">
        <v>1642</v>
      </c>
      <c r="U181" t="str">
        <f>"86.8700%"</f>
        <v>86.8700%</v>
      </c>
      <c r="V181" t="str">
        <f>"87.9900%"</f>
        <v>87.9900%</v>
      </c>
      <c r="W181" t="str">
        <f>"76.3100%"</f>
        <v>76.3100%</v>
      </c>
      <c r="X181" t="str">
        <f>"74.2013%"</f>
        <v>74.2013%</v>
      </c>
      <c r="Y181" t="s">
        <v>1643</v>
      </c>
      <c r="Z181" t="str">
        <f>"88.8690%"</f>
        <v>88.8690%</v>
      </c>
      <c r="AA181" t="str">
        <f>"88.8690%"</f>
        <v>88.8690%</v>
      </c>
      <c r="AB181" t="s">
        <v>1644</v>
      </c>
      <c r="AD181" t="s">
        <v>1645</v>
      </c>
      <c r="AE181" t="str">
        <f>"12.18"</f>
        <v>12.18</v>
      </c>
    </row>
    <row r="182" spans="1:31" x14ac:dyDescent="0.3">
      <c r="A182" s="1" t="s">
        <v>1646</v>
      </c>
      <c r="B182" t="s">
        <v>683</v>
      </c>
      <c r="C182" t="s">
        <v>1647</v>
      </c>
      <c r="D182" t="s">
        <v>36</v>
      </c>
      <c r="E182" t="s">
        <v>82</v>
      </c>
      <c r="F182" t="s">
        <v>37</v>
      </c>
      <c r="G182" t="str">
        <f t="shared" si="16"/>
        <v>11000</v>
      </c>
      <c r="H182" t="s">
        <v>976</v>
      </c>
      <c r="I182" t="str">
        <f>"100%"</f>
        <v>100%</v>
      </c>
      <c r="J182" t="str">
        <f>"-0.03"</f>
        <v>-0.03</v>
      </c>
      <c r="K182" t="str">
        <f t="shared" si="17"/>
        <v>110</v>
      </c>
      <c r="L182" t="str">
        <f>"DUSP6 p.V114L"</f>
        <v>DUSP6 p.V114L</v>
      </c>
      <c r="M182" t="str">
        <f>"NM_001946"</f>
        <v>NM_001946</v>
      </c>
      <c r="O182" t="s">
        <v>1648</v>
      </c>
      <c r="P182" t="str">
        <f>"100%"</f>
        <v>100%</v>
      </c>
      <c r="Q182" t="str">
        <f>"-0.00"</f>
        <v>-0.00</v>
      </c>
      <c r="S182" t="s">
        <v>40</v>
      </c>
      <c r="T182" t="s">
        <v>1649</v>
      </c>
      <c r="U182" t="str">
        <f>"53.7800%"</f>
        <v>53.7800%</v>
      </c>
      <c r="V182" t="str">
        <f>"52.3300%"</f>
        <v>52.3300%</v>
      </c>
      <c r="W182" t="str">
        <f>"43.1600%"</f>
        <v>43.1600%</v>
      </c>
      <c r="X182" t="str">
        <f>"46.6254%"</f>
        <v>46.6254%</v>
      </c>
      <c r="Y182" t="s">
        <v>1650</v>
      </c>
      <c r="Z182" t="str">
        <f>"52.4280%"</f>
        <v>52.4280%</v>
      </c>
      <c r="AA182" t="str">
        <f>"52.4510%"</f>
        <v>52.4510%</v>
      </c>
      <c r="AB182" t="s">
        <v>1651</v>
      </c>
      <c r="AE182" t="str">
        <f>"19.99"</f>
        <v>19.99</v>
      </c>
    </row>
    <row r="183" spans="1:31" x14ac:dyDescent="0.3">
      <c r="A183" s="1" t="s">
        <v>71</v>
      </c>
      <c r="B183" t="s">
        <v>33</v>
      </c>
      <c r="C183" t="s">
        <v>72</v>
      </c>
      <c r="D183" t="s">
        <v>35</v>
      </c>
      <c r="E183" t="s">
        <v>36</v>
      </c>
      <c r="F183" t="s">
        <v>37</v>
      </c>
      <c r="G183" t="str">
        <f t="shared" si="16"/>
        <v>11000</v>
      </c>
      <c r="H183" t="s">
        <v>1652</v>
      </c>
      <c r="I183" t="str">
        <f>"97%"</f>
        <v>97%</v>
      </c>
      <c r="J183" t="str">
        <f>"-0.04"</f>
        <v>-0.04</v>
      </c>
      <c r="K183" t="str">
        <f t="shared" si="17"/>
        <v>110</v>
      </c>
      <c r="L183" t="str">
        <f>"COL1A1 p.T1075A"</f>
        <v>COL1A1 p.T1075A</v>
      </c>
      <c r="M183" t="str">
        <f>"NM_000088"</f>
        <v>NM_000088</v>
      </c>
      <c r="O183" t="s">
        <v>76</v>
      </c>
      <c r="P183" t="str">
        <f>"98%"</f>
        <v>98%</v>
      </c>
      <c r="Q183" t="str">
        <f>"0.00"</f>
        <v>0.00</v>
      </c>
      <c r="S183" t="s">
        <v>40</v>
      </c>
      <c r="T183" t="s">
        <v>1653</v>
      </c>
      <c r="U183" t="str">
        <f>"98.4800%"</f>
        <v>98.4800%</v>
      </c>
      <c r="V183" t="str">
        <f>"98.5100%"</f>
        <v>98.5100%</v>
      </c>
      <c r="W183" t="str">
        <f>"97.1000%"</f>
        <v>97.1000%</v>
      </c>
      <c r="X183" t="str">
        <f>"97.8834%"</f>
        <v>97.8834%</v>
      </c>
      <c r="Y183" t="s">
        <v>1654</v>
      </c>
      <c r="Z183" t="str">
        <f>"98.3280%"</f>
        <v>98.3280%</v>
      </c>
      <c r="AA183" t="str">
        <f>"98.5110%"</f>
        <v>98.5110%</v>
      </c>
      <c r="AB183" t="s">
        <v>1655</v>
      </c>
      <c r="AC183" t="s">
        <v>1656</v>
      </c>
      <c r="AD183" t="s">
        <v>1657</v>
      </c>
      <c r="AE183" t="str">
        <f>"0.130"</f>
        <v>0.130</v>
      </c>
    </row>
    <row r="184" spans="1:31" x14ac:dyDescent="0.3">
      <c r="A184" s="1" t="s">
        <v>1658</v>
      </c>
      <c r="B184" t="s">
        <v>626</v>
      </c>
      <c r="C184" t="s">
        <v>1659</v>
      </c>
      <c r="D184" t="s">
        <v>50</v>
      </c>
      <c r="E184" t="s">
        <v>82</v>
      </c>
      <c r="F184" t="s">
        <v>37</v>
      </c>
      <c r="G184" t="str">
        <f t="shared" si="16"/>
        <v>11000</v>
      </c>
      <c r="H184" t="s">
        <v>1660</v>
      </c>
      <c r="I184" t="str">
        <f>"50%"</f>
        <v>50%</v>
      </c>
      <c r="J184" t="str">
        <f>"-0.25"</f>
        <v>-0.25</v>
      </c>
      <c r="K184" t="str">
        <f t="shared" si="17"/>
        <v>110</v>
      </c>
      <c r="L184" t="str">
        <f>"ADGRA2 p.V320M"</f>
        <v>ADGRA2 p.V320M</v>
      </c>
      <c r="M184" t="str">
        <f>"NM_032777"</f>
        <v>NM_032777</v>
      </c>
      <c r="O184" t="s">
        <v>1661</v>
      </c>
      <c r="P184" t="str">
        <f>"47%"</f>
        <v>47%</v>
      </c>
      <c r="Q184" t="str">
        <f>"-0.01"</f>
        <v>-0.01</v>
      </c>
      <c r="S184" t="s">
        <v>40</v>
      </c>
      <c r="T184" t="s">
        <v>1662</v>
      </c>
      <c r="U184" t="str">
        <f>"0.9500%"</f>
        <v>0.9500%</v>
      </c>
      <c r="V184" t="str">
        <f>"0.9300%"</f>
        <v>0.9300%</v>
      </c>
      <c r="W184" t="str">
        <f>"0.8700%"</f>
        <v>0.8700%</v>
      </c>
      <c r="X184" t="str">
        <f>"0.2596%"</f>
        <v>0.2596%</v>
      </c>
      <c r="Y184" t="s">
        <v>1663</v>
      </c>
      <c r="Z184" t="str">
        <f>"1.0540%"</f>
        <v>1.0540%</v>
      </c>
      <c r="AA184" t="str">
        <f>"1.0540%"</f>
        <v>1.0540%</v>
      </c>
      <c r="AB184" t="s">
        <v>1664</v>
      </c>
      <c r="AC184" t="s">
        <v>1665</v>
      </c>
      <c r="AE184" t="str">
        <f>"13.47"</f>
        <v>13.47</v>
      </c>
    </row>
    <row r="185" spans="1:31" x14ac:dyDescent="0.3">
      <c r="A185" s="1" t="s">
        <v>1666</v>
      </c>
      <c r="B185" t="s">
        <v>726</v>
      </c>
      <c r="C185" t="s">
        <v>1667</v>
      </c>
      <c r="D185" t="s">
        <v>36</v>
      </c>
      <c r="E185" t="s">
        <v>82</v>
      </c>
      <c r="F185" t="s">
        <v>37</v>
      </c>
      <c r="G185" t="str">
        <f t="shared" si="16"/>
        <v>11000</v>
      </c>
      <c r="H185" t="s">
        <v>1668</v>
      </c>
      <c r="I185" t="str">
        <f>"42%"</f>
        <v>42%</v>
      </c>
      <c r="J185" t="str">
        <f>"0.03"</f>
        <v>0.03</v>
      </c>
      <c r="K185" t="str">
        <f t="shared" si="17"/>
        <v>110</v>
      </c>
      <c r="L185" t="str">
        <f>"TMPRSS2 p.G8V"</f>
        <v>TMPRSS2 p.G8V</v>
      </c>
      <c r="M185" t="str">
        <f>"NM_001135099"</f>
        <v>NM_001135099</v>
      </c>
      <c r="O185" t="s">
        <v>212</v>
      </c>
      <c r="P185" t="str">
        <f>"51%"</f>
        <v>51%</v>
      </c>
      <c r="Q185" t="str">
        <f>"0.01"</f>
        <v>0.01</v>
      </c>
      <c r="S185" t="s">
        <v>40</v>
      </c>
      <c r="T185" t="s">
        <v>1669</v>
      </c>
      <c r="U185" t="str">
        <f>"35.7500%"</f>
        <v>35.7500%</v>
      </c>
      <c r="V185" t="str">
        <f>"34.3800%"</f>
        <v>34.3800%</v>
      </c>
      <c r="W185" t="str">
        <f>""</f>
        <v/>
      </c>
      <c r="X185" t="str">
        <f>"24.3810%"</f>
        <v>24.3810%</v>
      </c>
      <c r="Y185" t="s">
        <v>1670</v>
      </c>
      <c r="Z185" t="str">
        <f>"32.3180%"</f>
        <v>32.3180%</v>
      </c>
      <c r="AA185" t="str">
        <f>"32.2720%"</f>
        <v>32.2720%</v>
      </c>
      <c r="AB185" t="s">
        <v>1671</v>
      </c>
      <c r="AE185" t="str">
        <f>"7.435"</f>
        <v>7.435</v>
      </c>
    </row>
    <row r="186" spans="1:31" x14ac:dyDescent="0.3">
      <c r="A186" s="1" t="s">
        <v>1672</v>
      </c>
      <c r="B186" t="s">
        <v>106</v>
      </c>
      <c r="C186" t="s">
        <v>1673</v>
      </c>
      <c r="D186" t="s">
        <v>1674</v>
      </c>
      <c r="E186" t="s">
        <v>50</v>
      </c>
      <c r="F186" t="s">
        <v>37</v>
      </c>
      <c r="G186" t="str">
        <f t="shared" si="16"/>
        <v>11000</v>
      </c>
      <c r="H186" t="s">
        <v>1046</v>
      </c>
      <c r="I186" t="str">
        <f>"42%"</f>
        <v>42%</v>
      </c>
      <c r="J186" t="str">
        <f>"-0.00"</f>
        <v>-0.00</v>
      </c>
      <c r="K186" t="str">
        <f t="shared" si="17"/>
        <v>110</v>
      </c>
      <c r="L186" t="str">
        <f>"MSH3 p.66_68del"</f>
        <v>MSH3 p.66_68del</v>
      </c>
      <c r="M186" t="str">
        <f>"NM_002439"</f>
        <v>NM_002439</v>
      </c>
      <c r="O186" t="s">
        <v>1063</v>
      </c>
      <c r="P186" t="str">
        <f>"40%"</f>
        <v>40%</v>
      </c>
      <c r="Q186" t="str">
        <f>"-0.01"</f>
        <v>-0.01</v>
      </c>
      <c r="S186" t="s">
        <v>160</v>
      </c>
      <c r="T186" t="s">
        <v>1675</v>
      </c>
      <c r="U186" t="str">
        <f>"41.4200%"</f>
        <v>41.4200%</v>
      </c>
      <c r="V186" t="str">
        <f>"30.9300%"</f>
        <v>30.9300%</v>
      </c>
      <c r="W186" t="str">
        <f>"30.9600%"</f>
        <v>30.9600%</v>
      </c>
      <c r="X186" t="str">
        <f>"23.4425%"</f>
        <v>23.4425%</v>
      </c>
      <c r="Y186" t="s">
        <v>1676</v>
      </c>
      <c r="Z186" t="str">
        <f>"22.5380%"</f>
        <v>22.5380%</v>
      </c>
      <c r="AA186" t="str">
        <f>"22.4460%"</f>
        <v>22.4460%</v>
      </c>
      <c r="AB186" t="s">
        <v>1677</v>
      </c>
      <c r="AC186" t="s">
        <v>1678</v>
      </c>
      <c r="AD186" t="s">
        <v>1679</v>
      </c>
      <c r="AE186" t="str">
        <f>""</f>
        <v/>
      </c>
    </row>
    <row r="187" spans="1:31" x14ac:dyDescent="0.3">
      <c r="A187" s="1" t="s">
        <v>1680</v>
      </c>
      <c r="B187" t="s">
        <v>106</v>
      </c>
      <c r="C187" t="s">
        <v>1681</v>
      </c>
      <c r="D187" t="s">
        <v>1682</v>
      </c>
      <c r="E187" t="s">
        <v>35</v>
      </c>
      <c r="F187" t="s">
        <v>37</v>
      </c>
      <c r="G187" t="str">
        <f>"10000"</f>
        <v>10000</v>
      </c>
      <c r="H187" t="s">
        <v>185</v>
      </c>
      <c r="I187" t="str">
        <f>"23%"</f>
        <v>23%</v>
      </c>
      <c r="J187" t="str">
        <f>"-0.00"</f>
        <v>-0.00</v>
      </c>
      <c r="K187" t="str">
        <f t="shared" si="17"/>
        <v>110</v>
      </c>
      <c r="L187" t="str">
        <f>"MSH3 p.52_57del"</f>
        <v>MSH3 p.52_57del</v>
      </c>
      <c r="M187" t="str">
        <f>"NM_002439"</f>
        <v>NM_002439</v>
      </c>
      <c r="O187" t="s">
        <v>1683</v>
      </c>
      <c r="P187" t="str">
        <f>"40%"</f>
        <v>40%</v>
      </c>
      <c r="Q187" t="str">
        <f>"-0.01"</f>
        <v>-0.01</v>
      </c>
      <c r="S187" t="s">
        <v>160</v>
      </c>
      <c r="T187" t="s">
        <v>1684</v>
      </c>
      <c r="U187" t="str">
        <f>"24.0500%"</f>
        <v>24.0500%</v>
      </c>
      <c r="V187" t="str">
        <f>"24.7300%"</f>
        <v>24.7300%</v>
      </c>
      <c r="W187" t="str">
        <f>"27.9100%"</f>
        <v>27.9100%</v>
      </c>
      <c r="X187" t="str">
        <f>""</f>
        <v/>
      </c>
      <c r="Y187" t="s">
        <v>1685</v>
      </c>
      <c r="Z187" t="str">
        <f>"19.5600%"</f>
        <v>19.5600%</v>
      </c>
      <c r="AA187" t="str">
        <f>"20.2700%"</f>
        <v>20.2700%</v>
      </c>
      <c r="AB187" t="s">
        <v>1686</v>
      </c>
      <c r="AC187" t="s">
        <v>1687</v>
      </c>
      <c r="AE187" t="str">
        <f>""</f>
        <v/>
      </c>
    </row>
    <row r="188" spans="1:31" x14ac:dyDescent="0.3">
      <c r="A188" s="1" t="s">
        <v>1688</v>
      </c>
      <c r="B188" t="s">
        <v>683</v>
      </c>
      <c r="C188" t="s">
        <v>1689</v>
      </c>
      <c r="D188" t="s">
        <v>82</v>
      </c>
      <c r="E188" t="s">
        <v>36</v>
      </c>
      <c r="F188" t="s">
        <v>37</v>
      </c>
      <c r="G188" t="str">
        <f>"00000"</f>
        <v>00000</v>
      </c>
      <c r="H188" t="s">
        <v>1612</v>
      </c>
      <c r="I188" t="str">
        <f>"10%"</f>
        <v>10%</v>
      </c>
      <c r="J188" t="str">
        <f>"0.07"</f>
        <v>0.07</v>
      </c>
      <c r="K188" t="str">
        <f>"100"</f>
        <v>100</v>
      </c>
      <c r="L188" t="str">
        <f>"KDM5A p.V4G"</f>
        <v>KDM5A p.V4G</v>
      </c>
      <c r="M188" t="str">
        <f>"NM_001042603"</f>
        <v>NM_001042603</v>
      </c>
      <c r="O188" t="s">
        <v>1683</v>
      </c>
      <c r="P188" t="str">
        <f>"11%"</f>
        <v>11%</v>
      </c>
      <c r="Q188" t="str">
        <f>"-0.00"</f>
        <v>-0.00</v>
      </c>
      <c r="S188" t="s">
        <v>40</v>
      </c>
      <c r="T188" t="s">
        <v>1690</v>
      </c>
      <c r="U188" t="str">
        <f>"0.0073%"</f>
        <v>0.0073%</v>
      </c>
      <c r="V188" t="str">
        <f>"0.0200%"</f>
        <v>0.0200%</v>
      </c>
      <c r="W188" t="str">
        <f>""</f>
        <v/>
      </c>
      <c r="X188" t="str">
        <f>""</f>
        <v/>
      </c>
      <c r="Y188" t="s">
        <v>1691</v>
      </c>
      <c r="Z188" t="str">
        <f>"1.5800%"</f>
        <v>1.5800%</v>
      </c>
      <c r="AA188" t="str">
        <f>"4.2830%"</f>
        <v>4.2830%</v>
      </c>
      <c r="AB188" t="s">
        <v>1692</v>
      </c>
      <c r="AC188" t="s">
        <v>1693</v>
      </c>
      <c r="AE188" t="str">
        <f>"10.98"</f>
        <v>10.98</v>
      </c>
    </row>
    <row r="189" spans="1:31" x14ac:dyDescent="0.3">
      <c r="A189" s="1" t="s">
        <v>1694</v>
      </c>
      <c r="B189" t="s">
        <v>88</v>
      </c>
      <c r="C189" t="s">
        <v>1695</v>
      </c>
      <c r="D189" t="s">
        <v>50</v>
      </c>
      <c r="E189" t="s">
        <v>82</v>
      </c>
      <c r="F189" t="s">
        <v>37</v>
      </c>
      <c r="G189" t="str">
        <f>"11000"</f>
        <v>11000</v>
      </c>
      <c r="H189" t="s">
        <v>1696</v>
      </c>
      <c r="I189" t="str">
        <f>"52%"</f>
        <v>52%</v>
      </c>
      <c r="J189" t="str">
        <f>"-0.01"</f>
        <v>-0.01</v>
      </c>
      <c r="K189" t="str">
        <f>"110"</f>
        <v>110</v>
      </c>
      <c r="L189" t="str">
        <f>"BARD1 p.P24S"</f>
        <v>BARD1 p.P24S</v>
      </c>
      <c r="M189" t="str">
        <f>"NM_000465"</f>
        <v>NM_000465</v>
      </c>
      <c r="O189" t="s">
        <v>108</v>
      </c>
      <c r="P189" t="str">
        <f>"57%"</f>
        <v>57%</v>
      </c>
      <c r="Q189" t="str">
        <f>"-0.01"</f>
        <v>-0.01</v>
      </c>
      <c r="S189" t="s">
        <v>40</v>
      </c>
      <c r="T189" t="s">
        <v>1697</v>
      </c>
      <c r="U189" t="str">
        <f>"43.7700%"</f>
        <v>43.7700%</v>
      </c>
      <c r="V189" t="str">
        <f>"38.4200%"</f>
        <v>38.4200%</v>
      </c>
      <c r="W189" t="str">
        <f>"30.3100%"</f>
        <v>30.3100%</v>
      </c>
      <c r="X189" t="str">
        <f>"33.1270%"</f>
        <v>33.1270%</v>
      </c>
      <c r="Y189" t="s">
        <v>1698</v>
      </c>
      <c r="Z189" t="str">
        <f>"36.5780%"</f>
        <v>36.5780%</v>
      </c>
      <c r="AA189" t="str">
        <f>"36.5320%"</f>
        <v>36.5320%</v>
      </c>
      <c r="AB189" t="s">
        <v>1699</v>
      </c>
      <c r="AC189" t="s">
        <v>1700</v>
      </c>
      <c r="AD189" t="s">
        <v>1701</v>
      </c>
      <c r="AE189" t="str">
        <f>"14.84"</f>
        <v>14.84</v>
      </c>
    </row>
    <row r="190" spans="1:31" x14ac:dyDescent="0.3">
      <c r="A190" s="1" t="s">
        <v>1702</v>
      </c>
      <c r="B190" t="s">
        <v>683</v>
      </c>
      <c r="C190" t="s">
        <v>1703</v>
      </c>
      <c r="D190" t="s">
        <v>35</v>
      </c>
      <c r="E190" t="s">
        <v>82</v>
      </c>
      <c r="F190" t="s">
        <v>37</v>
      </c>
      <c r="G190" t="str">
        <f>"11000"</f>
        <v>11000</v>
      </c>
      <c r="H190" t="s">
        <v>235</v>
      </c>
      <c r="I190" t="str">
        <f>"68%"</f>
        <v>68%</v>
      </c>
      <c r="J190" t="str">
        <f>"-0.03"</f>
        <v>-0.03</v>
      </c>
      <c r="K190" t="str">
        <f>"110"</f>
        <v>110</v>
      </c>
      <c r="L190" t="str">
        <f>"COL2A1 p.T9S"</f>
        <v>COL2A1 p.T9S</v>
      </c>
      <c r="M190" t="str">
        <f>"NM_033150"</f>
        <v>NM_033150</v>
      </c>
      <c r="O190" t="s">
        <v>1704</v>
      </c>
      <c r="P190" t="str">
        <f>"53%"</f>
        <v>53%</v>
      </c>
      <c r="Q190" t="str">
        <f>"-0.00"</f>
        <v>-0.00</v>
      </c>
      <c r="S190" t="s">
        <v>40</v>
      </c>
      <c r="T190" t="s">
        <v>1705</v>
      </c>
      <c r="U190" t="str">
        <f>"77.2600%"</f>
        <v>77.2600%</v>
      </c>
      <c r="V190" t="str">
        <f>"74.1100%"</f>
        <v>74.1100%</v>
      </c>
      <c r="W190" t="str">
        <f>"78.9100%"</f>
        <v>78.9100%</v>
      </c>
      <c r="X190" t="str">
        <f>"68.5304%"</f>
        <v>68.5304%</v>
      </c>
      <c r="Y190" t="s">
        <v>1706</v>
      </c>
      <c r="Z190" t="str">
        <f>"74.8280%"</f>
        <v>74.8280%</v>
      </c>
      <c r="AA190" t="str">
        <f>"74.8510%"</f>
        <v>74.8510%</v>
      </c>
      <c r="AB190" t="s">
        <v>1707</v>
      </c>
      <c r="AC190" t="s">
        <v>1708</v>
      </c>
      <c r="AD190" t="s">
        <v>1709</v>
      </c>
      <c r="AE190" t="str">
        <f>"13.97"</f>
        <v>13.97</v>
      </c>
    </row>
    <row r="191" spans="1:31" x14ac:dyDescent="0.3">
      <c r="A191" s="1" t="s">
        <v>1710</v>
      </c>
      <c r="B191" t="s">
        <v>231</v>
      </c>
      <c r="C191" t="s">
        <v>1711</v>
      </c>
      <c r="D191" t="s">
        <v>82</v>
      </c>
      <c r="E191" t="s">
        <v>35</v>
      </c>
      <c r="F191" t="s">
        <v>1712</v>
      </c>
      <c r="G191" t="str">
        <f>"11000"</f>
        <v>11000</v>
      </c>
      <c r="H191" t="s">
        <v>1713</v>
      </c>
      <c r="I191" t="str">
        <f>"40%"</f>
        <v>40%</v>
      </c>
      <c r="J191" t="str">
        <f>"0.05"</f>
        <v>0.05</v>
      </c>
      <c r="K191" t="str">
        <f>"110"</f>
        <v>110</v>
      </c>
      <c r="L191" t="str">
        <f>"LZTR1;AIFM3"</f>
        <v>LZTR1;AIFM3</v>
      </c>
      <c r="M191" t="str">
        <f>""</f>
        <v/>
      </c>
      <c r="O191" t="s">
        <v>1714</v>
      </c>
      <c r="P191" t="str">
        <f>"51%"</f>
        <v>51%</v>
      </c>
      <c r="Q191" t="str">
        <f>"0.02"</f>
        <v>0.02</v>
      </c>
      <c r="R191" t="s">
        <v>1715</v>
      </c>
      <c r="U191" t="str">
        <f>""</f>
        <v/>
      </c>
      <c r="V191" t="str">
        <f>""</f>
        <v/>
      </c>
      <c r="W191" t="str">
        <f>""</f>
        <v/>
      </c>
      <c r="X191" t="str">
        <f>"34.7244%"</f>
        <v>34.7244%</v>
      </c>
      <c r="Y191" t="s">
        <v>1716</v>
      </c>
      <c r="Z191" t="str">
        <f>"44.3430%"</f>
        <v>44.3430%</v>
      </c>
      <c r="AA191" t="str">
        <f>"44.4800%"</f>
        <v>44.4800%</v>
      </c>
      <c r="AB191" t="s">
        <v>1717</v>
      </c>
      <c r="AD191" t="s">
        <v>1718</v>
      </c>
      <c r="AE191" t="str">
        <f>""</f>
        <v/>
      </c>
    </row>
    <row r="192" spans="1:31" x14ac:dyDescent="0.3">
      <c r="A192" s="1" t="s">
        <v>155</v>
      </c>
      <c r="B192" t="s">
        <v>47</v>
      </c>
      <c r="C192" t="s">
        <v>156</v>
      </c>
      <c r="D192" t="s">
        <v>157</v>
      </c>
      <c r="E192" t="s">
        <v>35</v>
      </c>
      <c r="F192" t="s">
        <v>37</v>
      </c>
      <c r="G192" t="str">
        <f>"00000"</f>
        <v>00000</v>
      </c>
      <c r="H192" t="s">
        <v>158</v>
      </c>
      <c r="I192" t="str">
        <f>"7%"</f>
        <v>7%</v>
      </c>
      <c r="J192" t="str">
        <f>"-0.54"</f>
        <v>-0.54</v>
      </c>
      <c r="K192" t="str">
        <f>"000"</f>
        <v>000</v>
      </c>
      <c r="L192" t="str">
        <f>"AR p.57_61del"</f>
        <v>AR p.57_61del</v>
      </c>
      <c r="M192" t="str">
        <f>"NM_000044"</f>
        <v>NM_000044</v>
      </c>
      <c r="O192" t="s">
        <v>159</v>
      </c>
      <c r="P192" t="str">
        <f>"9%"</f>
        <v>9%</v>
      </c>
      <c r="Q192" t="str">
        <f>"-0.55"</f>
        <v>-0.55</v>
      </c>
      <c r="S192" t="s">
        <v>160</v>
      </c>
      <c r="T192" t="s">
        <v>161</v>
      </c>
      <c r="U192" t="str">
        <f>"0.8500%"</f>
        <v>0.8500%</v>
      </c>
      <c r="V192" t="str">
        <f>""</f>
        <v/>
      </c>
      <c r="W192" t="str">
        <f>""</f>
        <v/>
      </c>
      <c r="X192" t="str">
        <f>""</f>
        <v/>
      </c>
      <c r="Y192" t="s">
        <v>162</v>
      </c>
      <c r="Z192" t="str">
        <f>"6.7380%"</f>
        <v>6.7380%</v>
      </c>
      <c r="AA192" t="str">
        <f>"6.8840%"</f>
        <v>6.8840%</v>
      </c>
      <c r="AB192" t="s">
        <v>163</v>
      </c>
      <c r="AC192" t="s">
        <v>164</v>
      </c>
      <c r="AD192" t="s">
        <v>165</v>
      </c>
      <c r="AE192" t="str">
        <f>""</f>
        <v/>
      </c>
    </row>
    <row r="193" spans="1:31" x14ac:dyDescent="0.3">
      <c r="A193" s="1" t="s">
        <v>1719</v>
      </c>
      <c r="B193" t="s">
        <v>113</v>
      </c>
      <c r="C193" t="s">
        <v>1720</v>
      </c>
      <c r="D193" t="s">
        <v>50</v>
      </c>
      <c r="E193" t="s">
        <v>82</v>
      </c>
      <c r="F193" t="s">
        <v>37</v>
      </c>
      <c r="G193" t="str">
        <f>"11000"</f>
        <v>11000</v>
      </c>
      <c r="H193" t="s">
        <v>1721</v>
      </c>
      <c r="I193" t="str">
        <f>"55%"</f>
        <v>55%</v>
      </c>
      <c r="J193" t="str">
        <f>"-0.19"</f>
        <v>-0.19</v>
      </c>
      <c r="K193" t="str">
        <f>"110"</f>
        <v>110</v>
      </c>
      <c r="L193" t="str">
        <f>"PIK3R2 p.A727T"</f>
        <v>PIK3R2 p.A727T</v>
      </c>
      <c r="M193" t="str">
        <f>"NM_005027"</f>
        <v>NM_005027</v>
      </c>
      <c r="O193" t="s">
        <v>1722</v>
      </c>
      <c r="P193" t="str">
        <f>"44%"</f>
        <v>44%</v>
      </c>
      <c r="Q193" t="str">
        <f>"-0.04"</f>
        <v>-0.04</v>
      </c>
      <c r="S193" t="s">
        <v>40</v>
      </c>
      <c r="T193" t="s">
        <v>1723</v>
      </c>
      <c r="U193" t="str">
        <f>"4.3600%"</f>
        <v>4.3600%</v>
      </c>
      <c r="V193" t="str">
        <f>"4.1600%"</f>
        <v>4.1600%</v>
      </c>
      <c r="W193" t="str">
        <f>"3.6700%"</f>
        <v>3.6700%</v>
      </c>
      <c r="X193" t="str">
        <f>"1.9569%"</f>
        <v>1.9569%</v>
      </c>
      <c r="Y193" t="s">
        <v>1724</v>
      </c>
      <c r="Z193" t="str">
        <f>"3.7330%"</f>
        <v>3.7330%</v>
      </c>
      <c r="AA193" t="str">
        <f>"3.7330%"</f>
        <v>3.7330%</v>
      </c>
      <c r="AB193" t="s">
        <v>1725</v>
      </c>
      <c r="AC193" t="s">
        <v>1726</v>
      </c>
      <c r="AD193" t="s">
        <v>1727</v>
      </c>
      <c r="AE193" t="str">
        <f>"19.68"</f>
        <v>19.68</v>
      </c>
    </row>
    <row r="194" spans="1:31" x14ac:dyDescent="0.3">
      <c r="A194" s="1" t="s">
        <v>1728</v>
      </c>
      <c r="B194" t="s">
        <v>351</v>
      </c>
      <c r="C194" t="s">
        <v>1729</v>
      </c>
      <c r="D194" t="s">
        <v>1730</v>
      </c>
      <c r="E194" t="s">
        <v>36</v>
      </c>
      <c r="F194" t="s">
        <v>129</v>
      </c>
      <c r="G194" t="str">
        <f>"11000"</f>
        <v>11000</v>
      </c>
      <c r="H194" t="s">
        <v>1731</v>
      </c>
      <c r="I194" t="str">
        <f>"41%"</f>
        <v>41%</v>
      </c>
      <c r="J194" t="str">
        <f>"-0.01"</f>
        <v>-0.01</v>
      </c>
      <c r="K194" t="str">
        <f>"110"</f>
        <v>110</v>
      </c>
      <c r="L194" t="str">
        <f>"KIF9-AS1;SETD2"</f>
        <v>KIF9-AS1;SETD2</v>
      </c>
      <c r="M194" t="str">
        <f>""</f>
        <v/>
      </c>
      <c r="O194" t="s">
        <v>1732</v>
      </c>
      <c r="P194" t="str">
        <f>"44%"</f>
        <v>44%</v>
      </c>
      <c r="Q194" t="str">
        <f>"-0.01"</f>
        <v>-0.01</v>
      </c>
      <c r="R194" t="s">
        <v>1733</v>
      </c>
      <c r="U194" t="str">
        <f>""</f>
        <v/>
      </c>
      <c r="V194" t="str">
        <f>""</f>
        <v/>
      </c>
      <c r="W194" t="str">
        <f>""</f>
        <v/>
      </c>
      <c r="X194" t="str">
        <f>""</f>
        <v/>
      </c>
      <c r="Y194" t="s">
        <v>1734</v>
      </c>
      <c r="Z194" t="str">
        <f>"18.0260%"</f>
        <v>18.0260%</v>
      </c>
      <c r="AA194" t="str">
        <f>"18.1860%"</f>
        <v>18.1860%</v>
      </c>
      <c r="AB194" t="s">
        <v>1735</v>
      </c>
      <c r="AE194" t="str">
        <f>""</f>
        <v/>
      </c>
    </row>
    <row r="195" spans="1:31" x14ac:dyDescent="0.3">
      <c r="A195" s="1" t="s">
        <v>1736</v>
      </c>
      <c r="B195" t="s">
        <v>113</v>
      </c>
      <c r="C195" t="s">
        <v>1737</v>
      </c>
      <c r="D195" t="s">
        <v>50</v>
      </c>
      <c r="E195" t="s">
        <v>36</v>
      </c>
      <c r="F195" t="s">
        <v>129</v>
      </c>
      <c r="G195" t="str">
        <f>"11000"</f>
        <v>11000</v>
      </c>
      <c r="H195" t="s">
        <v>1738</v>
      </c>
      <c r="I195" t="str">
        <f>"53%"</f>
        <v>53%</v>
      </c>
      <c r="J195" t="str">
        <f>"-0.08"</f>
        <v>-0.08</v>
      </c>
      <c r="K195" t="str">
        <f>"110"</f>
        <v>110</v>
      </c>
      <c r="L195" t="str">
        <f>"ERCC2"</f>
        <v>ERCC2</v>
      </c>
      <c r="M195" t="str">
        <f>""</f>
        <v/>
      </c>
      <c r="O195" t="s">
        <v>1739</v>
      </c>
      <c r="P195" t="str">
        <f>"58%"</f>
        <v>58%</v>
      </c>
      <c r="Q195" t="str">
        <f>"-0.01"</f>
        <v>-0.01</v>
      </c>
      <c r="R195" t="s">
        <v>1740</v>
      </c>
      <c r="U195" t="str">
        <f>""</f>
        <v/>
      </c>
      <c r="V195" t="str">
        <f>""</f>
        <v/>
      </c>
      <c r="W195" t="str">
        <f>""</f>
        <v/>
      </c>
      <c r="X195" t="str">
        <f>"57.5479%"</f>
        <v>57.5479%</v>
      </c>
      <c r="Y195" t="s">
        <v>1741</v>
      </c>
      <c r="Z195" t="str">
        <f>"45.4880%"</f>
        <v>45.4880%</v>
      </c>
      <c r="AA195" t="str">
        <f>"45.7400%"</f>
        <v>45.7400%</v>
      </c>
      <c r="AB195" t="s">
        <v>1742</v>
      </c>
      <c r="AE195" t="str">
        <f>""</f>
        <v/>
      </c>
    </row>
    <row r="196" spans="1:31" x14ac:dyDescent="0.3">
      <c r="A196" s="1" t="s">
        <v>1743</v>
      </c>
      <c r="B196" t="s">
        <v>113</v>
      </c>
      <c r="C196" t="s">
        <v>1744</v>
      </c>
      <c r="D196" t="s">
        <v>82</v>
      </c>
      <c r="E196" t="s">
        <v>36</v>
      </c>
      <c r="F196" t="s">
        <v>37</v>
      </c>
      <c r="G196" t="str">
        <f>"11000"</f>
        <v>11000</v>
      </c>
      <c r="H196" t="s">
        <v>1745</v>
      </c>
      <c r="I196" t="str">
        <f>"50%"</f>
        <v>50%</v>
      </c>
      <c r="J196" t="str">
        <f>"-0.19"</f>
        <v>-0.19</v>
      </c>
      <c r="K196" t="str">
        <f>"110"</f>
        <v>110</v>
      </c>
      <c r="L196" t="str">
        <f>"PIK3R2 p.S234R"</f>
        <v>PIK3R2 p.S234R</v>
      </c>
      <c r="M196" t="str">
        <f>"NM_005027"</f>
        <v>NM_005027</v>
      </c>
      <c r="O196" t="s">
        <v>1745</v>
      </c>
      <c r="P196" t="str">
        <f>"75%"</f>
        <v>75%</v>
      </c>
      <c r="Q196" t="str">
        <f>"-0.04"</f>
        <v>-0.04</v>
      </c>
      <c r="S196" t="s">
        <v>40</v>
      </c>
      <c r="T196" t="s">
        <v>1746</v>
      </c>
      <c r="U196" t="str">
        <f>"89.6100%"</f>
        <v>89.6100%</v>
      </c>
      <c r="V196" t="str">
        <f>"88.4100%"</f>
        <v>88.4100%</v>
      </c>
      <c r="W196" t="str">
        <f>""</f>
        <v/>
      </c>
      <c r="X196" t="str">
        <f>"92.3922%"</f>
        <v>92.3922%</v>
      </c>
      <c r="Y196" t="s">
        <v>1747</v>
      </c>
      <c r="Z196" t="str">
        <f>"90.9070%"</f>
        <v>90.9070%</v>
      </c>
      <c r="AA196" t="str">
        <f>"90.2660%"</f>
        <v>90.2660%</v>
      </c>
      <c r="AB196" t="s">
        <v>1748</v>
      </c>
      <c r="AC196" t="s">
        <v>1749</v>
      </c>
      <c r="AD196" t="s">
        <v>1750</v>
      </c>
      <c r="AE196" t="str">
        <f>"17.49"</f>
        <v>17.49</v>
      </c>
    </row>
    <row r="197" spans="1:31" x14ac:dyDescent="0.3">
      <c r="A197" s="1" t="s">
        <v>1751</v>
      </c>
      <c r="B197" t="s">
        <v>540</v>
      </c>
      <c r="C197" t="s">
        <v>1752</v>
      </c>
      <c r="D197" t="s">
        <v>35</v>
      </c>
      <c r="E197" t="s">
        <v>36</v>
      </c>
      <c r="F197" t="s">
        <v>37</v>
      </c>
      <c r="G197" t="str">
        <f>"11000"</f>
        <v>11000</v>
      </c>
      <c r="H197" t="s">
        <v>1753</v>
      </c>
      <c r="I197" t="str">
        <f>"100%"</f>
        <v>100%</v>
      </c>
      <c r="J197" t="str">
        <f>"-0.01"</f>
        <v>-0.01</v>
      </c>
      <c r="K197" t="str">
        <f>"110"</f>
        <v>110</v>
      </c>
      <c r="L197" t="str">
        <f>"FLT3 p.D7G"</f>
        <v>FLT3 p.D7G</v>
      </c>
      <c r="M197" t="str">
        <f>"NM_004119"</f>
        <v>NM_004119</v>
      </c>
      <c r="O197" t="s">
        <v>1754</v>
      </c>
      <c r="P197" t="str">
        <f>"100%"</f>
        <v>100%</v>
      </c>
      <c r="Q197" t="str">
        <f>"-0.02"</f>
        <v>-0.02</v>
      </c>
      <c r="S197" t="s">
        <v>40</v>
      </c>
      <c r="T197" t="s">
        <v>1755</v>
      </c>
      <c r="U197" t="str">
        <f>"0.0000%"</f>
        <v>0.0000%</v>
      </c>
      <c r="V197" t="str">
        <f>"25.1600%"</f>
        <v>25.1600%</v>
      </c>
      <c r="W197" t="str">
        <f>""</f>
        <v/>
      </c>
      <c r="X197" t="str">
        <f>"37.3602%"</f>
        <v>37.3602%</v>
      </c>
      <c r="Y197" t="s">
        <v>1756</v>
      </c>
      <c r="Z197" t="str">
        <f>"24.7140%"</f>
        <v>24.7140%</v>
      </c>
      <c r="AA197" t="str">
        <f>"24.6450%"</f>
        <v>24.6450%</v>
      </c>
      <c r="AB197" t="s">
        <v>1757</v>
      </c>
      <c r="AC197" t="s">
        <v>1758</v>
      </c>
      <c r="AE197" t="str">
        <f>"8.184"</f>
        <v>8.184</v>
      </c>
    </row>
    <row r="198" spans="1:31" x14ac:dyDescent="0.3">
      <c r="A198" s="1" t="s">
        <v>282</v>
      </c>
      <c r="B198" t="s">
        <v>283</v>
      </c>
      <c r="C198" t="s">
        <v>284</v>
      </c>
      <c r="D198" t="s">
        <v>285</v>
      </c>
      <c r="E198" t="s">
        <v>35</v>
      </c>
      <c r="F198" t="s">
        <v>37</v>
      </c>
      <c r="G198" t="str">
        <f>"00000"</f>
        <v>00000</v>
      </c>
      <c r="H198" t="s">
        <v>286</v>
      </c>
      <c r="I198" t="str">
        <f>"3%"</f>
        <v>3%</v>
      </c>
      <c r="J198" t="str">
        <f>"0.05"</f>
        <v>0.05</v>
      </c>
      <c r="K198" t="str">
        <f>"000"</f>
        <v>000</v>
      </c>
      <c r="L198" t="str">
        <f>"INHBA p.262_263del"</f>
        <v>INHBA p.262_263del</v>
      </c>
      <c r="M198" t="str">
        <f>"NM_002192"</f>
        <v>NM_002192</v>
      </c>
      <c r="O198" t="s">
        <v>245</v>
      </c>
      <c r="P198" t="str">
        <f>"."</f>
        <v>.</v>
      </c>
      <c r="Q198" t="str">
        <f>"0.01"</f>
        <v>0.01</v>
      </c>
      <c r="S198" t="s">
        <v>160</v>
      </c>
      <c r="T198" t="s">
        <v>287</v>
      </c>
      <c r="U198" t="str">
        <f>"0.2700%"</f>
        <v>0.2700%</v>
      </c>
      <c r="V198" t="str">
        <f>"0.0100%"</f>
        <v>0.0100%</v>
      </c>
      <c r="W198" t="str">
        <f>""</f>
        <v/>
      </c>
      <c r="X198" t="str">
        <f>""</f>
        <v/>
      </c>
      <c r="Y198" t="s">
        <v>288</v>
      </c>
      <c r="Z198" t="str">
        <f>"25.0110%"</f>
        <v>25.0110%</v>
      </c>
      <c r="AA198" t="str">
        <f>"24.9890%"</f>
        <v>24.9890%</v>
      </c>
      <c r="AB198" t="s">
        <v>289</v>
      </c>
      <c r="AC198" t="s">
        <v>290</v>
      </c>
      <c r="AE198" t="str">
        <f>""</f>
        <v/>
      </c>
    </row>
    <row r="199" spans="1:31" x14ac:dyDescent="0.3">
      <c r="A199" s="1" t="s">
        <v>1759</v>
      </c>
      <c r="B199" t="s">
        <v>209</v>
      </c>
      <c r="C199" t="s">
        <v>1760</v>
      </c>
      <c r="D199" t="s">
        <v>35</v>
      </c>
      <c r="E199" t="s">
        <v>36</v>
      </c>
      <c r="F199" t="s">
        <v>37</v>
      </c>
      <c r="G199" t="str">
        <f t="shared" ref="G199:G212" si="18">"11000"</f>
        <v>11000</v>
      </c>
      <c r="H199" t="s">
        <v>1761</v>
      </c>
      <c r="I199" t="str">
        <f>"100%"</f>
        <v>100%</v>
      </c>
      <c r="J199" t="str">
        <f>"0.00"</f>
        <v>0.00</v>
      </c>
      <c r="K199" t="str">
        <f t="shared" ref="K199:K212" si="19">"110"</f>
        <v>110</v>
      </c>
      <c r="L199" t="str">
        <f>"MLH3"</f>
        <v>MLH3</v>
      </c>
      <c r="M199" t="str">
        <f>""</f>
        <v/>
      </c>
      <c r="O199" t="s">
        <v>1762</v>
      </c>
      <c r="P199" t="str">
        <f>"100%"</f>
        <v>100%</v>
      </c>
      <c r="Q199" t="str">
        <f>"-0.00"</f>
        <v>-0.00</v>
      </c>
      <c r="S199" t="s">
        <v>40</v>
      </c>
      <c r="T199" t="s">
        <v>1763</v>
      </c>
      <c r="U199" t="str">
        <f>"99.6800%"</f>
        <v>99.6800%</v>
      </c>
      <c r="V199" t="str">
        <f>"99.7400%"</f>
        <v>99.7400%</v>
      </c>
      <c r="W199" t="str">
        <f>"98.8800%"</f>
        <v>98.8800%</v>
      </c>
      <c r="X199" t="str">
        <f>"99.0415%"</f>
        <v>99.0415%</v>
      </c>
      <c r="Y199" t="s">
        <v>1764</v>
      </c>
      <c r="Z199" t="str">
        <f>"99.7940%"</f>
        <v>99.7940%</v>
      </c>
      <c r="AA199" t="str">
        <f>"99.7940%"</f>
        <v>99.7940%</v>
      </c>
      <c r="AC199" t="s">
        <v>1765</v>
      </c>
      <c r="AD199" t="s">
        <v>1766</v>
      </c>
      <c r="AE199" t="str">
        <f>"0.378"</f>
        <v>0.378</v>
      </c>
    </row>
    <row r="200" spans="1:31" x14ac:dyDescent="0.3">
      <c r="A200" s="1" t="s">
        <v>1767</v>
      </c>
      <c r="B200" t="s">
        <v>219</v>
      </c>
      <c r="C200" t="s">
        <v>1768</v>
      </c>
      <c r="D200" t="s">
        <v>82</v>
      </c>
      <c r="E200" t="s">
        <v>50</v>
      </c>
      <c r="F200" t="s">
        <v>37</v>
      </c>
      <c r="G200" t="str">
        <f t="shared" si="18"/>
        <v>11000</v>
      </c>
      <c r="H200" t="s">
        <v>1769</v>
      </c>
      <c r="I200" t="str">
        <f>"100%"</f>
        <v>100%</v>
      </c>
      <c r="J200" t="str">
        <f>"0.04"</f>
        <v>0.04</v>
      </c>
      <c r="K200" t="str">
        <f t="shared" si="19"/>
        <v>110</v>
      </c>
      <c r="L200" t="str">
        <f>"FAT3 p.I2755V"</f>
        <v>FAT3 p.I2755V</v>
      </c>
      <c r="M200" t="str">
        <f>"NM_001008781"</f>
        <v>NM_001008781</v>
      </c>
      <c r="O200" t="s">
        <v>459</v>
      </c>
      <c r="P200" t="str">
        <f>"100%"</f>
        <v>100%</v>
      </c>
      <c r="Q200" t="str">
        <f>"-0.01"</f>
        <v>-0.01</v>
      </c>
      <c r="S200" t="s">
        <v>40</v>
      </c>
      <c r="T200" t="s">
        <v>1770</v>
      </c>
      <c r="U200" t="str">
        <f>"86.3700%"</f>
        <v>86.3700%</v>
      </c>
      <c r="V200" t="str">
        <f>"86.7000%"</f>
        <v>86.7000%</v>
      </c>
      <c r="W200" t="str">
        <f>"82.2900%"</f>
        <v>82.2900%</v>
      </c>
      <c r="X200" t="str">
        <f>"85.6430%"</f>
        <v>85.6430%</v>
      </c>
      <c r="Y200" t="s">
        <v>1771</v>
      </c>
      <c r="Z200" t="str">
        <f>"86.0740%"</f>
        <v>86.0740%</v>
      </c>
      <c r="AA200" t="str">
        <f>"86.0970%"</f>
        <v>86.0970%</v>
      </c>
      <c r="AC200" t="s">
        <v>1772</v>
      </c>
      <c r="AE200" t="str">
        <f>"0.018"</f>
        <v>0.018</v>
      </c>
    </row>
    <row r="201" spans="1:31" x14ac:dyDescent="0.3">
      <c r="A201" s="1" t="s">
        <v>1773</v>
      </c>
      <c r="B201" t="s">
        <v>209</v>
      </c>
      <c r="C201" t="s">
        <v>1774</v>
      </c>
      <c r="D201" t="s">
        <v>50</v>
      </c>
      <c r="E201" t="s">
        <v>36</v>
      </c>
      <c r="F201" t="s">
        <v>37</v>
      </c>
      <c r="G201" t="str">
        <f t="shared" si="18"/>
        <v>11000</v>
      </c>
      <c r="H201" t="s">
        <v>1775</v>
      </c>
      <c r="I201" t="str">
        <f>"100%"</f>
        <v>100%</v>
      </c>
      <c r="J201" t="str">
        <f>"0.00"</f>
        <v>0.00</v>
      </c>
      <c r="K201" t="str">
        <f t="shared" si="19"/>
        <v>110</v>
      </c>
      <c r="L201" t="str">
        <f>"TSHR p.E727D"</f>
        <v>TSHR p.E727D</v>
      </c>
      <c r="M201" t="str">
        <f>"NM_000369"</f>
        <v>NM_000369</v>
      </c>
      <c r="O201" t="s">
        <v>601</v>
      </c>
      <c r="P201" t="str">
        <f>"100%"</f>
        <v>100%</v>
      </c>
      <c r="Q201" t="str">
        <f>"-0.00"</f>
        <v>-0.00</v>
      </c>
      <c r="S201" t="s">
        <v>40</v>
      </c>
      <c r="T201" t="s">
        <v>1776</v>
      </c>
      <c r="U201" t="str">
        <f>"90.0400%"</f>
        <v>90.0400%</v>
      </c>
      <c r="V201" t="str">
        <f>"89.5800%"</f>
        <v>89.5800%</v>
      </c>
      <c r="W201" t="str">
        <f>"92.3300%"</f>
        <v>92.3300%</v>
      </c>
      <c r="X201" t="str">
        <f>"89.6765%"</f>
        <v>89.6765%</v>
      </c>
      <c r="Y201" t="s">
        <v>1777</v>
      </c>
      <c r="Z201" t="str">
        <f>"90.6550%"</f>
        <v>90.6550%</v>
      </c>
      <c r="AA201" t="str">
        <f>"90.6320%"</f>
        <v>90.6320%</v>
      </c>
      <c r="AC201" t="s">
        <v>1778</v>
      </c>
      <c r="AD201" t="s">
        <v>1779</v>
      </c>
      <c r="AE201" t="str">
        <f>"0.001"</f>
        <v>0.001</v>
      </c>
    </row>
    <row r="202" spans="1:31" x14ac:dyDescent="0.3">
      <c r="A202" s="1" t="s">
        <v>1780</v>
      </c>
      <c r="B202" t="s">
        <v>351</v>
      </c>
      <c r="C202" t="s">
        <v>1781</v>
      </c>
      <c r="D202" t="s">
        <v>36</v>
      </c>
      <c r="E202" t="s">
        <v>82</v>
      </c>
      <c r="F202" t="s">
        <v>37</v>
      </c>
      <c r="G202" t="str">
        <f t="shared" si="18"/>
        <v>11000</v>
      </c>
      <c r="H202" t="s">
        <v>1782</v>
      </c>
      <c r="I202" t="str">
        <f>"100%"</f>
        <v>100%</v>
      </c>
      <c r="J202" t="str">
        <f>"0.01"</f>
        <v>0.01</v>
      </c>
      <c r="K202" t="str">
        <f t="shared" si="19"/>
        <v>110</v>
      </c>
      <c r="L202" t="str">
        <f>"POLQ p.R66I"</f>
        <v>POLQ p.R66I</v>
      </c>
      <c r="M202" t="str">
        <f>"NM_199420"</f>
        <v>NM_199420</v>
      </c>
      <c r="O202" t="s">
        <v>1259</v>
      </c>
      <c r="P202" t="str">
        <f>"100%"</f>
        <v>100%</v>
      </c>
      <c r="Q202" t="str">
        <f>"-0.01"</f>
        <v>-0.01</v>
      </c>
      <c r="S202" t="s">
        <v>40</v>
      </c>
      <c r="T202" t="s">
        <v>1783</v>
      </c>
      <c r="U202" t="str">
        <f>"99.6400%"</f>
        <v>99.6400%</v>
      </c>
      <c r="V202" t="str">
        <f>"99.7300%"</f>
        <v>99.7300%</v>
      </c>
      <c r="W202" t="str">
        <f>"98.8600%"</f>
        <v>98.8600%</v>
      </c>
      <c r="X202" t="str">
        <f>"98.8618%"</f>
        <v>98.8618%</v>
      </c>
      <c r="Y202" t="s">
        <v>1784</v>
      </c>
      <c r="Z202" t="str">
        <f>"99.7020%"</f>
        <v>99.7020%</v>
      </c>
      <c r="AA202" t="str">
        <f>"99.7020%"</f>
        <v>99.7020%</v>
      </c>
      <c r="AC202" t="s">
        <v>1785</v>
      </c>
      <c r="AE202" t="str">
        <f>"9.723"</f>
        <v>9.723</v>
      </c>
    </row>
    <row r="203" spans="1:31" x14ac:dyDescent="0.3">
      <c r="A203" s="1" t="s">
        <v>1786</v>
      </c>
      <c r="B203" t="s">
        <v>106</v>
      </c>
      <c r="C203" t="s">
        <v>1787</v>
      </c>
      <c r="D203" t="s">
        <v>35</v>
      </c>
      <c r="E203" t="s">
        <v>36</v>
      </c>
      <c r="F203" t="s">
        <v>143</v>
      </c>
      <c r="G203" t="str">
        <f t="shared" si="18"/>
        <v>11000</v>
      </c>
      <c r="H203" t="s">
        <v>1788</v>
      </c>
      <c r="I203" t="str">
        <f>"56%"</f>
        <v>56%</v>
      </c>
      <c r="J203" t="str">
        <f>"-0.32"</f>
        <v>-0.32</v>
      </c>
      <c r="K203" t="str">
        <f t="shared" si="19"/>
        <v>110</v>
      </c>
      <c r="L203" t="str">
        <f>"MIR4457"</f>
        <v>MIR4457</v>
      </c>
      <c r="M203" t="str">
        <f>""</f>
        <v/>
      </c>
      <c r="O203" t="s">
        <v>469</v>
      </c>
      <c r="P203" t="str">
        <f>"46%"</f>
        <v>46%</v>
      </c>
      <c r="Q203" t="str">
        <f>"0.02"</f>
        <v>0.02</v>
      </c>
      <c r="R203" t="s">
        <v>1789</v>
      </c>
      <c r="U203" t="str">
        <f>""</f>
        <v/>
      </c>
      <c r="V203" t="str">
        <f>""</f>
        <v/>
      </c>
      <c r="W203" t="str">
        <f>""</f>
        <v/>
      </c>
      <c r="X203" t="str">
        <f>"69.6086%"</f>
        <v>69.6086%</v>
      </c>
      <c r="Y203" t="s">
        <v>1790</v>
      </c>
      <c r="Z203" t="str">
        <f>"66.7890%"</f>
        <v>66.7890%</v>
      </c>
      <c r="AA203" t="str">
        <f>"66.8350%"</f>
        <v>66.8350%</v>
      </c>
      <c r="AE203" t="str">
        <f>""</f>
        <v/>
      </c>
    </row>
    <row r="204" spans="1:31" x14ac:dyDescent="0.3">
      <c r="A204" s="1" t="s">
        <v>1791</v>
      </c>
      <c r="B204" t="s">
        <v>219</v>
      </c>
      <c r="C204" t="s">
        <v>1792</v>
      </c>
      <c r="D204" t="s">
        <v>82</v>
      </c>
      <c r="E204" t="s">
        <v>50</v>
      </c>
      <c r="F204" t="s">
        <v>37</v>
      </c>
      <c r="G204" t="str">
        <f t="shared" si="18"/>
        <v>11000</v>
      </c>
      <c r="H204" t="s">
        <v>1793</v>
      </c>
      <c r="I204" t="str">
        <f>"100%"</f>
        <v>100%</v>
      </c>
      <c r="J204" t="str">
        <f>"-0.18"</f>
        <v>-0.18</v>
      </c>
      <c r="K204" t="str">
        <f t="shared" si="19"/>
        <v>110</v>
      </c>
      <c r="L204" t="str">
        <f>"FAT3 p.Q1726R"</f>
        <v>FAT3 p.Q1726R</v>
      </c>
      <c r="M204" t="str">
        <f>"NM_001008781"</f>
        <v>NM_001008781</v>
      </c>
      <c r="O204" t="s">
        <v>1794</v>
      </c>
      <c r="P204" t="str">
        <f>"100%"</f>
        <v>100%</v>
      </c>
      <c r="Q204" t="str">
        <f>"-0.01"</f>
        <v>-0.01</v>
      </c>
      <c r="S204" t="s">
        <v>40</v>
      </c>
      <c r="T204" t="s">
        <v>1795</v>
      </c>
      <c r="U204" t="str">
        <f>"82.3000%"</f>
        <v>82.3000%</v>
      </c>
      <c r="V204" t="str">
        <f>"82.6900%"</f>
        <v>82.6900%</v>
      </c>
      <c r="W204" t="str">
        <f>"79.8200%"</f>
        <v>79.8200%</v>
      </c>
      <c r="X204" t="str">
        <f>"76.9768%"</f>
        <v>76.9768%</v>
      </c>
      <c r="Y204" t="s">
        <v>1796</v>
      </c>
      <c r="Z204" t="str">
        <f>"82.3640%"</f>
        <v>82.3640%</v>
      </c>
      <c r="AA204" t="str">
        <f>"82.4100%"</f>
        <v>82.4100%</v>
      </c>
      <c r="AC204" t="s">
        <v>1797</v>
      </c>
      <c r="AE204" t="str">
        <f>"5.962"</f>
        <v>5.962</v>
      </c>
    </row>
    <row r="205" spans="1:31" x14ac:dyDescent="0.3">
      <c r="A205" s="1" t="s">
        <v>1798</v>
      </c>
      <c r="B205" t="s">
        <v>351</v>
      </c>
      <c r="C205" t="s">
        <v>1799</v>
      </c>
      <c r="D205" t="s">
        <v>35</v>
      </c>
      <c r="E205" t="s">
        <v>36</v>
      </c>
      <c r="F205" t="s">
        <v>37</v>
      </c>
      <c r="G205" t="str">
        <f t="shared" si="18"/>
        <v>11000</v>
      </c>
      <c r="H205" t="s">
        <v>1800</v>
      </c>
      <c r="I205" t="str">
        <f>"100%"</f>
        <v>100%</v>
      </c>
      <c r="J205" t="str">
        <f>"-0.24"</f>
        <v>-0.24</v>
      </c>
      <c r="K205" t="str">
        <f t="shared" si="19"/>
        <v>110</v>
      </c>
      <c r="L205" t="str">
        <f>"POLQ p.Q2513R"</f>
        <v>POLQ p.Q2513R</v>
      </c>
      <c r="M205" t="str">
        <f>"NM_199420"</f>
        <v>NM_199420</v>
      </c>
      <c r="O205" t="s">
        <v>585</v>
      </c>
      <c r="P205" t="str">
        <f>"100%"</f>
        <v>100%</v>
      </c>
      <c r="Q205" t="str">
        <f>"-0.01"</f>
        <v>-0.01</v>
      </c>
      <c r="S205" t="s">
        <v>40</v>
      </c>
      <c r="T205" t="s">
        <v>1801</v>
      </c>
      <c r="U205" t="str">
        <f>"72.1700%"</f>
        <v>72.1700%</v>
      </c>
      <c r="V205" t="str">
        <f>"72.4200%"</f>
        <v>72.4200%</v>
      </c>
      <c r="W205" t="str">
        <f>"66.9600%"</f>
        <v>66.9600%</v>
      </c>
      <c r="X205" t="str">
        <f>"74.5208%"</f>
        <v>74.5208%</v>
      </c>
      <c r="Y205" t="s">
        <v>1802</v>
      </c>
      <c r="Z205" t="str">
        <f>"71.8740%"</f>
        <v>71.8740%</v>
      </c>
      <c r="AA205" t="str">
        <f>"71.8510%"</f>
        <v>71.8510%</v>
      </c>
      <c r="AC205" t="s">
        <v>1803</v>
      </c>
      <c r="AE205" t="str">
        <f>"1.151"</f>
        <v>1.151</v>
      </c>
    </row>
    <row r="206" spans="1:31" x14ac:dyDescent="0.3">
      <c r="A206" s="1" t="s">
        <v>1804</v>
      </c>
      <c r="B206" t="s">
        <v>58</v>
      </c>
      <c r="C206" t="s">
        <v>1805</v>
      </c>
      <c r="D206" t="s">
        <v>82</v>
      </c>
      <c r="E206" t="s">
        <v>50</v>
      </c>
      <c r="F206" t="s">
        <v>37</v>
      </c>
      <c r="G206" t="str">
        <f t="shared" si="18"/>
        <v>11000</v>
      </c>
      <c r="H206" t="s">
        <v>1806</v>
      </c>
      <c r="I206" t="str">
        <f>"51%"</f>
        <v>51%</v>
      </c>
      <c r="J206" t="str">
        <f>"-0.03"</f>
        <v>-0.03</v>
      </c>
      <c r="K206" t="str">
        <f t="shared" si="19"/>
        <v>110</v>
      </c>
      <c r="L206" t="str">
        <f>"MGA"</f>
        <v>MGA</v>
      </c>
      <c r="M206" t="str">
        <f>""</f>
        <v/>
      </c>
      <c r="O206" t="s">
        <v>1807</v>
      </c>
      <c r="P206" t="str">
        <f>"49%"</f>
        <v>49%</v>
      </c>
      <c r="Q206" t="str">
        <f>"-0.00"</f>
        <v>-0.00</v>
      </c>
      <c r="S206" t="s">
        <v>40</v>
      </c>
      <c r="T206" t="s">
        <v>1808</v>
      </c>
      <c r="U206" t="str">
        <f>"0.0008%"</f>
        <v>0.0008%</v>
      </c>
      <c r="V206" t="str">
        <f>"0.0004%"</f>
        <v>0.0004%</v>
      </c>
      <c r="W206" t="str">
        <f>""</f>
        <v/>
      </c>
      <c r="X206" t="str">
        <f>""</f>
        <v/>
      </c>
      <c r="Y206" t="s">
        <v>1809</v>
      </c>
      <c r="Z206" t="str">
        <f>""</f>
        <v/>
      </c>
      <c r="AA206" t="str">
        <f>""</f>
        <v/>
      </c>
      <c r="AE206" t="str">
        <f>"18.39"</f>
        <v>18.39</v>
      </c>
    </row>
    <row r="207" spans="1:31" x14ac:dyDescent="0.3">
      <c r="A207" s="1" t="s">
        <v>1810</v>
      </c>
      <c r="B207" t="s">
        <v>106</v>
      </c>
      <c r="C207" t="s">
        <v>1811</v>
      </c>
      <c r="D207" t="s">
        <v>50</v>
      </c>
      <c r="E207" t="s">
        <v>82</v>
      </c>
      <c r="F207" t="s">
        <v>143</v>
      </c>
      <c r="G207" t="str">
        <f t="shared" si="18"/>
        <v>11000</v>
      </c>
      <c r="H207" t="s">
        <v>1812</v>
      </c>
      <c r="I207" t="str">
        <f>"46%"</f>
        <v>46%</v>
      </c>
      <c r="J207" t="str">
        <f>"-0.32"</f>
        <v>-0.32</v>
      </c>
      <c r="K207" t="str">
        <f t="shared" si="19"/>
        <v>110</v>
      </c>
      <c r="L207" t="str">
        <f>"MIR4457"</f>
        <v>MIR4457</v>
      </c>
      <c r="M207" t="str">
        <f>""</f>
        <v/>
      </c>
      <c r="O207" t="s">
        <v>1813</v>
      </c>
      <c r="P207" t="str">
        <f>"48%"</f>
        <v>48%</v>
      </c>
      <c r="Q207" t="str">
        <f>"0.02"</f>
        <v>0.02</v>
      </c>
      <c r="R207" t="s">
        <v>1814</v>
      </c>
      <c r="U207" t="str">
        <f>""</f>
        <v/>
      </c>
      <c r="V207" t="str">
        <f>""</f>
        <v/>
      </c>
      <c r="W207" t="str">
        <f>""</f>
        <v/>
      </c>
      <c r="X207" t="str">
        <f>"18.5903%"</f>
        <v>18.5903%</v>
      </c>
      <c r="Y207" t="s">
        <v>1815</v>
      </c>
      <c r="Z207" t="str">
        <f>"18.3230%"</f>
        <v>18.3230%</v>
      </c>
      <c r="AA207" t="str">
        <f>"18.3230%"</f>
        <v>18.3230%</v>
      </c>
      <c r="AE207" t="str">
        <f>""</f>
        <v/>
      </c>
    </row>
    <row r="208" spans="1:31" x14ac:dyDescent="0.3">
      <c r="A208" s="1" t="s">
        <v>1816</v>
      </c>
      <c r="B208" t="s">
        <v>88</v>
      </c>
      <c r="C208" t="s">
        <v>1817</v>
      </c>
      <c r="D208" t="s">
        <v>36</v>
      </c>
      <c r="E208" t="s">
        <v>50</v>
      </c>
      <c r="F208" t="s">
        <v>37</v>
      </c>
      <c r="G208" t="str">
        <f t="shared" si="18"/>
        <v>11000</v>
      </c>
      <c r="H208" t="s">
        <v>1818</v>
      </c>
      <c r="I208" t="str">
        <f>"53%"</f>
        <v>53%</v>
      </c>
      <c r="J208" t="str">
        <f>"-0.01"</f>
        <v>-0.01</v>
      </c>
      <c r="K208" t="str">
        <f t="shared" si="19"/>
        <v>110</v>
      </c>
      <c r="L208" t="str">
        <f>"LRP1B p.V4264L"</f>
        <v>LRP1B p.V4264L</v>
      </c>
      <c r="M208" t="str">
        <f>"NM_018557"</f>
        <v>NM_018557</v>
      </c>
      <c r="O208" t="s">
        <v>1344</v>
      </c>
      <c r="P208" t="str">
        <f>"50%"</f>
        <v>50%</v>
      </c>
      <c r="Q208" t="str">
        <f>"-0.01"</f>
        <v>-0.01</v>
      </c>
      <c r="S208" t="s">
        <v>40</v>
      </c>
      <c r="T208" t="s">
        <v>1819</v>
      </c>
      <c r="U208" t="str">
        <f>"1.6200%"</f>
        <v>1.6200%</v>
      </c>
      <c r="V208" t="str">
        <f>"1.5600%"</f>
        <v>1.5600%</v>
      </c>
      <c r="W208" t="str">
        <f>"2.0800%"</f>
        <v>2.0800%</v>
      </c>
      <c r="X208" t="str">
        <f>"1.4377%"</f>
        <v>1.4377%</v>
      </c>
      <c r="Y208" t="s">
        <v>1820</v>
      </c>
      <c r="Z208" t="str">
        <f>"1.4890%"</f>
        <v>1.4890%</v>
      </c>
      <c r="AA208" t="str">
        <f>"1.4890%"</f>
        <v>1.4890%</v>
      </c>
      <c r="AC208" t="s">
        <v>1821</v>
      </c>
      <c r="AE208" t="str">
        <f>"6.680"</f>
        <v>6.680</v>
      </c>
    </row>
    <row r="209" spans="1:31" x14ac:dyDescent="0.3">
      <c r="A209" s="1" t="s">
        <v>1822</v>
      </c>
      <c r="B209" t="s">
        <v>683</v>
      </c>
      <c r="C209" t="s">
        <v>1823</v>
      </c>
      <c r="D209" t="s">
        <v>82</v>
      </c>
      <c r="E209" t="s">
        <v>50</v>
      </c>
      <c r="F209" t="s">
        <v>37</v>
      </c>
      <c r="G209" t="str">
        <f t="shared" si="18"/>
        <v>11000</v>
      </c>
      <c r="H209" t="s">
        <v>1824</v>
      </c>
      <c r="I209" t="str">
        <f>"100%"</f>
        <v>100%</v>
      </c>
      <c r="J209" t="str">
        <f>"-0.03"</f>
        <v>-0.03</v>
      </c>
      <c r="K209" t="str">
        <f t="shared" si="19"/>
        <v>110</v>
      </c>
      <c r="L209" t="str">
        <f>"NAV3"</f>
        <v>NAV3</v>
      </c>
      <c r="M209" t="str">
        <f>""</f>
        <v/>
      </c>
      <c r="O209" t="s">
        <v>1825</v>
      </c>
      <c r="P209" t="str">
        <f>"100%"</f>
        <v>100%</v>
      </c>
      <c r="Q209" t="str">
        <f>"-0.00"</f>
        <v>-0.00</v>
      </c>
      <c r="S209" t="s">
        <v>40</v>
      </c>
      <c r="T209" t="s">
        <v>1826</v>
      </c>
      <c r="U209" t="str">
        <f>"99.2800%"</f>
        <v>99.2800%</v>
      </c>
      <c r="V209" t="str">
        <f>"99.4200%"</f>
        <v>99.4200%</v>
      </c>
      <c r="W209" t="str">
        <f>"97.3300%"</f>
        <v>97.3300%</v>
      </c>
      <c r="X209" t="str">
        <f>"97.5439%"</f>
        <v>97.5439%</v>
      </c>
      <c r="Y209" t="s">
        <v>1827</v>
      </c>
      <c r="Z209" t="str">
        <f>"99.4040%"</f>
        <v>99.4040%</v>
      </c>
      <c r="AA209" t="str">
        <f>"99.4270%"</f>
        <v>99.4270%</v>
      </c>
      <c r="AC209" t="s">
        <v>1828</v>
      </c>
      <c r="AE209" t="str">
        <f>"4.131"</f>
        <v>4.131</v>
      </c>
    </row>
    <row r="210" spans="1:31" x14ac:dyDescent="0.3">
      <c r="A210" s="1" t="s">
        <v>1829</v>
      </c>
      <c r="B210" t="s">
        <v>266</v>
      </c>
      <c r="C210" t="s">
        <v>1830</v>
      </c>
      <c r="D210" t="s">
        <v>35</v>
      </c>
      <c r="E210" t="s">
        <v>36</v>
      </c>
      <c r="F210" t="s">
        <v>37</v>
      </c>
      <c r="G210" t="str">
        <f t="shared" si="18"/>
        <v>11000</v>
      </c>
      <c r="H210" t="s">
        <v>1831</v>
      </c>
      <c r="I210" t="str">
        <f>"100%"</f>
        <v>100%</v>
      </c>
      <c r="J210" t="str">
        <f>"-0.03"</f>
        <v>-0.03</v>
      </c>
      <c r="K210" t="str">
        <f t="shared" si="19"/>
        <v>110</v>
      </c>
      <c r="L210" t="str">
        <f>"PDCD1LG2 p.F229S"</f>
        <v>PDCD1LG2 p.F229S</v>
      </c>
      <c r="M210" t="str">
        <f>"NM_025239"</f>
        <v>NM_025239</v>
      </c>
      <c r="O210" t="s">
        <v>527</v>
      </c>
      <c r="P210" t="str">
        <f>"100%"</f>
        <v>100%</v>
      </c>
      <c r="Q210" t="str">
        <f>"-0.00"</f>
        <v>-0.00</v>
      </c>
      <c r="S210" t="s">
        <v>40</v>
      </c>
      <c r="T210" t="s">
        <v>1832</v>
      </c>
      <c r="U210" t="str">
        <f>"99.9200%"</f>
        <v>99.9200%</v>
      </c>
      <c r="V210" t="str">
        <f>"99.9100%"</f>
        <v>99.9100%</v>
      </c>
      <c r="W210" t="str">
        <f>"99.8800%"</f>
        <v>99.8800%</v>
      </c>
      <c r="X210" t="str">
        <f>"99.7804%"</f>
        <v>99.7804%</v>
      </c>
      <c r="Y210" t="s">
        <v>1833</v>
      </c>
      <c r="Z210" t="str">
        <f>"99.9310%"</f>
        <v>99.9310%</v>
      </c>
      <c r="AA210" t="str">
        <f>"99.8400%"</f>
        <v>99.8400%</v>
      </c>
      <c r="AC210" t="s">
        <v>1834</v>
      </c>
      <c r="AE210" t="str">
        <f>"0.149"</f>
        <v>0.149</v>
      </c>
    </row>
    <row r="211" spans="1:31" x14ac:dyDescent="0.3">
      <c r="A211" s="1" t="s">
        <v>1835</v>
      </c>
      <c r="B211" t="s">
        <v>33</v>
      </c>
      <c r="C211" t="s">
        <v>1836</v>
      </c>
      <c r="D211" t="s">
        <v>50</v>
      </c>
      <c r="E211" t="s">
        <v>82</v>
      </c>
      <c r="F211" t="s">
        <v>37</v>
      </c>
      <c r="G211" t="str">
        <f t="shared" si="18"/>
        <v>11000</v>
      </c>
      <c r="H211" t="s">
        <v>517</v>
      </c>
      <c r="I211" t="str">
        <f>"100%"</f>
        <v>100%</v>
      </c>
      <c r="J211" t="str">
        <f>"0.09"</f>
        <v>0.09</v>
      </c>
      <c r="K211" t="str">
        <f t="shared" si="19"/>
        <v>110</v>
      </c>
      <c r="L211" t="str">
        <f>"PRKCA p.V568I"</f>
        <v>PRKCA p.V568I</v>
      </c>
      <c r="M211" t="str">
        <f>"NM_002737"</f>
        <v>NM_002737</v>
      </c>
      <c r="O211" t="s">
        <v>667</v>
      </c>
      <c r="P211" t="str">
        <f>"100%"</f>
        <v>100%</v>
      </c>
      <c r="Q211" t="str">
        <f>"0.00"</f>
        <v>0.00</v>
      </c>
      <c r="S211" t="s">
        <v>40</v>
      </c>
      <c r="T211" t="s">
        <v>1837</v>
      </c>
      <c r="U211" t="str">
        <f>"97.9900%"</f>
        <v>97.9900%</v>
      </c>
      <c r="V211" t="str">
        <f>"98.0000%"</f>
        <v>98.0000%</v>
      </c>
      <c r="W211" t="str">
        <f>"98.0200%"</f>
        <v>98.0200%</v>
      </c>
      <c r="X211" t="str">
        <f>"99.2013%"</f>
        <v>99.2013%</v>
      </c>
      <c r="Y211" t="s">
        <v>1838</v>
      </c>
      <c r="Z211" t="str">
        <f>"97.9620%"</f>
        <v>97.9620%</v>
      </c>
      <c r="AA211" t="str">
        <f>"97.9620%"</f>
        <v>97.9620%</v>
      </c>
      <c r="AC211" t="s">
        <v>1839</v>
      </c>
      <c r="AE211" t="str">
        <f>"9.749"</f>
        <v>9.749</v>
      </c>
    </row>
    <row r="212" spans="1:31" x14ac:dyDescent="0.3">
      <c r="A212" s="1" t="s">
        <v>1840</v>
      </c>
      <c r="B212" t="s">
        <v>106</v>
      </c>
      <c r="C212" t="s">
        <v>1841</v>
      </c>
      <c r="D212" t="s">
        <v>50</v>
      </c>
      <c r="E212" t="s">
        <v>82</v>
      </c>
      <c r="F212" t="s">
        <v>143</v>
      </c>
      <c r="G212" t="str">
        <f t="shared" si="18"/>
        <v>11000</v>
      </c>
      <c r="H212" t="s">
        <v>1842</v>
      </c>
      <c r="I212" t="str">
        <f>"46%"</f>
        <v>46%</v>
      </c>
      <c r="J212" t="str">
        <f>"-0.05"</f>
        <v>-0.05</v>
      </c>
      <c r="K212" t="str">
        <f t="shared" si="19"/>
        <v>110</v>
      </c>
      <c r="L212" t="str">
        <f>"CLPTM1L"</f>
        <v>CLPTM1L</v>
      </c>
      <c r="M212" t="str">
        <f>""</f>
        <v/>
      </c>
      <c r="O212" t="s">
        <v>1843</v>
      </c>
      <c r="P212" t="str">
        <f>"50%"</f>
        <v>50%</v>
      </c>
      <c r="Q212" t="str">
        <f>"0.02"</f>
        <v>0.02</v>
      </c>
      <c r="R212" t="s">
        <v>1844</v>
      </c>
      <c r="U212" t="str">
        <f>""</f>
        <v/>
      </c>
      <c r="V212" t="str">
        <f>""</f>
        <v/>
      </c>
      <c r="W212" t="str">
        <f>""</f>
        <v/>
      </c>
      <c r="X212" t="str">
        <f>"89.2572%"</f>
        <v>89.2572%</v>
      </c>
      <c r="Y212" t="s">
        <v>1845</v>
      </c>
      <c r="Z212" t="str">
        <f>"85.0890%"</f>
        <v>85.0890%</v>
      </c>
      <c r="AA212" t="str">
        <f>"85.0440%"</f>
        <v>85.0440%</v>
      </c>
      <c r="AE212" t="str">
        <f>""</f>
        <v/>
      </c>
    </row>
    <row r="213" spans="1:31" x14ac:dyDescent="0.3">
      <c r="A213" s="1" t="s">
        <v>1846</v>
      </c>
      <c r="B213" t="s">
        <v>626</v>
      </c>
      <c r="C213" t="s">
        <v>1847</v>
      </c>
      <c r="D213" t="s">
        <v>315</v>
      </c>
      <c r="E213" t="s">
        <v>35</v>
      </c>
      <c r="F213" t="s">
        <v>37</v>
      </c>
      <c r="G213" t="str">
        <f>"00000"</f>
        <v>00000</v>
      </c>
      <c r="H213" t="s">
        <v>245</v>
      </c>
      <c r="I213" t="str">
        <f>"."</f>
        <v>.</v>
      </c>
      <c r="J213" t="str">
        <f>"0.21"</f>
        <v>0.21</v>
      </c>
      <c r="K213" t="str">
        <f>"000"</f>
        <v>000</v>
      </c>
      <c r="L213" t="str">
        <f>"KAT6A p.1228_1228del"</f>
        <v>KAT6A p.1228_1228del</v>
      </c>
      <c r="M213" t="str">
        <f>"NM_006766"</f>
        <v>NM_006766</v>
      </c>
      <c r="O213" t="s">
        <v>1245</v>
      </c>
      <c r="P213" t="str">
        <f>"3%"</f>
        <v>3%</v>
      </c>
      <c r="Q213" t="str">
        <f>"-0.01"</f>
        <v>-0.01</v>
      </c>
      <c r="S213" t="s">
        <v>160</v>
      </c>
      <c r="T213" t="s">
        <v>1848</v>
      </c>
      <c r="U213" t="str">
        <f>"0.0017%"</f>
        <v>0.0017%</v>
      </c>
      <c r="V213" t="str">
        <f>"0.0008%"</f>
        <v>0.0008%</v>
      </c>
      <c r="W213" t="str">
        <f>""</f>
        <v/>
      </c>
      <c r="X213" t="str">
        <f>""</f>
        <v/>
      </c>
      <c r="Y213" t="s">
        <v>1849</v>
      </c>
      <c r="Z213" t="str">
        <f>"0.8700%"</f>
        <v>0.8700%</v>
      </c>
      <c r="AA213" t="str">
        <f>"0.8700%"</f>
        <v>0.8700%</v>
      </c>
      <c r="AE213" t="str">
        <f>""</f>
        <v/>
      </c>
    </row>
    <row r="214" spans="1:31" x14ac:dyDescent="0.3">
      <c r="A214" s="1" t="s">
        <v>1850</v>
      </c>
      <c r="B214" t="s">
        <v>785</v>
      </c>
      <c r="C214" t="s">
        <v>1851</v>
      </c>
      <c r="D214" t="s">
        <v>35</v>
      </c>
      <c r="E214" t="s">
        <v>36</v>
      </c>
      <c r="F214" t="s">
        <v>37</v>
      </c>
      <c r="G214" t="str">
        <f>"11000"</f>
        <v>11000</v>
      </c>
      <c r="H214" t="s">
        <v>1852</v>
      </c>
      <c r="I214" t="str">
        <f>"100%"</f>
        <v>100%</v>
      </c>
      <c r="J214" t="str">
        <f>"-0.01"</f>
        <v>-0.01</v>
      </c>
      <c r="K214" t="str">
        <f>"110"</f>
        <v>110</v>
      </c>
      <c r="L214" t="str">
        <f>"DCC p.F23L"</f>
        <v>DCC p.F23L</v>
      </c>
      <c r="M214" t="str">
        <f>"NM_005215"</f>
        <v>NM_005215</v>
      </c>
      <c r="O214" t="s">
        <v>1853</v>
      </c>
      <c r="P214" t="str">
        <f>"100%"</f>
        <v>100%</v>
      </c>
      <c r="Q214" t="str">
        <f>"-0.03"</f>
        <v>-0.03</v>
      </c>
      <c r="S214" t="s">
        <v>40</v>
      </c>
      <c r="T214" t="s">
        <v>1854</v>
      </c>
      <c r="U214" t="str">
        <f>"98.6200%"</f>
        <v>98.6200%</v>
      </c>
      <c r="V214" t="str">
        <f>"98.5300%"</f>
        <v>98.5300%</v>
      </c>
      <c r="W214" t="str">
        <f>"98.9200%"</f>
        <v>98.9200%</v>
      </c>
      <c r="X214" t="str">
        <f>"99.5807%"</f>
        <v>99.5807%</v>
      </c>
      <c r="Y214" t="s">
        <v>1855</v>
      </c>
      <c r="Z214" t="str">
        <f>"98.7170%"</f>
        <v>98.7170%</v>
      </c>
      <c r="AA214" t="str">
        <f>"98.7400%"</f>
        <v>98.7400%</v>
      </c>
      <c r="AC214" t="s">
        <v>1856</v>
      </c>
      <c r="AE214" t="str">
        <f>"9.318"</f>
        <v>9.318</v>
      </c>
    </row>
    <row r="215" spans="1:31" x14ac:dyDescent="0.3">
      <c r="A215" s="1" t="s">
        <v>634</v>
      </c>
      <c r="B215" t="s">
        <v>33</v>
      </c>
      <c r="C215" t="s">
        <v>635</v>
      </c>
      <c r="D215" t="s">
        <v>1857</v>
      </c>
      <c r="E215" t="s">
        <v>1858</v>
      </c>
      <c r="F215" t="s">
        <v>37</v>
      </c>
      <c r="G215" t="str">
        <f>"10000"</f>
        <v>10000</v>
      </c>
      <c r="H215" t="s">
        <v>636</v>
      </c>
      <c r="I215" t="str">
        <f>"32%"</f>
        <v>32%</v>
      </c>
      <c r="J215" t="str">
        <f>"0.01"</f>
        <v>0.01</v>
      </c>
      <c r="K215" t="str">
        <f>"100"</f>
        <v>100</v>
      </c>
      <c r="L215" t="str">
        <f>"NCOR1 c.568_571TGAA"</f>
        <v>NCOR1 c.568_571TGAA</v>
      </c>
      <c r="M215" t="str">
        <f>"NM_006311"</f>
        <v>NM_006311</v>
      </c>
      <c r="O215" t="s">
        <v>1859</v>
      </c>
      <c r="P215" t="str">
        <f>"36%"</f>
        <v>36%</v>
      </c>
      <c r="Q215" t="str">
        <f>"0.03"</f>
        <v>0.03</v>
      </c>
      <c r="S215" t="s">
        <v>77</v>
      </c>
      <c r="T215" t="s">
        <v>1860</v>
      </c>
      <c r="U215" t="str">
        <f>""</f>
        <v/>
      </c>
      <c r="V215" t="str">
        <f>""</f>
        <v/>
      </c>
      <c r="W215" t="str">
        <f>""</f>
        <v/>
      </c>
      <c r="X215" t="str">
        <f>""</f>
        <v/>
      </c>
      <c r="Z215" t="str">
        <f>"49.8850%"</f>
        <v>49.8850%</v>
      </c>
      <c r="AA215" t="str">
        <f>"49.4730%"</f>
        <v>49.4730%</v>
      </c>
      <c r="AE215" t="str">
        <f>""</f>
        <v/>
      </c>
    </row>
    <row r="216" spans="1:31" x14ac:dyDescent="0.3">
      <c r="A216" s="1" t="s">
        <v>1861</v>
      </c>
      <c r="B216" t="s">
        <v>65</v>
      </c>
      <c r="C216" t="s">
        <v>1862</v>
      </c>
      <c r="D216" t="s">
        <v>82</v>
      </c>
      <c r="E216" t="s">
        <v>36</v>
      </c>
      <c r="F216" t="s">
        <v>37</v>
      </c>
      <c r="G216" t="str">
        <f t="shared" ref="G216:G223" si="20">"11000"</f>
        <v>11000</v>
      </c>
      <c r="H216" t="s">
        <v>1863</v>
      </c>
      <c r="I216" t="str">
        <f>"100%"</f>
        <v>100%</v>
      </c>
      <c r="J216" t="str">
        <f>"0.02"</f>
        <v>0.02</v>
      </c>
      <c r="K216" t="str">
        <f t="shared" ref="K216:K223" si="21">"110"</f>
        <v>110</v>
      </c>
      <c r="L216" t="str">
        <f>"SYNE1"</f>
        <v>SYNE1</v>
      </c>
      <c r="M216" t="str">
        <f>""</f>
        <v/>
      </c>
      <c r="O216" t="s">
        <v>1260</v>
      </c>
      <c r="P216" t="str">
        <f>"100%"</f>
        <v>100%</v>
      </c>
      <c r="Q216" t="str">
        <f>"-0.00"</f>
        <v>-0.00</v>
      </c>
      <c r="S216" t="s">
        <v>40</v>
      </c>
      <c r="T216" t="s">
        <v>1864</v>
      </c>
      <c r="U216" t="str">
        <f>"99.2300%"</f>
        <v>99.2300%</v>
      </c>
      <c r="V216" t="str">
        <f>"99.1800%"</f>
        <v>99.1800%</v>
      </c>
      <c r="W216" t="str">
        <f>"99.3100%"</f>
        <v>99.3100%</v>
      </c>
      <c r="X216" t="str">
        <f>"99.5607%"</f>
        <v>99.5607%</v>
      </c>
      <c r="Y216" t="s">
        <v>1865</v>
      </c>
      <c r="Z216" t="str">
        <f>"98.8090%"</f>
        <v>98.8090%</v>
      </c>
      <c r="AA216" t="str">
        <f>"98.8320%"</f>
        <v>98.8320%</v>
      </c>
      <c r="AD216" t="s">
        <v>1866</v>
      </c>
      <c r="AE216" t="str">
        <f>"0.034"</f>
        <v>0.034</v>
      </c>
    </row>
    <row r="217" spans="1:31" x14ac:dyDescent="0.3">
      <c r="A217" s="1" t="s">
        <v>1867</v>
      </c>
      <c r="B217" t="s">
        <v>88</v>
      </c>
      <c r="C217" t="s">
        <v>1868</v>
      </c>
      <c r="D217" t="s">
        <v>1869</v>
      </c>
      <c r="E217" t="s">
        <v>138</v>
      </c>
      <c r="F217" t="s">
        <v>37</v>
      </c>
      <c r="G217" t="str">
        <f t="shared" si="20"/>
        <v>11000</v>
      </c>
      <c r="H217" t="s">
        <v>1870</v>
      </c>
      <c r="I217" t="str">
        <f>"100%"</f>
        <v>100%</v>
      </c>
      <c r="J217" t="str">
        <f>"-0.01"</f>
        <v>-0.01</v>
      </c>
      <c r="K217" t="str">
        <f t="shared" si="21"/>
        <v>110</v>
      </c>
      <c r="L217" t="str">
        <f>"BARD1 c.1518_1519CA"</f>
        <v>BARD1 c.1518_1519CA</v>
      </c>
      <c r="M217" t="str">
        <f>"NM_000465"</f>
        <v>NM_000465</v>
      </c>
      <c r="O217" t="s">
        <v>1269</v>
      </c>
      <c r="P217" t="str">
        <f>"100%"</f>
        <v>100%</v>
      </c>
      <c r="Q217" t="str">
        <f>"-0.01"</f>
        <v>-0.01</v>
      </c>
      <c r="S217" t="s">
        <v>77</v>
      </c>
      <c r="T217" t="s">
        <v>1871</v>
      </c>
      <c r="U217" t="str">
        <f>""</f>
        <v/>
      </c>
      <c r="V217" t="str">
        <f>""</f>
        <v/>
      </c>
      <c r="W217" t="str">
        <f>""</f>
        <v/>
      </c>
      <c r="X217" t="str">
        <f>""</f>
        <v/>
      </c>
      <c r="Y217" t="s">
        <v>1872</v>
      </c>
      <c r="Z217" t="str">
        <f>"35.6390%"</f>
        <v>35.6390%</v>
      </c>
      <c r="AA217" t="str">
        <f>"35.5930%"</f>
        <v>35.5930%</v>
      </c>
      <c r="AD217" t="s">
        <v>1873</v>
      </c>
      <c r="AE217" t="str">
        <f>""</f>
        <v/>
      </c>
    </row>
    <row r="218" spans="1:31" x14ac:dyDescent="0.3">
      <c r="A218" s="1" t="s">
        <v>1874</v>
      </c>
      <c r="B218" t="s">
        <v>683</v>
      </c>
      <c r="C218" t="s">
        <v>1875</v>
      </c>
      <c r="D218" t="s">
        <v>36</v>
      </c>
      <c r="E218" t="s">
        <v>35</v>
      </c>
      <c r="F218" t="s">
        <v>37</v>
      </c>
      <c r="G218" t="str">
        <f t="shared" si="20"/>
        <v>11000</v>
      </c>
      <c r="H218" t="s">
        <v>1876</v>
      </c>
      <c r="I218" t="str">
        <f>"50%"</f>
        <v>50%</v>
      </c>
      <c r="J218" t="str">
        <f>"-0.03"</f>
        <v>-0.03</v>
      </c>
      <c r="K218" t="str">
        <f t="shared" si="21"/>
        <v>110</v>
      </c>
      <c r="L218" t="str">
        <f>"PTPRB"</f>
        <v>PTPRB</v>
      </c>
      <c r="M218" t="str">
        <f>""</f>
        <v/>
      </c>
      <c r="O218" t="s">
        <v>777</v>
      </c>
      <c r="P218" t="str">
        <f>"47%"</f>
        <v>47%</v>
      </c>
      <c r="Q218" t="str">
        <f>"-0.00"</f>
        <v>-0.00</v>
      </c>
      <c r="S218" t="s">
        <v>40</v>
      </c>
      <c r="T218" t="s">
        <v>1877</v>
      </c>
      <c r="U218" t="str">
        <f>"7.7700%"</f>
        <v>7.7700%</v>
      </c>
      <c r="V218" t="str">
        <f>"5.5100%"</f>
        <v>5.5100%</v>
      </c>
      <c r="W218" t="str">
        <f>"5.3100%"</f>
        <v>5.3100%</v>
      </c>
      <c r="X218" t="str">
        <f>"1.9768%"</f>
        <v>1.9768%</v>
      </c>
      <c r="Y218" t="s">
        <v>1878</v>
      </c>
      <c r="Z218" t="str">
        <f>"5.4740%"</f>
        <v>5.4740%</v>
      </c>
      <c r="AA218" t="str">
        <f>"5.4740%"</f>
        <v>5.4740%</v>
      </c>
      <c r="AE218" t="str">
        <f>"1.822"</f>
        <v>1.822</v>
      </c>
    </row>
    <row r="219" spans="1:31" x14ac:dyDescent="0.3">
      <c r="A219" s="1" t="s">
        <v>1879</v>
      </c>
      <c r="B219" t="s">
        <v>58</v>
      </c>
      <c r="C219" t="s">
        <v>1880</v>
      </c>
      <c r="D219" t="s">
        <v>36</v>
      </c>
      <c r="E219" t="s">
        <v>35</v>
      </c>
      <c r="F219" t="s">
        <v>37</v>
      </c>
      <c r="G219" t="str">
        <f t="shared" si="20"/>
        <v>11000</v>
      </c>
      <c r="H219" t="s">
        <v>1881</v>
      </c>
      <c r="I219" t="str">
        <f>"100%"</f>
        <v>100%</v>
      </c>
      <c r="J219" t="str">
        <f>"-0.03"</f>
        <v>-0.03</v>
      </c>
      <c r="K219" t="str">
        <f t="shared" si="21"/>
        <v>110</v>
      </c>
      <c r="L219" t="str">
        <f>"NUTM1 p.P22L"</f>
        <v>NUTM1 p.P22L</v>
      </c>
      <c r="M219" t="str">
        <f>"NM_175741"</f>
        <v>NM_175741</v>
      </c>
      <c r="O219" t="s">
        <v>1882</v>
      </c>
      <c r="P219" t="str">
        <f>"100%"</f>
        <v>100%</v>
      </c>
      <c r="Q219" t="str">
        <f>"-0.00"</f>
        <v>-0.00</v>
      </c>
      <c r="S219" t="s">
        <v>40</v>
      </c>
      <c r="T219" t="s">
        <v>1883</v>
      </c>
      <c r="U219" t="str">
        <f>"96.3500%"</f>
        <v>96.3500%</v>
      </c>
      <c r="V219" t="str">
        <f>"97.1200%"</f>
        <v>97.1200%</v>
      </c>
      <c r="W219" t="str">
        <f>"87.0800%"</f>
        <v>87.0800%</v>
      </c>
      <c r="X219" t="str">
        <f>"87.7796%"</f>
        <v>87.7796%</v>
      </c>
      <c r="Y219" t="s">
        <v>1884</v>
      </c>
      <c r="Z219" t="str">
        <f>"97.5030%"</f>
        <v>97.5030%</v>
      </c>
      <c r="AA219" t="str">
        <f>"97.5030%"</f>
        <v>97.5030%</v>
      </c>
      <c r="AC219" t="s">
        <v>1885</v>
      </c>
      <c r="AE219" t="str">
        <f>"0.468"</f>
        <v>0.468</v>
      </c>
    </row>
    <row r="220" spans="1:31" x14ac:dyDescent="0.3">
      <c r="A220" s="1" t="s">
        <v>1886</v>
      </c>
      <c r="B220" t="s">
        <v>330</v>
      </c>
      <c r="C220" t="s">
        <v>1887</v>
      </c>
      <c r="D220" t="s">
        <v>35</v>
      </c>
      <c r="E220" t="s">
        <v>36</v>
      </c>
      <c r="F220" t="s">
        <v>37</v>
      </c>
      <c r="G220" t="str">
        <f t="shared" si="20"/>
        <v>11000</v>
      </c>
      <c r="H220" t="s">
        <v>1888</v>
      </c>
      <c r="I220" t="str">
        <f>"49%"</f>
        <v>49%</v>
      </c>
      <c r="J220" t="str">
        <f>"0.05"</f>
        <v>0.05</v>
      </c>
      <c r="K220" t="str">
        <f t="shared" si="21"/>
        <v>110</v>
      </c>
      <c r="L220" t="str">
        <f>"AURKA p.I57V"</f>
        <v>AURKA p.I57V</v>
      </c>
      <c r="M220" t="str">
        <f>"NM_198433"</f>
        <v>NM_198433</v>
      </c>
      <c r="O220" t="s">
        <v>1889</v>
      </c>
      <c r="P220" t="str">
        <f>"46%"</f>
        <v>46%</v>
      </c>
      <c r="Q220" t="str">
        <f>"-0.01"</f>
        <v>-0.01</v>
      </c>
      <c r="S220" t="s">
        <v>40</v>
      </c>
      <c r="T220" t="s">
        <v>1890</v>
      </c>
      <c r="U220" t="str">
        <f>"84.8200%"</f>
        <v>84.8200%</v>
      </c>
      <c r="V220" t="str">
        <f>"85.0600%"</f>
        <v>85.0600%</v>
      </c>
      <c r="W220" t="str">
        <f>"83.7800%"</f>
        <v>83.7800%</v>
      </c>
      <c r="X220" t="str">
        <f>"84.9840%"</f>
        <v>84.9840%</v>
      </c>
      <c r="Y220" t="s">
        <v>1891</v>
      </c>
      <c r="Z220" t="str">
        <f>"85.5700%"</f>
        <v>85.5700%</v>
      </c>
      <c r="AA220" t="str">
        <f>"85.5470%"</f>
        <v>85.5470%</v>
      </c>
      <c r="AC220" t="s">
        <v>1892</v>
      </c>
      <c r="AE220" t="str">
        <f>"0.006"</f>
        <v>0.006</v>
      </c>
    </row>
    <row r="221" spans="1:31" x14ac:dyDescent="0.3">
      <c r="A221" s="1" t="s">
        <v>1893</v>
      </c>
      <c r="B221" t="s">
        <v>120</v>
      </c>
      <c r="C221" t="s">
        <v>1894</v>
      </c>
      <c r="D221" t="s">
        <v>36</v>
      </c>
      <c r="E221" t="s">
        <v>50</v>
      </c>
      <c r="F221" t="s">
        <v>37</v>
      </c>
      <c r="G221" t="str">
        <f t="shared" si="20"/>
        <v>11000</v>
      </c>
      <c r="H221" t="s">
        <v>1895</v>
      </c>
      <c r="I221" t="str">
        <f>"49%"</f>
        <v>49%</v>
      </c>
      <c r="J221" t="str">
        <f>"-0.03"</f>
        <v>-0.03</v>
      </c>
      <c r="K221" t="str">
        <f t="shared" si="21"/>
        <v>110</v>
      </c>
      <c r="L221" t="str">
        <f>"RIT1 p.E11Q"</f>
        <v>RIT1 p.E11Q</v>
      </c>
      <c r="M221" t="str">
        <f>"NM_001256821"</f>
        <v>NM_001256821</v>
      </c>
      <c r="O221" t="s">
        <v>1896</v>
      </c>
      <c r="P221" t="str">
        <f>"49%"</f>
        <v>49%</v>
      </c>
      <c r="Q221" t="str">
        <f>"-0.00"</f>
        <v>-0.00</v>
      </c>
      <c r="S221" t="s">
        <v>40</v>
      </c>
      <c r="T221" t="s">
        <v>1897</v>
      </c>
      <c r="U221" t="str">
        <f>"87.7500%"</f>
        <v>87.7500%</v>
      </c>
      <c r="V221" t="str">
        <f>"88.6700%"</f>
        <v>88.6700%</v>
      </c>
      <c r="W221" t="str">
        <f>"79.5200%"</f>
        <v>79.5200%</v>
      </c>
      <c r="X221" t="str">
        <f>"77.9952%"</f>
        <v>77.9952%</v>
      </c>
      <c r="Y221" t="s">
        <v>1898</v>
      </c>
      <c r="Z221" t="str">
        <f>"90.8610%"</f>
        <v>90.8610%</v>
      </c>
      <c r="AA221" t="str">
        <f>"90.8610%"</f>
        <v>90.8610%</v>
      </c>
      <c r="AD221" t="s">
        <v>1899</v>
      </c>
      <c r="AE221" t="str">
        <f>"0.027"</f>
        <v>0.027</v>
      </c>
    </row>
    <row r="222" spans="1:31" x14ac:dyDescent="0.3">
      <c r="A222" s="1" t="s">
        <v>1900</v>
      </c>
      <c r="B222" t="s">
        <v>626</v>
      </c>
      <c r="C222" t="s">
        <v>1901</v>
      </c>
      <c r="D222" t="s">
        <v>36</v>
      </c>
      <c r="E222" t="s">
        <v>35</v>
      </c>
      <c r="F222" t="s">
        <v>37</v>
      </c>
      <c r="G222" t="str">
        <f t="shared" si="20"/>
        <v>11000</v>
      </c>
      <c r="H222" t="s">
        <v>1902</v>
      </c>
      <c r="I222" t="str">
        <f>"49%"</f>
        <v>49%</v>
      </c>
      <c r="J222" t="str">
        <f>"0.04"</f>
        <v>0.04</v>
      </c>
      <c r="K222" t="str">
        <f t="shared" si="21"/>
        <v>110</v>
      </c>
      <c r="L222" t="str">
        <f>"PRKDC exonic UNKNOWN"</f>
        <v>PRKDC exonic UNKNOWN</v>
      </c>
      <c r="M222" t="str">
        <f>""</f>
        <v/>
      </c>
      <c r="O222" t="s">
        <v>703</v>
      </c>
      <c r="P222" t="str">
        <f>"51%"</f>
        <v>51%</v>
      </c>
      <c r="Q222" t="str">
        <f>"-0.00"</f>
        <v>-0.00</v>
      </c>
      <c r="S222" t="s">
        <v>831</v>
      </c>
      <c r="T222" t="s">
        <v>832</v>
      </c>
      <c r="U222" t="str">
        <f>"3.2500%"</f>
        <v>3.2500%</v>
      </c>
      <c r="V222" t="str">
        <f>"3.3300%"</f>
        <v>3.3300%</v>
      </c>
      <c r="W222" t="str">
        <f>"3.2600%"</f>
        <v>3.2600%</v>
      </c>
      <c r="X222" t="str">
        <f>"1.7372%"</f>
        <v>1.7372%</v>
      </c>
      <c r="Y222" t="s">
        <v>1903</v>
      </c>
      <c r="Z222" t="str">
        <f>"4.2600%"</f>
        <v>4.2600%</v>
      </c>
      <c r="AA222" t="str">
        <f>"4.2600%"</f>
        <v>4.2600%</v>
      </c>
      <c r="AC222" t="s">
        <v>1904</v>
      </c>
      <c r="AD222" t="s">
        <v>1905</v>
      </c>
      <c r="AE222" t="str">
        <f>"9.454"</f>
        <v>9.454</v>
      </c>
    </row>
    <row r="223" spans="1:31" x14ac:dyDescent="0.3">
      <c r="A223" s="1" t="s">
        <v>1906</v>
      </c>
      <c r="B223" t="s">
        <v>58</v>
      </c>
      <c r="C223" t="s">
        <v>1907</v>
      </c>
      <c r="D223" t="s">
        <v>82</v>
      </c>
      <c r="E223" t="s">
        <v>35</v>
      </c>
      <c r="F223" t="s">
        <v>37</v>
      </c>
      <c r="G223" t="str">
        <f t="shared" si="20"/>
        <v>11000</v>
      </c>
      <c r="H223" t="s">
        <v>1908</v>
      </c>
      <c r="I223" t="str">
        <f>"100%"</f>
        <v>100%</v>
      </c>
      <c r="J223" t="str">
        <f>"-0.03"</f>
        <v>-0.03</v>
      </c>
      <c r="K223" t="str">
        <f t="shared" si="21"/>
        <v>110</v>
      </c>
      <c r="L223" t="str">
        <f>"MGA"</f>
        <v>MGA</v>
      </c>
      <c r="M223" t="str">
        <f>""</f>
        <v/>
      </c>
      <c r="O223" t="s">
        <v>1909</v>
      </c>
      <c r="P223" t="str">
        <f>"100%"</f>
        <v>100%</v>
      </c>
      <c r="Q223" t="str">
        <f>"-0.00"</f>
        <v>-0.00</v>
      </c>
      <c r="S223" t="s">
        <v>40</v>
      </c>
      <c r="T223" t="s">
        <v>1910</v>
      </c>
      <c r="U223" t="str">
        <f>"81.9700%"</f>
        <v>81.9700%</v>
      </c>
      <c r="V223" t="str">
        <f>"82.2700%"</f>
        <v>82.2700%</v>
      </c>
      <c r="W223" t="str">
        <f>"74.6100%"</f>
        <v>74.6100%</v>
      </c>
      <c r="X223" t="str">
        <f>"75.9385%"</f>
        <v>75.9385%</v>
      </c>
      <c r="Y223" t="s">
        <v>1911</v>
      </c>
      <c r="Z223" t="str">
        <f>"81.8830%"</f>
        <v>81.8830%</v>
      </c>
      <c r="AA223" t="str">
        <f>"81.8830%"</f>
        <v>81.8830%</v>
      </c>
      <c r="AC223" t="s">
        <v>1912</v>
      </c>
      <c r="AE223" t="str">
        <f>"1.588"</f>
        <v>1.588</v>
      </c>
    </row>
    <row r="224" spans="1:31" x14ac:dyDescent="0.3">
      <c r="A224" s="1" t="s">
        <v>1913</v>
      </c>
      <c r="B224" t="s">
        <v>219</v>
      </c>
      <c r="C224" t="s">
        <v>1914</v>
      </c>
      <c r="D224" t="s">
        <v>1915</v>
      </c>
      <c r="E224" t="s">
        <v>1916</v>
      </c>
      <c r="F224" t="s">
        <v>37</v>
      </c>
      <c r="G224" t="str">
        <f>"10000"</f>
        <v>10000</v>
      </c>
      <c r="H224" t="s">
        <v>1917</v>
      </c>
      <c r="I224" t="str">
        <f>"44%"</f>
        <v>44%</v>
      </c>
      <c r="J224" t="str">
        <f>"-0.02"</f>
        <v>-0.02</v>
      </c>
      <c r="K224" t="str">
        <f>"100"</f>
        <v>100</v>
      </c>
      <c r="L224" t="str">
        <f>"OR5L1 c.45_49CGGAT"</f>
        <v>OR5L1 c.45_49CGGAT</v>
      </c>
      <c r="M224" t="str">
        <f>"NM_001004738"</f>
        <v>NM_001004738</v>
      </c>
      <c r="O224" t="s">
        <v>222</v>
      </c>
      <c r="P224" t="str">
        <f>"46%"</f>
        <v>46%</v>
      </c>
      <c r="Q224" t="str">
        <f>"-0.01"</f>
        <v>-0.01</v>
      </c>
      <c r="S224" t="s">
        <v>77</v>
      </c>
      <c r="T224" t="s">
        <v>1918</v>
      </c>
      <c r="U224" t="str">
        <f>""</f>
        <v/>
      </c>
      <c r="V224" t="str">
        <f>""</f>
        <v/>
      </c>
      <c r="W224" t="str">
        <f>""</f>
        <v/>
      </c>
      <c r="X224" t="str">
        <f>""</f>
        <v/>
      </c>
      <c r="Y224" t="s">
        <v>1919</v>
      </c>
      <c r="Z224" t="str">
        <f>"7.7190%"</f>
        <v>7.7190%</v>
      </c>
      <c r="AA224" t="str">
        <f>"7.7190%"</f>
        <v>7.7190%</v>
      </c>
      <c r="AE224" t="str">
        <f>""</f>
        <v/>
      </c>
    </row>
    <row r="225" spans="1:31" x14ac:dyDescent="0.3">
      <c r="A225" s="1" t="s">
        <v>1920</v>
      </c>
      <c r="B225" t="s">
        <v>120</v>
      </c>
      <c r="C225" t="s">
        <v>1921</v>
      </c>
      <c r="D225" t="s">
        <v>82</v>
      </c>
      <c r="E225" t="s">
        <v>36</v>
      </c>
      <c r="F225" t="s">
        <v>129</v>
      </c>
      <c r="G225" t="str">
        <f>"11000"</f>
        <v>11000</v>
      </c>
      <c r="H225" t="s">
        <v>1922</v>
      </c>
      <c r="I225" t="str">
        <f>"100%"</f>
        <v>100%</v>
      </c>
      <c r="J225" t="str">
        <f>"-0.00"</f>
        <v>-0.00</v>
      </c>
      <c r="K225" t="str">
        <f>"110"</f>
        <v>110</v>
      </c>
      <c r="L225" t="str">
        <f>"DIEXF"</f>
        <v>DIEXF</v>
      </c>
      <c r="M225" t="str">
        <f>""</f>
        <v/>
      </c>
      <c r="O225" t="s">
        <v>1369</v>
      </c>
      <c r="P225" t="str">
        <f>"100%"</f>
        <v>100%</v>
      </c>
      <c r="Q225" t="str">
        <f>"-0.00"</f>
        <v>-0.00</v>
      </c>
      <c r="R225" t="s">
        <v>1923</v>
      </c>
      <c r="U225" t="str">
        <f>""</f>
        <v/>
      </c>
      <c r="V225" t="str">
        <f>""</f>
        <v/>
      </c>
      <c r="W225" t="str">
        <f>""</f>
        <v/>
      </c>
      <c r="X225" t="str">
        <f>"46.6254%"</f>
        <v>46.6254%</v>
      </c>
      <c r="Y225" t="s">
        <v>1924</v>
      </c>
      <c r="Z225" t="str">
        <f>"47.4580%"</f>
        <v>47.4580%</v>
      </c>
      <c r="AA225" t="str">
        <f>"47.4810%"</f>
        <v>47.4810%</v>
      </c>
      <c r="AE225" t="str">
        <f>""</f>
        <v/>
      </c>
    </row>
    <row r="226" spans="1:31" x14ac:dyDescent="0.3">
      <c r="A226" s="1" t="s">
        <v>692</v>
      </c>
      <c r="B226" t="s">
        <v>65</v>
      </c>
      <c r="C226" t="s">
        <v>693</v>
      </c>
      <c r="D226" t="s">
        <v>1925</v>
      </c>
      <c r="E226" t="s">
        <v>1926</v>
      </c>
      <c r="F226" t="s">
        <v>37</v>
      </c>
      <c r="G226" t="str">
        <f>"10000"</f>
        <v>10000</v>
      </c>
      <c r="H226" t="s">
        <v>286</v>
      </c>
      <c r="I226" t="str">
        <f>"47%"</f>
        <v>47%</v>
      </c>
      <c r="J226" t="str">
        <f>"-0.00"</f>
        <v>-0.00</v>
      </c>
      <c r="K226" t="str">
        <f>"100"</f>
        <v>100</v>
      </c>
      <c r="L226" t="str">
        <f>"ROS1 c.6682_6686CAGTG"</f>
        <v>ROS1 c.6682_6686CAGTG</v>
      </c>
      <c r="M226" t="str">
        <f>"NM_002944"</f>
        <v>NM_002944</v>
      </c>
      <c r="O226" t="s">
        <v>1927</v>
      </c>
      <c r="P226" t="str">
        <f>"46%"</f>
        <v>46%</v>
      </c>
      <c r="Q226" t="str">
        <f>"-0.00"</f>
        <v>-0.00</v>
      </c>
      <c r="S226" t="s">
        <v>77</v>
      </c>
      <c r="T226" t="s">
        <v>1928</v>
      </c>
      <c r="U226" t="str">
        <f>""</f>
        <v/>
      </c>
      <c r="V226" t="str">
        <f>""</f>
        <v/>
      </c>
      <c r="W226" t="str">
        <f>""</f>
        <v/>
      </c>
      <c r="X226" t="str">
        <f>""</f>
        <v/>
      </c>
      <c r="Z226" t="str">
        <f>"21.1860%"</f>
        <v>21.1860%</v>
      </c>
      <c r="AA226" t="str">
        <f>"21.1640%"</f>
        <v>21.1640%</v>
      </c>
      <c r="AE226" t="str">
        <f>""</f>
        <v/>
      </c>
    </row>
    <row r="227" spans="1:31" x14ac:dyDescent="0.3">
      <c r="A227" s="1" t="s">
        <v>1929</v>
      </c>
      <c r="B227" t="s">
        <v>88</v>
      </c>
      <c r="C227" t="s">
        <v>1930</v>
      </c>
      <c r="D227" t="s">
        <v>1931</v>
      </c>
      <c r="E227" t="s">
        <v>1932</v>
      </c>
      <c r="F227" t="s">
        <v>37</v>
      </c>
      <c r="G227" t="str">
        <f>"01000"</f>
        <v>01000</v>
      </c>
      <c r="H227" t="s">
        <v>1933</v>
      </c>
      <c r="I227" t="str">
        <f>"43%"</f>
        <v>43%</v>
      </c>
      <c r="J227" t="str">
        <f>"-0.01"</f>
        <v>-0.01</v>
      </c>
      <c r="K227" t="str">
        <f>"010"</f>
        <v>010</v>
      </c>
      <c r="L227" t="str">
        <f>"UGT1A7 c.391_392AA"</f>
        <v>UGT1A7 c.391_392AA</v>
      </c>
      <c r="M227" t="str">
        <f>"NM_019077"</f>
        <v>NM_019077</v>
      </c>
      <c r="O227" t="s">
        <v>1934</v>
      </c>
      <c r="P227" t="str">
        <f>"52%"</f>
        <v>52%</v>
      </c>
      <c r="Q227" t="str">
        <f>"-0.01"</f>
        <v>-0.01</v>
      </c>
      <c r="S227" t="s">
        <v>77</v>
      </c>
      <c r="T227" t="s">
        <v>1935</v>
      </c>
      <c r="U227" t="str">
        <f>""</f>
        <v/>
      </c>
      <c r="V227" t="str">
        <f>""</f>
        <v/>
      </c>
      <c r="W227" t="str">
        <f>""</f>
        <v/>
      </c>
      <c r="X227" t="str">
        <f>""</f>
        <v/>
      </c>
      <c r="Y227" t="s">
        <v>1936</v>
      </c>
      <c r="Z227" t="str">
        <f>"55.9320%"</f>
        <v>55.9320%</v>
      </c>
      <c r="AA227" t="str">
        <f>"55.9550%"</f>
        <v>55.9550%</v>
      </c>
      <c r="AE227" t="str">
        <f>""</f>
        <v/>
      </c>
    </row>
    <row r="228" spans="1:31" x14ac:dyDescent="0.3">
      <c r="A228" s="1" t="s">
        <v>1937</v>
      </c>
      <c r="B228" t="s">
        <v>274</v>
      </c>
      <c r="C228" t="s">
        <v>1938</v>
      </c>
      <c r="D228" t="s">
        <v>35</v>
      </c>
      <c r="E228" t="s">
        <v>36</v>
      </c>
      <c r="F228" t="s">
        <v>37</v>
      </c>
      <c r="G228" t="str">
        <f t="shared" ref="G228:G234" si="22">"11000"</f>
        <v>11000</v>
      </c>
      <c r="H228" t="s">
        <v>1135</v>
      </c>
      <c r="I228" t="str">
        <f>"46%"</f>
        <v>46%</v>
      </c>
      <c r="J228" t="str">
        <f>"-0.02"</f>
        <v>-0.02</v>
      </c>
      <c r="K228" t="str">
        <f t="shared" ref="K228:K234" si="23">"110"</f>
        <v>110</v>
      </c>
      <c r="L228" t="str">
        <f>"FANCA p.T266A"</f>
        <v>FANCA p.T266A</v>
      </c>
      <c r="M228" t="str">
        <f>"NM_000135"</f>
        <v>NM_000135</v>
      </c>
      <c r="O228" t="s">
        <v>1939</v>
      </c>
      <c r="P228" t="str">
        <f>"47%"</f>
        <v>47%</v>
      </c>
      <c r="Q228" t="str">
        <f>"-0.00"</f>
        <v>-0.00</v>
      </c>
      <c r="S228" t="s">
        <v>40</v>
      </c>
      <c r="T228" t="s">
        <v>1940</v>
      </c>
      <c r="U228" t="str">
        <f>"51.6600%"</f>
        <v>51.6600%</v>
      </c>
      <c r="V228" t="str">
        <f>"51.9200%"</f>
        <v>51.9200%</v>
      </c>
      <c r="W228" t="str">
        <f>"50.6000%"</f>
        <v>50.6000%</v>
      </c>
      <c r="X228" t="str">
        <f>"69.0495%"</f>
        <v>69.0495%</v>
      </c>
      <c r="Y228" t="s">
        <v>1941</v>
      </c>
      <c r="Z228" t="str">
        <f>"52.4050%"</f>
        <v>52.4050%</v>
      </c>
      <c r="AA228" t="str">
        <f>"52.4510%"</f>
        <v>52.4510%</v>
      </c>
      <c r="AC228" t="s">
        <v>1942</v>
      </c>
      <c r="AD228" t="s">
        <v>1943</v>
      </c>
      <c r="AE228" t="str">
        <f>"0.399"</f>
        <v>0.399</v>
      </c>
    </row>
    <row r="229" spans="1:31" x14ac:dyDescent="0.3">
      <c r="A229" s="1" t="s">
        <v>1944</v>
      </c>
      <c r="B229" t="s">
        <v>113</v>
      </c>
      <c r="C229" t="s">
        <v>1945</v>
      </c>
      <c r="D229" t="s">
        <v>35</v>
      </c>
      <c r="E229" t="s">
        <v>36</v>
      </c>
      <c r="F229" t="s">
        <v>129</v>
      </c>
      <c r="G229" t="str">
        <f t="shared" si="22"/>
        <v>11000</v>
      </c>
      <c r="H229" t="s">
        <v>1946</v>
      </c>
      <c r="I229" t="str">
        <f>"44%"</f>
        <v>44%</v>
      </c>
      <c r="J229" t="str">
        <f>"-0.08"</f>
        <v>-0.08</v>
      </c>
      <c r="K229" t="str">
        <f t="shared" si="23"/>
        <v>110</v>
      </c>
      <c r="L229" t="str">
        <f>"MIR515-1;MIR515-2;MIR519E"</f>
        <v>MIR515-1;MIR515-2;MIR519E</v>
      </c>
      <c r="M229" t="str">
        <f>""</f>
        <v/>
      </c>
      <c r="O229" t="s">
        <v>1939</v>
      </c>
      <c r="P229" t="str">
        <f>"50%"</f>
        <v>50%</v>
      </c>
      <c r="Q229" t="str">
        <f>"-0.01"</f>
        <v>-0.01</v>
      </c>
      <c r="R229" t="s">
        <v>1947</v>
      </c>
      <c r="U229" t="str">
        <f>"22.5700%"</f>
        <v>22.5700%</v>
      </c>
      <c r="V229" t="str">
        <f>"21.8700%"</f>
        <v>21.8700%</v>
      </c>
      <c r="W229" t="str">
        <f>"27.4500%"</f>
        <v>27.4500%</v>
      </c>
      <c r="X229" t="str">
        <f>"28.5343%"</f>
        <v>28.5343%</v>
      </c>
      <c r="Y229" t="s">
        <v>1948</v>
      </c>
      <c r="Z229" t="str">
        <f>"20.4760%"</f>
        <v>20.4760%</v>
      </c>
      <c r="AA229" t="str">
        <f>"20.4990%"</f>
        <v>20.4990%</v>
      </c>
      <c r="AE229" t="str">
        <f>""</f>
        <v/>
      </c>
    </row>
    <row r="230" spans="1:31" x14ac:dyDescent="0.3">
      <c r="A230" s="1" t="s">
        <v>1949</v>
      </c>
      <c r="B230" t="s">
        <v>283</v>
      </c>
      <c r="C230" t="s">
        <v>1950</v>
      </c>
      <c r="D230" t="s">
        <v>36</v>
      </c>
      <c r="E230" t="s">
        <v>35</v>
      </c>
      <c r="F230" t="s">
        <v>129</v>
      </c>
      <c r="G230" t="str">
        <f t="shared" si="22"/>
        <v>11000</v>
      </c>
      <c r="H230" t="s">
        <v>1951</v>
      </c>
      <c r="I230" t="str">
        <f>"100%"</f>
        <v>100%</v>
      </c>
      <c r="J230" t="str">
        <f>"0.07"</f>
        <v>0.07</v>
      </c>
      <c r="K230" t="str">
        <f t="shared" si="23"/>
        <v>110</v>
      </c>
      <c r="L230" t="str">
        <f>"CYP3A4"</f>
        <v>CYP3A4</v>
      </c>
      <c r="M230" t="str">
        <f>""</f>
        <v/>
      </c>
      <c r="O230" t="s">
        <v>1952</v>
      </c>
      <c r="P230" t="str">
        <f>"100%"</f>
        <v>100%</v>
      </c>
      <c r="Q230" t="str">
        <f>"-0.02"</f>
        <v>-0.02</v>
      </c>
      <c r="R230" t="s">
        <v>1953</v>
      </c>
      <c r="U230" t="str">
        <f>""</f>
        <v/>
      </c>
      <c r="V230" t="str">
        <f>""</f>
        <v/>
      </c>
      <c r="W230" t="str">
        <f>""</f>
        <v/>
      </c>
      <c r="X230" t="str">
        <f>"76.9169%"</f>
        <v>76.9169%</v>
      </c>
      <c r="Y230" t="s">
        <v>1954</v>
      </c>
      <c r="Z230" t="str">
        <f>"92.8310%"</f>
        <v>92.8310%</v>
      </c>
      <c r="AA230" t="str">
        <f>"92.7850%"</f>
        <v>92.7850%</v>
      </c>
      <c r="AD230" t="s">
        <v>1955</v>
      </c>
      <c r="AE230" t="str">
        <f>""</f>
        <v/>
      </c>
    </row>
    <row r="231" spans="1:31" x14ac:dyDescent="0.3">
      <c r="A231" s="1" t="s">
        <v>1956</v>
      </c>
      <c r="B231" t="s">
        <v>683</v>
      </c>
      <c r="C231" t="s">
        <v>1957</v>
      </c>
      <c r="D231" t="s">
        <v>36</v>
      </c>
      <c r="E231" t="s">
        <v>82</v>
      </c>
      <c r="F231" t="s">
        <v>37</v>
      </c>
      <c r="G231" t="str">
        <f t="shared" si="22"/>
        <v>11000</v>
      </c>
      <c r="H231" t="s">
        <v>1958</v>
      </c>
      <c r="I231" t="str">
        <f>"50%"</f>
        <v>50%</v>
      </c>
      <c r="J231" t="str">
        <f>"-0.03"</f>
        <v>-0.03</v>
      </c>
      <c r="K231" t="str">
        <f t="shared" si="23"/>
        <v>110</v>
      </c>
      <c r="L231" t="str">
        <f>"ESPL1 p.A25D"</f>
        <v>ESPL1 p.A25D</v>
      </c>
      <c r="M231" t="str">
        <f>"NM_012291"</f>
        <v>NM_012291</v>
      </c>
      <c r="O231" t="s">
        <v>1959</v>
      </c>
      <c r="P231" t="str">
        <f>"48%"</f>
        <v>48%</v>
      </c>
      <c r="Q231" t="str">
        <f>"-0.00"</f>
        <v>-0.00</v>
      </c>
      <c r="S231" t="s">
        <v>40</v>
      </c>
      <c r="T231" t="s">
        <v>1960</v>
      </c>
      <c r="U231" t="str">
        <f>"77.6600%"</f>
        <v>77.6600%</v>
      </c>
      <c r="V231" t="str">
        <f>"77.1100%"</f>
        <v>77.1100%</v>
      </c>
      <c r="W231" t="str">
        <f>"76.6600%"</f>
        <v>76.6600%</v>
      </c>
      <c r="X231" t="str">
        <f>"88.8379%"</f>
        <v>88.8379%</v>
      </c>
      <c r="Y231" t="s">
        <v>1961</v>
      </c>
      <c r="Z231" t="str">
        <f>"77.8740%"</f>
        <v>77.8740%</v>
      </c>
      <c r="AA231" t="str">
        <f>"77.8740%"</f>
        <v>77.8740%</v>
      </c>
      <c r="AC231" t="s">
        <v>1962</v>
      </c>
      <c r="AE231" t="str">
        <f>"1.127"</f>
        <v>1.127</v>
      </c>
    </row>
    <row r="232" spans="1:31" x14ac:dyDescent="0.3">
      <c r="A232" s="1" t="s">
        <v>1963</v>
      </c>
      <c r="B232" t="s">
        <v>58</v>
      </c>
      <c r="C232" t="s">
        <v>1964</v>
      </c>
      <c r="D232" t="s">
        <v>82</v>
      </c>
      <c r="E232" t="s">
        <v>50</v>
      </c>
      <c r="F232" t="s">
        <v>37</v>
      </c>
      <c r="G232" t="str">
        <f t="shared" si="22"/>
        <v>11000</v>
      </c>
      <c r="H232" t="s">
        <v>1965</v>
      </c>
      <c r="I232" t="str">
        <f>"48%"</f>
        <v>48%</v>
      </c>
      <c r="J232" t="str">
        <f>"-0.03"</f>
        <v>-0.03</v>
      </c>
      <c r="K232" t="str">
        <f t="shared" si="23"/>
        <v>110</v>
      </c>
      <c r="L232" t="str">
        <f>"KNSTRN p.S232G"</f>
        <v>KNSTRN p.S232G</v>
      </c>
      <c r="M232" t="str">
        <f>"NM_033286"</f>
        <v>NM_033286</v>
      </c>
      <c r="O232" t="s">
        <v>1959</v>
      </c>
      <c r="P232" t="str">
        <f>"42%"</f>
        <v>42%</v>
      </c>
      <c r="Q232" t="str">
        <f>"-0.00"</f>
        <v>-0.00</v>
      </c>
      <c r="S232" t="s">
        <v>40</v>
      </c>
      <c r="T232" t="s">
        <v>1966</v>
      </c>
      <c r="U232" t="str">
        <f>"7.4300%"</f>
        <v>7.4300%</v>
      </c>
      <c r="V232" t="str">
        <f>"7.5000%"</f>
        <v>7.5000%</v>
      </c>
      <c r="W232" t="str">
        <f>"7.8100%"</f>
        <v>7.8100%</v>
      </c>
      <c r="X232" t="str">
        <f>"2.8754%"</f>
        <v>2.8754%</v>
      </c>
      <c r="Y232" t="s">
        <v>1967</v>
      </c>
      <c r="Z232" t="str">
        <f>"8.3600%"</f>
        <v>8.3600%</v>
      </c>
      <c r="AA232" t="str">
        <f>"8.3830%"</f>
        <v>8.3830%</v>
      </c>
      <c r="AC232" t="s">
        <v>1968</v>
      </c>
      <c r="AE232" t="str">
        <f>"10.95"</f>
        <v>10.95</v>
      </c>
    </row>
    <row r="233" spans="1:31" x14ac:dyDescent="0.3">
      <c r="A233" s="1" t="s">
        <v>1969</v>
      </c>
      <c r="B233" t="s">
        <v>320</v>
      </c>
      <c r="C233" t="s">
        <v>1970</v>
      </c>
      <c r="D233" t="s">
        <v>36</v>
      </c>
      <c r="E233" t="s">
        <v>50</v>
      </c>
      <c r="F233" t="s">
        <v>37</v>
      </c>
      <c r="G233" t="str">
        <f t="shared" si="22"/>
        <v>11000</v>
      </c>
      <c r="H233" t="s">
        <v>478</v>
      </c>
      <c r="I233" t="str">
        <f>"100%"</f>
        <v>100%</v>
      </c>
      <c r="J233" t="str">
        <f>"0.19"</f>
        <v>0.19</v>
      </c>
      <c r="K233" t="str">
        <f t="shared" si="23"/>
        <v>110</v>
      </c>
      <c r="L233" t="str">
        <f>"FAT1 p.K4059N"</f>
        <v>FAT1 p.K4059N</v>
      </c>
      <c r="M233" t="str">
        <f>"NM_005245"</f>
        <v>NM_005245</v>
      </c>
      <c r="O233" t="s">
        <v>769</v>
      </c>
      <c r="P233" t="str">
        <f>"100%"</f>
        <v>100%</v>
      </c>
      <c r="Q233" t="str">
        <f>"-0.01"</f>
        <v>-0.01</v>
      </c>
      <c r="S233" t="s">
        <v>40</v>
      </c>
      <c r="T233" t="s">
        <v>1971</v>
      </c>
      <c r="U233" t="str">
        <f>"99.5300%"</f>
        <v>99.5300%</v>
      </c>
      <c r="V233" t="str">
        <f>"99.5300%"</f>
        <v>99.5300%</v>
      </c>
      <c r="W233" t="str">
        <f>"99.5200%"</f>
        <v>99.5200%</v>
      </c>
      <c r="X233" t="str">
        <f>"99.7404%"</f>
        <v>99.7404%</v>
      </c>
      <c r="Y233" t="s">
        <v>1972</v>
      </c>
      <c r="Z233" t="str">
        <f>"99.5880%"</f>
        <v>99.5880%</v>
      </c>
      <c r="AA233" t="str">
        <f>"99.5880%"</f>
        <v>99.5880%</v>
      </c>
      <c r="AC233" t="s">
        <v>1973</v>
      </c>
      <c r="AE233" t="str">
        <f>"0.016"</f>
        <v>0.016</v>
      </c>
    </row>
    <row r="234" spans="1:31" x14ac:dyDescent="0.3">
      <c r="A234" s="1" t="s">
        <v>1974</v>
      </c>
      <c r="B234" t="s">
        <v>209</v>
      </c>
      <c r="C234" t="s">
        <v>1975</v>
      </c>
      <c r="D234" t="s">
        <v>36</v>
      </c>
      <c r="E234" t="s">
        <v>35</v>
      </c>
      <c r="F234" t="s">
        <v>37</v>
      </c>
      <c r="G234" t="str">
        <f t="shared" si="22"/>
        <v>11000</v>
      </c>
      <c r="H234" t="s">
        <v>91</v>
      </c>
      <c r="I234" t="str">
        <f>"50%"</f>
        <v>50%</v>
      </c>
      <c r="J234" t="str">
        <f>"0.00"</f>
        <v>0.00</v>
      </c>
      <c r="K234" t="str">
        <f t="shared" si="23"/>
        <v>110</v>
      </c>
      <c r="L234" t="str">
        <f>"MAP3K9 p.R546H"</f>
        <v>MAP3K9 p.R546H</v>
      </c>
      <c r="M234" t="str">
        <f>"NM_033141"</f>
        <v>NM_033141</v>
      </c>
      <c r="O234" t="s">
        <v>1976</v>
      </c>
      <c r="P234" t="str">
        <f>"49%"</f>
        <v>49%</v>
      </c>
      <c r="Q234" t="str">
        <f>"-0.00"</f>
        <v>-0.00</v>
      </c>
      <c r="S234" t="s">
        <v>40</v>
      </c>
      <c r="T234" t="s">
        <v>1977</v>
      </c>
      <c r="U234" t="str">
        <f>"0.0041%"</f>
        <v>0.0041%</v>
      </c>
      <c r="V234" t="str">
        <f>"0.0041%"</f>
        <v>0.0041%</v>
      </c>
      <c r="W234" t="str">
        <f>""</f>
        <v/>
      </c>
      <c r="X234" t="str">
        <f>"0.0200%"</f>
        <v>0.0200%</v>
      </c>
      <c r="Y234" t="s">
        <v>1978</v>
      </c>
      <c r="Z234" t="str">
        <f>""</f>
        <v/>
      </c>
      <c r="AA234" t="str">
        <f>""</f>
        <v/>
      </c>
      <c r="AE234" t="str">
        <f>"16.62"</f>
        <v>16.62</v>
      </c>
    </row>
    <row r="235" spans="1:31" x14ac:dyDescent="0.3">
      <c r="A235" s="1" t="s">
        <v>717</v>
      </c>
      <c r="B235" t="s">
        <v>88</v>
      </c>
      <c r="C235" t="s">
        <v>718</v>
      </c>
      <c r="D235" t="s">
        <v>1979</v>
      </c>
      <c r="E235" t="s">
        <v>1980</v>
      </c>
      <c r="F235" t="s">
        <v>37</v>
      </c>
      <c r="G235" t="str">
        <f>"10000"</f>
        <v>10000</v>
      </c>
      <c r="H235" t="s">
        <v>526</v>
      </c>
      <c r="I235" t="str">
        <f>"44%"</f>
        <v>44%</v>
      </c>
      <c r="J235" t="str">
        <f>"-0.01"</f>
        <v>-0.01</v>
      </c>
      <c r="K235" t="str">
        <f>"100"</f>
        <v>100</v>
      </c>
      <c r="L235" t="str">
        <f>"UGT1A7 c.387_392GGACAA"</f>
        <v>UGT1A7 c.387_392GGACAA</v>
      </c>
      <c r="M235" t="str">
        <f>"NM_019077"</f>
        <v>NM_019077</v>
      </c>
      <c r="O235" t="s">
        <v>1981</v>
      </c>
      <c r="P235" t="str">
        <f>"50%"</f>
        <v>50%</v>
      </c>
      <c r="Q235" t="str">
        <f>"-0.01"</f>
        <v>-0.01</v>
      </c>
      <c r="S235" t="s">
        <v>77</v>
      </c>
      <c r="T235" t="s">
        <v>1982</v>
      </c>
      <c r="U235" t="str">
        <f>""</f>
        <v/>
      </c>
      <c r="V235" t="str">
        <f>""</f>
        <v/>
      </c>
      <c r="W235" t="str">
        <f>""</f>
        <v/>
      </c>
      <c r="X235" t="str">
        <f>""</f>
        <v/>
      </c>
      <c r="Y235" t="s">
        <v>1983</v>
      </c>
      <c r="Z235" t="str">
        <f>"55.1530%"</f>
        <v>55.1530%</v>
      </c>
      <c r="AA235" t="str">
        <f>"55.2220%"</f>
        <v>55.2220%</v>
      </c>
      <c r="AE235" t="str">
        <f>""</f>
        <v/>
      </c>
    </row>
    <row r="236" spans="1:31" x14ac:dyDescent="0.3">
      <c r="A236" s="1" t="s">
        <v>1984</v>
      </c>
      <c r="B236" t="s">
        <v>88</v>
      </c>
      <c r="C236" t="s">
        <v>1985</v>
      </c>
      <c r="D236" t="s">
        <v>36</v>
      </c>
      <c r="E236" t="s">
        <v>50</v>
      </c>
      <c r="F236" t="s">
        <v>37</v>
      </c>
      <c r="G236" t="str">
        <f t="shared" ref="G236:G244" si="24">"11000"</f>
        <v>11000</v>
      </c>
      <c r="H236" t="s">
        <v>1909</v>
      </c>
      <c r="I236" t="str">
        <f>"50%"</f>
        <v>50%</v>
      </c>
      <c r="J236" t="str">
        <f>"-0.01"</f>
        <v>-0.01</v>
      </c>
      <c r="K236" t="str">
        <f t="shared" ref="K236:K244" si="25">"110"</f>
        <v>110</v>
      </c>
      <c r="L236" t="str">
        <f>"BARD1 p.C557S"</f>
        <v>BARD1 p.C557S</v>
      </c>
      <c r="M236" t="str">
        <f>"NM_000465"</f>
        <v>NM_000465</v>
      </c>
      <c r="O236" t="s">
        <v>1986</v>
      </c>
      <c r="P236" t="str">
        <f>"49%"</f>
        <v>49%</v>
      </c>
      <c r="Q236" t="str">
        <f>"-0.01"</f>
        <v>-0.01</v>
      </c>
      <c r="S236" t="s">
        <v>40</v>
      </c>
      <c r="T236" t="s">
        <v>1987</v>
      </c>
      <c r="U236" t="str">
        <f>"1.5600%"</f>
        <v>1.5600%</v>
      </c>
      <c r="V236" t="str">
        <f>"1.5300%"</f>
        <v>1.5300%</v>
      </c>
      <c r="W236" t="str">
        <f>"1.6700%"</f>
        <v>1.6700%</v>
      </c>
      <c r="X236" t="str">
        <f>"0.7987%"</f>
        <v>0.7987%</v>
      </c>
      <c r="Y236" t="s">
        <v>1988</v>
      </c>
      <c r="Z236" t="str">
        <f>"1.7870%"</f>
        <v>1.7870%</v>
      </c>
      <c r="AA236" t="str">
        <f>"1.7870%"</f>
        <v>1.7870%</v>
      </c>
      <c r="AC236" t="s">
        <v>1989</v>
      </c>
      <c r="AD236" t="s">
        <v>1990</v>
      </c>
      <c r="AE236" t="str">
        <f>"0.444"</f>
        <v>0.444</v>
      </c>
    </row>
    <row r="237" spans="1:31" x14ac:dyDescent="0.3">
      <c r="A237" s="1" t="s">
        <v>1991</v>
      </c>
      <c r="B237" t="s">
        <v>626</v>
      </c>
      <c r="C237" t="s">
        <v>1992</v>
      </c>
      <c r="D237" t="s">
        <v>1993</v>
      </c>
      <c r="E237" t="s">
        <v>1994</v>
      </c>
      <c r="F237" t="s">
        <v>37</v>
      </c>
      <c r="G237" t="str">
        <f t="shared" si="24"/>
        <v>11000</v>
      </c>
      <c r="H237" t="s">
        <v>1995</v>
      </c>
      <c r="I237" t="str">
        <f>"100%"</f>
        <v>100%</v>
      </c>
      <c r="J237" t="str">
        <f>"0.02"</f>
        <v>0.02</v>
      </c>
      <c r="K237" t="str">
        <f t="shared" si="25"/>
        <v>110</v>
      </c>
      <c r="L237" t="str">
        <f>"PREX2 c.1818_1819GC"</f>
        <v>PREX2 c.1818_1819GC</v>
      </c>
      <c r="M237" t="str">
        <f>"NM_024870"</f>
        <v>NM_024870</v>
      </c>
      <c r="O237" t="s">
        <v>1996</v>
      </c>
      <c r="P237" t="str">
        <f>"100%"</f>
        <v>100%</v>
      </c>
      <c r="Q237" t="str">
        <f>"-0.00"</f>
        <v>-0.00</v>
      </c>
      <c r="S237" t="s">
        <v>77</v>
      </c>
      <c r="T237" t="s">
        <v>1997</v>
      </c>
      <c r="U237" t="str">
        <f>""</f>
        <v/>
      </c>
      <c r="V237" t="str">
        <f>""</f>
        <v/>
      </c>
      <c r="W237" t="str">
        <f>""</f>
        <v/>
      </c>
      <c r="X237" t="str">
        <f>""</f>
        <v/>
      </c>
      <c r="Y237" t="s">
        <v>1998</v>
      </c>
      <c r="Z237" t="str">
        <f>"52.2450%"</f>
        <v>52.2450%</v>
      </c>
      <c r="AA237" t="str">
        <f>"52.2680%"</f>
        <v>52.2680%</v>
      </c>
      <c r="AE237" t="str">
        <f>""</f>
        <v/>
      </c>
    </row>
    <row r="238" spans="1:31" x14ac:dyDescent="0.3">
      <c r="A238" s="1" t="s">
        <v>1999</v>
      </c>
      <c r="B238" t="s">
        <v>540</v>
      </c>
      <c r="C238" t="s">
        <v>2000</v>
      </c>
      <c r="D238" t="s">
        <v>82</v>
      </c>
      <c r="E238" t="s">
        <v>50</v>
      </c>
      <c r="F238" t="s">
        <v>143</v>
      </c>
      <c r="G238" t="str">
        <f t="shared" si="24"/>
        <v>11000</v>
      </c>
      <c r="H238" t="s">
        <v>2001</v>
      </c>
      <c r="I238" t="str">
        <f>"100%"</f>
        <v>100%</v>
      </c>
      <c r="J238" t="str">
        <f>"-0.02"</f>
        <v>-0.02</v>
      </c>
      <c r="K238" t="str">
        <f t="shared" si="25"/>
        <v>110</v>
      </c>
      <c r="L238" t="str">
        <f>"ATP7B"</f>
        <v>ATP7B</v>
      </c>
      <c r="M238" t="str">
        <f>""</f>
        <v/>
      </c>
      <c r="O238" t="s">
        <v>2002</v>
      </c>
      <c r="P238" t="str">
        <f>"99%"</f>
        <v>99%</v>
      </c>
      <c r="Q238" t="str">
        <f>"-0.02"</f>
        <v>-0.02</v>
      </c>
      <c r="R238" t="s">
        <v>2003</v>
      </c>
      <c r="U238" t="str">
        <f>""</f>
        <v/>
      </c>
      <c r="V238" t="str">
        <f>""</f>
        <v/>
      </c>
      <c r="W238" t="str">
        <f>""</f>
        <v/>
      </c>
      <c r="X238" t="str">
        <f>"97.4641%"</f>
        <v>97.4641%</v>
      </c>
      <c r="Y238" t="s">
        <v>2004</v>
      </c>
      <c r="Z238" t="str">
        <f>"93.9990%"</f>
        <v>93.9990%</v>
      </c>
      <c r="AA238" t="str">
        <f>"94.0220%"</f>
        <v>94.0220%</v>
      </c>
      <c r="AE238" t="str">
        <f>""</f>
        <v/>
      </c>
    </row>
    <row r="239" spans="1:31" x14ac:dyDescent="0.3">
      <c r="A239" s="1" t="s">
        <v>2005</v>
      </c>
      <c r="B239" t="s">
        <v>88</v>
      </c>
      <c r="C239" t="s">
        <v>2006</v>
      </c>
      <c r="D239" t="s">
        <v>35</v>
      </c>
      <c r="E239" t="s">
        <v>36</v>
      </c>
      <c r="F239" t="s">
        <v>37</v>
      </c>
      <c r="G239" t="str">
        <f t="shared" si="24"/>
        <v>11000</v>
      </c>
      <c r="H239" t="s">
        <v>2007</v>
      </c>
      <c r="I239" t="str">
        <f>"100%"</f>
        <v>100%</v>
      </c>
      <c r="J239" t="str">
        <f>"0.01"</f>
        <v>0.01</v>
      </c>
      <c r="K239" t="str">
        <f t="shared" si="25"/>
        <v>110</v>
      </c>
      <c r="L239" t="str">
        <f>"ALK p.I1461V"</f>
        <v>ALK p.I1461V</v>
      </c>
      <c r="M239" t="str">
        <f>"NM_004304"</f>
        <v>NM_004304</v>
      </c>
      <c r="O239" t="s">
        <v>261</v>
      </c>
      <c r="P239" t="str">
        <f>"100%"</f>
        <v>100%</v>
      </c>
      <c r="Q239" t="str">
        <f>"-0.01"</f>
        <v>-0.01</v>
      </c>
      <c r="S239" t="s">
        <v>40</v>
      </c>
      <c r="T239" t="s">
        <v>2008</v>
      </c>
      <c r="U239" t="str">
        <f>"99.7200%"</f>
        <v>99.7200%</v>
      </c>
      <c r="V239" t="str">
        <f>"99.7600%"</f>
        <v>99.7600%</v>
      </c>
      <c r="W239" t="str">
        <f>"99.0300%"</f>
        <v>99.0300%</v>
      </c>
      <c r="X239" t="str">
        <f>"99.2212%"</f>
        <v>99.2212%</v>
      </c>
      <c r="Y239" t="s">
        <v>2009</v>
      </c>
      <c r="Z239" t="str">
        <f>"99.6340%"</f>
        <v>99.6340%</v>
      </c>
      <c r="AA239" t="str">
        <f>"99.6340%"</f>
        <v>99.6340%</v>
      </c>
      <c r="AC239" t="s">
        <v>2010</v>
      </c>
      <c r="AD239" t="s">
        <v>2011</v>
      </c>
      <c r="AE239" t="str">
        <f>"0.840"</f>
        <v>0.840</v>
      </c>
    </row>
    <row r="240" spans="1:31" x14ac:dyDescent="0.3">
      <c r="A240" s="1" t="s">
        <v>2012</v>
      </c>
      <c r="B240" t="s">
        <v>351</v>
      </c>
      <c r="C240" t="s">
        <v>2013</v>
      </c>
      <c r="D240" t="s">
        <v>82</v>
      </c>
      <c r="E240" t="s">
        <v>35</v>
      </c>
      <c r="F240" t="s">
        <v>37</v>
      </c>
      <c r="G240" t="str">
        <f t="shared" si="24"/>
        <v>11000</v>
      </c>
      <c r="H240" t="s">
        <v>2014</v>
      </c>
      <c r="I240" t="str">
        <f>"44%"</f>
        <v>44%</v>
      </c>
      <c r="J240" t="str">
        <f>"0.01"</f>
        <v>0.01</v>
      </c>
      <c r="K240" t="str">
        <f t="shared" si="25"/>
        <v>110</v>
      </c>
      <c r="L240" t="str">
        <f>"CLDN18 p.M149L"</f>
        <v>CLDN18 p.M149L</v>
      </c>
      <c r="M240" t="str">
        <f>"NM_016369"</f>
        <v>NM_016369</v>
      </c>
      <c r="O240" t="s">
        <v>2015</v>
      </c>
      <c r="P240" t="str">
        <f>"46%"</f>
        <v>46%</v>
      </c>
      <c r="Q240" t="str">
        <f>"-0.01"</f>
        <v>-0.01</v>
      </c>
      <c r="S240" t="s">
        <v>40</v>
      </c>
      <c r="T240" t="s">
        <v>2016</v>
      </c>
      <c r="U240" t="str">
        <f>"11.4800%"</f>
        <v>11.4800%</v>
      </c>
      <c r="V240" t="str">
        <f>"11.4300%"</f>
        <v>11.4300%</v>
      </c>
      <c r="W240" t="str">
        <f>"10.7500%"</f>
        <v>10.7500%</v>
      </c>
      <c r="X240" t="str">
        <f>"8.6861%"</f>
        <v>8.6861%</v>
      </c>
      <c r="Y240" t="s">
        <v>2017</v>
      </c>
      <c r="Z240" t="str">
        <f>"9.6200%"</f>
        <v>9.6200%</v>
      </c>
      <c r="AA240" t="str">
        <f>"9.6200%"</f>
        <v>9.6200%</v>
      </c>
      <c r="AC240" t="s">
        <v>2018</v>
      </c>
      <c r="AE240" t="str">
        <f>"14.65"</f>
        <v>14.65</v>
      </c>
    </row>
    <row r="241" spans="1:31" x14ac:dyDescent="0.3">
      <c r="A241" s="1" t="s">
        <v>2019</v>
      </c>
      <c r="B241" t="s">
        <v>106</v>
      </c>
      <c r="C241" t="s">
        <v>2020</v>
      </c>
      <c r="D241" t="s">
        <v>82</v>
      </c>
      <c r="E241" t="s">
        <v>35</v>
      </c>
      <c r="F241" t="s">
        <v>37</v>
      </c>
      <c r="G241" t="str">
        <f t="shared" si="24"/>
        <v>11000</v>
      </c>
      <c r="H241" t="s">
        <v>2021</v>
      </c>
      <c r="I241" t="str">
        <f>"49%"</f>
        <v>49%</v>
      </c>
      <c r="J241" t="str">
        <f>"0.01"</f>
        <v>0.01</v>
      </c>
      <c r="K241" t="str">
        <f t="shared" si="25"/>
        <v>110</v>
      </c>
      <c r="L241" t="str">
        <f>"SNCAIP"</f>
        <v>SNCAIP</v>
      </c>
      <c r="M241" t="str">
        <f>""</f>
        <v/>
      </c>
      <c r="O241" t="s">
        <v>2022</v>
      </c>
      <c r="P241" t="str">
        <f>"50%"</f>
        <v>50%</v>
      </c>
      <c r="Q241" t="str">
        <f>"-0.01"</f>
        <v>-0.01</v>
      </c>
      <c r="S241" t="s">
        <v>40</v>
      </c>
      <c r="T241" t="s">
        <v>2023</v>
      </c>
      <c r="U241" t="str">
        <f>""</f>
        <v/>
      </c>
      <c r="V241" t="str">
        <f>"0.0000%"</f>
        <v>0.0000%</v>
      </c>
      <c r="W241" t="str">
        <f>""</f>
        <v/>
      </c>
      <c r="X241" t="str">
        <f>""</f>
        <v/>
      </c>
      <c r="Z241" t="str">
        <f>""</f>
        <v/>
      </c>
      <c r="AA241" t="str">
        <f>""</f>
        <v/>
      </c>
      <c r="AE241" t="str">
        <f>"20.9"</f>
        <v>20.9</v>
      </c>
    </row>
    <row r="242" spans="1:31" x14ac:dyDescent="0.3">
      <c r="A242" s="1" t="s">
        <v>2024</v>
      </c>
      <c r="B242" t="s">
        <v>106</v>
      </c>
      <c r="C242" t="s">
        <v>2025</v>
      </c>
      <c r="D242" t="s">
        <v>50</v>
      </c>
      <c r="E242" t="s">
        <v>82</v>
      </c>
      <c r="F242" t="s">
        <v>129</v>
      </c>
      <c r="G242" t="str">
        <f t="shared" si="24"/>
        <v>11000</v>
      </c>
      <c r="H242" t="s">
        <v>2026</v>
      </c>
      <c r="I242" t="str">
        <f>"58%"</f>
        <v>58%</v>
      </c>
      <c r="J242" t="str">
        <f>"-0.05"</f>
        <v>-0.05</v>
      </c>
      <c r="K242" t="str">
        <f t="shared" si="25"/>
        <v>110</v>
      </c>
      <c r="L242" t="str">
        <f>"MIR4457"</f>
        <v>MIR4457</v>
      </c>
      <c r="M242" t="str">
        <f>""</f>
        <v/>
      </c>
      <c r="O242" t="s">
        <v>2027</v>
      </c>
      <c r="P242" t="str">
        <f>"46%"</f>
        <v>46%</v>
      </c>
      <c r="Q242" t="str">
        <f>"0.02"</f>
        <v>0.02</v>
      </c>
      <c r="R242" t="s">
        <v>2028</v>
      </c>
      <c r="U242" t="str">
        <f>""</f>
        <v/>
      </c>
      <c r="V242" t="str">
        <f>""</f>
        <v/>
      </c>
      <c r="W242" t="str">
        <f>""</f>
        <v/>
      </c>
      <c r="X242" t="str">
        <f>"59.8043%"</f>
        <v>59.8043%</v>
      </c>
      <c r="Y242" t="s">
        <v>2029</v>
      </c>
      <c r="Z242" t="str">
        <f>"62.8490%"</f>
        <v>62.8490%</v>
      </c>
      <c r="AA242" t="str">
        <f>"62.8950%"</f>
        <v>62.8950%</v>
      </c>
      <c r="AE242" t="str">
        <f>""</f>
        <v/>
      </c>
    </row>
    <row r="243" spans="1:31" x14ac:dyDescent="0.3">
      <c r="A243" s="1" t="s">
        <v>2030</v>
      </c>
      <c r="B243" t="s">
        <v>120</v>
      </c>
      <c r="C243" t="s">
        <v>2031</v>
      </c>
      <c r="D243" t="s">
        <v>36</v>
      </c>
      <c r="E243" t="s">
        <v>82</v>
      </c>
      <c r="F243" t="s">
        <v>143</v>
      </c>
      <c r="G243" t="str">
        <f t="shared" si="24"/>
        <v>11000</v>
      </c>
      <c r="H243" t="s">
        <v>846</v>
      </c>
      <c r="I243" t="str">
        <f>"100%"</f>
        <v>100%</v>
      </c>
      <c r="J243" t="str">
        <f>"-0.00"</f>
        <v>-0.00</v>
      </c>
      <c r="K243" t="str">
        <f t="shared" si="25"/>
        <v>110</v>
      </c>
      <c r="L243" t="str">
        <f>"CD84"</f>
        <v>CD84</v>
      </c>
      <c r="M243" t="str">
        <f>""</f>
        <v/>
      </c>
      <c r="O243" t="s">
        <v>2032</v>
      </c>
      <c r="P243" t="str">
        <f>"100%"</f>
        <v>100%</v>
      </c>
      <c r="Q243" t="str">
        <f>"-0.00"</f>
        <v>-0.00</v>
      </c>
      <c r="R243" t="s">
        <v>2033</v>
      </c>
      <c r="U243" t="str">
        <f>""</f>
        <v/>
      </c>
      <c r="V243" t="str">
        <f>""</f>
        <v/>
      </c>
      <c r="W243" t="str">
        <f>""</f>
        <v/>
      </c>
      <c r="X243" t="str">
        <f>"43.8498%"</f>
        <v>43.8498%</v>
      </c>
      <c r="Y243" t="s">
        <v>2034</v>
      </c>
      <c r="Z243" t="str">
        <f>"55.1760%"</f>
        <v>55.1760%</v>
      </c>
      <c r="AA243" t="str">
        <f>"55.1760%"</f>
        <v>55.1760%</v>
      </c>
      <c r="AE243" t="str">
        <f>""</f>
        <v/>
      </c>
    </row>
    <row r="244" spans="1:31" x14ac:dyDescent="0.3">
      <c r="A244" s="1" t="s">
        <v>2035</v>
      </c>
      <c r="B244" t="s">
        <v>65</v>
      </c>
      <c r="C244" t="s">
        <v>2036</v>
      </c>
      <c r="D244" t="s">
        <v>82</v>
      </c>
      <c r="E244" t="s">
        <v>50</v>
      </c>
      <c r="F244" t="s">
        <v>37</v>
      </c>
      <c r="G244" t="str">
        <f t="shared" si="24"/>
        <v>11000</v>
      </c>
      <c r="H244" t="s">
        <v>1278</v>
      </c>
      <c r="I244" t="str">
        <f>"52%"</f>
        <v>52%</v>
      </c>
      <c r="J244" t="str">
        <f>"0.15"</f>
        <v>0.15</v>
      </c>
      <c r="K244" t="str">
        <f t="shared" si="25"/>
        <v>110</v>
      </c>
      <c r="L244" t="str">
        <f>"IGF2R p.R1619G"</f>
        <v>IGF2R p.R1619G</v>
      </c>
      <c r="M244" t="str">
        <f>"NM_000876"</f>
        <v>NM_000876</v>
      </c>
      <c r="O244" t="s">
        <v>2037</v>
      </c>
      <c r="P244" t="str">
        <f>"44%"</f>
        <v>44%</v>
      </c>
      <c r="Q244" t="str">
        <f>"0.01"</f>
        <v>0.01</v>
      </c>
      <c r="S244" t="s">
        <v>40</v>
      </c>
      <c r="T244" t="s">
        <v>2038</v>
      </c>
      <c r="U244" t="str">
        <f>"89.6300%"</f>
        <v>89.6300%</v>
      </c>
      <c r="V244" t="str">
        <f>"89.8700%"</f>
        <v>89.8700%</v>
      </c>
      <c r="W244" t="str">
        <f>"91.0700%"</f>
        <v>91.0700%</v>
      </c>
      <c r="X244" t="str">
        <f>"90.3155%"</f>
        <v>90.3155%</v>
      </c>
      <c r="Y244" t="s">
        <v>2039</v>
      </c>
      <c r="Z244" t="str">
        <f>"88.9830%"</f>
        <v>88.9830%</v>
      </c>
      <c r="AA244" t="str">
        <f>"88.8910%"</f>
        <v>88.8910%</v>
      </c>
      <c r="AC244" t="s">
        <v>2040</v>
      </c>
      <c r="AE244" t="str">
        <f>"0.011"</f>
        <v>0.011</v>
      </c>
    </row>
    <row r="245" spans="1:31" x14ac:dyDescent="0.3">
      <c r="A245" s="1" t="s">
        <v>126</v>
      </c>
      <c r="B245" t="s">
        <v>106</v>
      </c>
      <c r="C245" t="s">
        <v>127</v>
      </c>
      <c r="D245" t="s">
        <v>36</v>
      </c>
      <c r="E245" t="s">
        <v>128</v>
      </c>
      <c r="F245" t="s">
        <v>129</v>
      </c>
      <c r="G245" t="str">
        <f>"10000"</f>
        <v>10000</v>
      </c>
      <c r="H245" t="s">
        <v>130</v>
      </c>
      <c r="I245" t="str">
        <f>"5%"</f>
        <v>5%</v>
      </c>
      <c r="J245" t="str">
        <f>"-0.00"</f>
        <v>-0.00</v>
      </c>
      <c r="K245" t="str">
        <f>"100"</f>
        <v>100</v>
      </c>
      <c r="L245" t="str">
        <f>"TSLP"</f>
        <v>TSLP</v>
      </c>
      <c r="M245" t="str">
        <f>""</f>
        <v/>
      </c>
      <c r="O245" t="s">
        <v>52</v>
      </c>
      <c r="P245" t="str">
        <f>"7%"</f>
        <v>7%</v>
      </c>
      <c r="Q245" t="str">
        <f>"-0.01"</f>
        <v>-0.01</v>
      </c>
      <c r="R245" t="s">
        <v>131</v>
      </c>
      <c r="U245" t="str">
        <f>""</f>
        <v/>
      </c>
      <c r="V245" t="str">
        <f>""</f>
        <v/>
      </c>
      <c r="W245" t="str">
        <f>""</f>
        <v/>
      </c>
      <c r="X245" t="str">
        <f>""</f>
        <v/>
      </c>
      <c r="Y245" t="s">
        <v>132</v>
      </c>
      <c r="Z245" t="str">
        <f>"39.8530%"</f>
        <v>39.8530%</v>
      </c>
      <c r="AA245" t="str">
        <f>"0.2520%"</f>
        <v>0.2520%</v>
      </c>
      <c r="AE245" t="str">
        <f>""</f>
        <v/>
      </c>
    </row>
    <row r="246" spans="1:31" x14ac:dyDescent="0.3">
      <c r="A246" s="1" t="s">
        <v>2041</v>
      </c>
      <c r="B246" t="s">
        <v>209</v>
      </c>
      <c r="C246" t="s">
        <v>2042</v>
      </c>
      <c r="D246" t="s">
        <v>50</v>
      </c>
      <c r="E246" t="s">
        <v>82</v>
      </c>
      <c r="F246" t="s">
        <v>129</v>
      </c>
      <c r="G246" t="str">
        <f t="shared" ref="G246:G267" si="26">"11000"</f>
        <v>11000</v>
      </c>
      <c r="H246" t="s">
        <v>2043</v>
      </c>
      <c r="I246" t="str">
        <f>"70%"</f>
        <v>70%</v>
      </c>
      <c r="J246" t="str">
        <f>"0.00"</f>
        <v>0.00</v>
      </c>
      <c r="K246" t="str">
        <f t="shared" ref="K246:K267" si="27">"110"</f>
        <v>110</v>
      </c>
      <c r="L246" t="str">
        <f>"OR4K2"</f>
        <v>OR4K2</v>
      </c>
      <c r="M246" t="str">
        <f>""</f>
        <v/>
      </c>
      <c r="O246" t="s">
        <v>2044</v>
      </c>
      <c r="P246" t="str">
        <f>"68%"</f>
        <v>68%</v>
      </c>
      <c r="Q246" t="str">
        <f>"-0.00"</f>
        <v>-0.00</v>
      </c>
      <c r="R246" t="s">
        <v>2045</v>
      </c>
      <c r="U246" t="str">
        <f>""</f>
        <v/>
      </c>
      <c r="V246" t="str">
        <f>""</f>
        <v/>
      </c>
      <c r="W246" t="str">
        <f>""</f>
        <v/>
      </c>
      <c r="X246" t="str">
        <f>"54.7125%"</f>
        <v>54.7125%</v>
      </c>
      <c r="Y246" t="s">
        <v>2046</v>
      </c>
      <c r="Z246" t="str">
        <f>"58.6580%"</f>
        <v>58.6580%</v>
      </c>
      <c r="AA246" t="str">
        <f>"58.6580%"</f>
        <v>58.6580%</v>
      </c>
      <c r="AE246" t="str">
        <f>""</f>
        <v/>
      </c>
    </row>
    <row r="247" spans="1:31" x14ac:dyDescent="0.3">
      <c r="A247" s="1" t="s">
        <v>2047</v>
      </c>
      <c r="B247" t="s">
        <v>219</v>
      </c>
      <c r="C247" t="s">
        <v>2048</v>
      </c>
      <c r="D247" t="s">
        <v>82</v>
      </c>
      <c r="E247" t="s">
        <v>50</v>
      </c>
      <c r="F247" t="s">
        <v>37</v>
      </c>
      <c r="G247" t="str">
        <f t="shared" si="26"/>
        <v>11000</v>
      </c>
      <c r="H247" t="s">
        <v>2049</v>
      </c>
      <c r="I247" t="str">
        <f>"100%"</f>
        <v>100%</v>
      </c>
      <c r="J247" t="str">
        <f>"0.04"</f>
        <v>0.04</v>
      </c>
      <c r="K247" t="str">
        <f t="shared" si="27"/>
        <v>110</v>
      </c>
      <c r="L247" t="str">
        <f>"CHEK1 p.I471V"</f>
        <v>CHEK1 p.I471V</v>
      </c>
      <c r="M247" t="str">
        <f>"NM_001114122"</f>
        <v>NM_001114122</v>
      </c>
      <c r="O247" t="s">
        <v>2050</v>
      </c>
      <c r="P247" t="str">
        <f>"100%"</f>
        <v>100%</v>
      </c>
      <c r="Q247" t="str">
        <f>"-0.01"</f>
        <v>-0.01</v>
      </c>
      <c r="S247" t="s">
        <v>40</v>
      </c>
      <c r="T247" t="s">
        <v>2051</v>
      </c>
      <c r="U247" t="str">
        <f>"97.2600%"</f>
        <v>97.2600%</v>
      </c>
      <c r="V247" t="str">
        <f>"97.2900%"</f>
        <v>97.2900%</v>
      </c>
      <c r="W247" t="str">
        <f>"97.3800%"</f>
        <v>97.3800%</v>
      </c>
      <c r="X247" t="str">
        <f>"98.5823%"</f>
        <v>98.5823%</v>
      </c>
      <c r="Y247" t="s">
        <v>2052</v>
      </c>
      <c r="Z247" t="str">
        <f>"96.8620%"</f>
        <v>96.8620%</v>
      </c>
      <c r="AA247" t="str">
        <f>"96.8620%"</f>
        <v>96.8620%</v>
      </c>
      <c r="AC247" t="s">
        <v>2053</v>
      </c>
      <c r="AD247" t="s">
        <v>2054</v>
      </c>
      <c r="AE247" t="str">
        <f>"2.970"</f>
        <v>2.970</v>
      </c>
    </row>
    <row r="248" spans="1:31" x14ac:dyDescent="0.3">
      <c r="A248" s="1" t="s">
        <v>2055</v>
      </c>
      <c r="B248" t="s">
        <v>113</v>
      </c>
      <c r="C248" t="s">
        <v>2056</v>
      </c>
      <c r="D248" t="s">
        <v>82</v>
      </c>
      <c r="E248" t="s">
        <v>50</v>
      </c>
      <c r="F248" t="s">
        <v>129</v>
      </c>
      <c r="G248" t="str">
        <f t="shared" si="26"/>
        <v>11000</v>
      </c>
      <c r="H248" t="s">
        <v>2057</v>
      </c>
      <c r="I248" t="str">
        <f>"45%"</f>
        <v>45%</v>
      </c>
      <c r="J248" t="str">
        <f>"-0.08"</f>
        <v>-0.08</v>
      </c>
      <c r="K248" t="str">
        <f t="shared" si="27"/>
        <v>110</v>
      </c>
      <c r="L248" t="str">
        <f>"ARHGAP35"</f>
        <v>ARHGAP35</v>
      </c>
      <c r="M248" t="str">
        <f>""</f>
        <v/>
      </c>
      <c r="O248" t="s">
        <v>931</v>
      </c>
      <c r="P248" t="str">
        <f>"52%"</f>
        <v>52%</v>
      </c>
      <c r="Q248" t="str">
        <f>"-0.01"</f>
        <v>-0.01</v>
      </c>
      <c r="R248" t="s">
        <v>2058</v>
      </c>
      <c r="U248" t="str">
        <f>"0.7900%"</f>
        <v>0.7900%</v>
      </c>
      <c r="V248" t="str">
        <f>"0.7800%"</f>
        <v>0.7800%</v>
      </c>
      <c r="W248" t="str">
        <f>"0.5800%"</f>
        <v>0.5800%</v>
      </c>
      <c r="X248" t="str">
        <f>"0.7388%"</f>
        <v>0.7388%</v>
      </c>
      <c r="Y248" t="s">
        <v>2059</v>
      </c>
      <c r="Z248" t="str">
        <f>"0.6180%"</f>
        <v>0.6180%</v>
      </c>
      <c r="AA248" t="str">
        <f>"0.5960%"</f>
        <v>0.5960%</v>
      </c>
      <c r="AE248" t="str">
        <f>""</f>
        <v/>
      </c>
    </row>
    <row r="249" spans="1:31" x14ac:dyDescent="0.3">
      <c r="A249" s="1" t="s">
        <v>2060</v>
      </c>
      <c r="B249" t="s">
        <v>120</v>
      </c>
      <c r="C249" t="s">
        <v>2061</v>
      </c>
      <c r="D249" t="s">
        <v>1994</v>
      </c>
      <c r="E249" t="s">
        <v>50</v>
      </c>
      <c r="F249" t="s">
        <v>129</v>
      </c>
      <c r="G249" t="str">
        <f t="shared" si="26"/>
        <v>11000</v>
      </c>
      <c r="H249" t="s">
        <v>91</v>
      </c>
      <c r="I249" t="str">
        <f>"100%"</f>
        <v>100%</v>
      </c>
      <c r="J249" t="str">
        <f>"-0.00"</f>
        <v>-0.00</v>
      </c>
      <c r="K249" t="str">
        <f t="shared" si="27"/>
        <v>110</v>
      </c>
      <c r="L249" t="str">
        <f>"DIEXF"</f>
        <v>DIEXF</v>
      </c>
      <c r="M249" t="str">
        <f>""</f>
        <v/>
      </c>
      <c r="O249" t="s">
        <v>2062</v>
      </c>
      <c r="P249" t="str">
        <f>"100%"</f>
        <v>100%</v>
      </c>
      <c r="Q249" t="str">
        <f>"-0.00"</f>
        <v>-0.00</v>
      </c>
      <c r="R249" t="s">
        <v>2063</v>
      </c>
      <c r="U249" t="str">
        <f>""</f>
        <v/>
      </c>
      <c r="V249" t="str">
        <f>""</f>
        <v/>
      </c>
      <c r="W249" t="str">
        <f>""</f>
        <v/>
      </c>
      <c r="X249" t="str">
        <f>"46.6054%"</f>
        <v>46.6054%</v>
      </c>
      <c r="Y249" t="s">
        <v>2064</v>
      </c>
      <c r="Z249" t="str">
        <f>"47.2740%"</f>
        <v>47.2740%</v>
      </c>
      <c r="AA249" t="str">
        <f>"47.3200%"</f>
        <v>47.3200%</v>
      </c>
      <c r="AE249" t="str">
        <f>""</f>
        <v/>
      </c>
    </row>
    <row r="250" spans="1:31" x14ac:dyDescent="0.3">
      <c r="A250" s="1" t="s">
        <v>2065</v>
      </c>
      <c r="B250" t="s">
        <v>120</v>
      </c>
      <c r="C250" t="s">
        <v>2066</v>
      </c>
      <c r="D250" t="s">
        <v>35</v>
      </c>
      <c r="E250" t="s">
        <v>36</v>
      </c>
      <c r="F250" t="s">
        <v>37</v>
      </c>
      <c r="G250" t="str">
        <f t="shared" si="26"/>
        <v>11000</v>
      </c>
      <c r="H250" t="s">
        <v>2067</v>
      </c>
      <c r="I250" t="str">
        <f>"49%"</f>
        <v>49%</v>
      </c>
      <c r="J250" t="str">
        <f>"0.01"</f>
        <v>0.01</v>
      </c>
      <c r="K250" t="str">
        <f t="shared" si="27"/>
        <v>110</v>
      </c>
      <c r="L250" t="str">
        <f>"MPL p.I188T"</f>
        <v>MPL p.I188T</v>
      </c>
      <c r="M250" t="str">
        <f>"NM_005373"</f>
        <v>NM_005373</v>
      </c>
      <c r="O250" t="s">
        <v>2068</v>
      </c>
      <c r="P250" t="str">
        <f>"52%"</f>
        <v>52%</v>
      </c>
      <c r="Q250" t="str">
        <f>"-0.01"</f>
        <v>-0.01</v>
      </c>
      <c r="S250" t="s">
        <v>40</v>
      </c>
      <c r="T250" t="s">
        <v>2069</v>
      </c>
      <c r="U250" t="str">
        <f>"0.0008%"</f>
        <v>0.0008%</v>
      </c>
      <c r="V250" t="str">
        <f>"0.0004%"</f>
        <v>0.0004%</v>
      </c>
      <c r="W250" t="str">
        <f>""</f>
        <v/>
      </c>
      <c r="X250" t="str">
        <f>""</f>
        <v/>
      </c>
      <c r="Y250" t="s">
        <v>2070</v>
      </c>
      <c r="Z250" t="str">
        <f>""</f>
        <v/>
      </c>
      <c r="AA250" t="str">
        <f>""</f>
        <v/>
      </c>
      <c r="AC250" t="s">
        <v>2071</v>
      </c>
      <c r="AE250" t="str">
        <f>"10.05"</f>
        <v>10.05</v>
      </c>
    </row>
    <row r="251" spans="1:31" x14ac:dyDescent="0.3">
      <c r="A251" s="1" t="s">
        <v>2072</v>
      </c>
      <c r="B251" t="s">
        <v>351</v>
      </c>
      <c r="C251" t="s">
        <v>2073</v>
      </c>
      <c r="D251" t="s">
        <v>82</v>
      </c>
      <c r="E251" t="s">
        <v>50</v>
      </c>
      <c r="F251" t="s">
        <v>37</v>
      </c>
      <c r="G251" t="str">
        <f t="shared" si="26"/>
        <v>11000</v>
      </c>
      <c r="H251" t="s">
        <v>2074</v>
      </c>
      <c r="I251" t="str">
        <f>"47%"</f>
        <v>47%</v>
      </c>
      <c r="J251" t="str">
        <f>"-0.01"</f>
        <v>-0.01</v>
      </c>
      <c r="K251" t="str">
        <f t="shared" si="27"/>
        <v>110</v>
      </c>
      <c r="L251" t="str">
        <f>"FOXP1"</f>
        <v>FOXP1</v>
      </c>
      <c r="M251" t="str">
        <f>""</f>
        <v/>
      </c>
      <c r="O251" t="s">
        <v>2075</v>
      </c>
      <c r="P251" t="str">
        <f>"50%"</f>
        <v>50%</v>
      </c>
      <c r="Q251" t="str">
        <f>"-0.01"</f>
        <v>-0.01</v>
      </c>
      <c r="S251" t="s">
        <v>40</v>
      </c>
      <c r="T251" t="s">
        <v>2076</v>
      </c>
      <c r="U251" t="str">
        <f>"0.0066%"</f>
        <v>0.0066%</v>
      </c>
      <c r="V251" t="str">
        <f>"0.0073%"</f>
        <v>0.0073%</v>
      </c>
      <c r="W251" t="str">
        <f>""</f>
        <v/>
      </c>
      <c r="X251" t="str">
        <f>""</f>
        <v/>
      </c>
      <c r="Y251" t="s">
        <v>2077</v>
      </c>
      <c r="Z251" t="str">
        <f>"0.0230%"</f>
        <v>0.0230%</v>
      </c>
      <c r="AA251" t="str">
        <f>"0.0230%"</f>
        <v>0.0230%</v>
      </c>
      <c r="AC251" t="s">
        <v>2078</v>
      </c>
      <c r="AD251" t="s">
        <v>2079</v>
      </c>
      <c r="AE251" t="str">
        <f>"26.4"</f>
        <v>26.4</v>
      </c>
    </row>
    <row r="252" spans="1:31" x14ac:dyDescent="0.3">
      <c r="A252" s="1" t="s">
        <v>2080</v>
      </c>
      <c r="B252" t="s">
        <v>106</v>
      </c>
      <c r="C252" t="s">
        <v>2081</v>
      </c>
      <c r="D252" t="s">
        <v>82</v>
      </c>
      <c r="E252" t="s">
        <v>50</v>
      </c>
      <c r="F252" t="s">
        <v>143</v>
      </c>
      <c r="G252" t="str">
        <f t="shared" si="26"/>
        <v>11000</v>
      </c>
      <c r="H252" t="s">
        <v>2082</v>
      </c>
      <c r="I252" t="str">
        <f>"44%"</f>
        <v>44%</v>
      </c>
      <c r="J252" t="str">
        <f>"-0.05"</f>
        <v>-0.05</v>
      </c>
      <c r="K252" t="str">
        <f t="shared" si="27"/>
        <v>110</v>
      </c>
      <c r="L252" t="str">
        <f>"CLPTM1L"</f>
        <v>CLPTM1L</v>
      </c>
      <c r="M252" t="str">
        <f>""</f>
        <v/>
      </c>
      <c r="O252" t="s">
        <v>2083</v>
      </c>
      <c r="P252" t="str">
        <f>"51%"</f>
        <v>51%</v>
      </c>
      <c r="Q252" t="str">
        <f>"0.02"</f>
        <v>0.02</v>
      </c>
      <c r="R252" t="s">
        <v>2084</v>
      </c>
      <c r="U252" t="str">
        <f>""</f>
        <v/>
      </c>
      <c r="V252" t="str">
        <f>""</f>
        <v/>
      </c>
      <c r="W252" t="str">
        <f>""</f>
        <v/>
      </c>
      <c r="X252" t="str">
        <f>"10.1837%"</f>
        <v>10.1837%</v>
      </c>
      <c r="Y252" t="s">
        <v>2085</v>
      </c>
      <c r="Z252" t="str">
        <f>"18.1630%"</f>
        <v>18.1630%</v>
      </c>
      <c r="AA252" t="str">
        <f>"18.2320%"</f>
        <v>18.2320%</v>
      </c>
      <c r="AE252" t="str">
        <f>""</f>
        <v/>
      </c>
    </row>
    <row r="253" spans="1:31" x14ac:dyDescent="0.3">
      <c r="A253" s="1" t="s">
        <v>2086</v>
      </c>
      <c r="B253" t="s">
        <v>106</v>
      </c>
      <c r="C253" t="s">
        <v>2087</v>
      </c>
      <c r="D253" t="s">
        <v>36</v>
      </c>
      <c r="E253" t="s">
        <v>35</v>
      </c>
      <c r="F253" t="s">
        <v>37</v>
      </c>
      <c r="G253" t="str">
        <f t="shared" si="26"/>
        <v>11000</v>
      </c>
      <c r="H253" t="s">
        <v>2088</v>
      </c>
      <c r="I253" t="str">
        <f>"46%"</f>
        <v>46%</v>
      </c>
      <c r="J253" t="str">
        <f>"-0.26"</f>
        <v>-0.26</v>
      </c>
      <c r="K253" t="str">
        <f t="shared" si="27"/>
        <v>110</v>
      </c>
      <c r="L253" t="str">
        <f>"FGFR4 p.P136L"</f>
        <v>FGFR4 p.P136L</v>
      </c>
      <c r="M253" t="str">
        <f>"NM_022963"</f>
        <v>NM_022963</v>
      </c>
      <c r="O253" t="s">
        <v>2089</v>
      </c>
      <c r="P253" t="str">
        <f>"54%"</f>
        <v>54%</v>
      </c>
      <c r="Q253" t="str">
        <f>"-0.01"</f>
        <v>-0.01</v>
      </c>
      <c r="S253" t="s">
        <v>40</v>
      </c>
      <c r="T253" t="s">
        <v>2090</v>
      </c>
      <c r="U253" t="str">
        <f>"79.5000%"</f>
        <v>79.5000%</v>
      </c>
      <c r="V253" t="str">
        <f>"80.0800%"</f>
        <v>80.0800%</v>
      </c>
      <c r="W253" t="str">
        <f>"72.1100%"</f>
        <v>72.1100%</v>
      </c>
      <c r="X253" t="str">
        <f>"80.7308%"</f>
        <v>80.7308%</v>
      </c>
      <c r="Y253" t="s">
        <v>2091</v>
      </c>
      <c r="Z253" t="str">
        <f>"78.7450%"</f>
        <v>78.7450%</v>
      </c>
      <c r="AA253" t="str">
        <f>"78.6760%"</f>
        <v>78.6760%</v>
      </c>
      <c r="AC253" t="s">
        <v>2092</v>
      </c>
      <c r="AE253" t="str">
        <f>"2.403"</f>
        <v>2.403</v>
      </c>
    </row>
    <row r="254" spans="1:31" x14ac:dyDescent="0.3">
      <c r="A254" s="1" t="s">
        <v>2093</v>
      </c>
      <c r="B254" t="s">
        <v>58</v>
      </c>
      <c r="C254" t="s">
        <v>2094</v>
      </c>
      <c r="D254" t="s">
        <v>36</v>
      </c>
      <c r="E254" t="s">
        <v>82</v>
      </c>
      <c r="F254" t="s">
        <v>37</v>
      </c>
      <c r="G254" t="str">
        <f t="shared" si="26"/>
        <v>11000</v>
      </c>
      <c r="H254" t="s">
        <v>2095</v>
      </c>
      <c r="I254" t="str">
        <f>"51%"</f>
        <v>51%</v>
      </c>
      <c r="J254" t="str">
        <f>"-0.03"</f>
        <v>-0.03</v>
      </c>
      <c r="K254" t="str">
        <f t="shared" si="27"/>
        <v>110</v>
      </c>
      <c r="L254" t="str">
        <f>"KNSTRN p.A40E"</f>
        <v>KNSTRN p.A40E</v>
      </c>
      <c r="M254" t="str">
        <f>"NM_033286"</f>
        <v>NM_033286</v>
      </c>
      <c r="O254" t="s">
        <v>2096</v>
      </c>
      <c r="P254" t="str">
        <f>"47%"</f>
        <v>47%</v>
      </c>
      <c r="Q254" t="str">
        <f>"-0.00"</f>
        <v>-0.00</v>
      </c>
      <c r="S254" t="s">
        <v>40</v>
      </c>
      <c r="T254" t="s">
        <v>2097</v>
      </c>
      <c r="U254" t="str">
        <f>"9.0700%"</f>
        <v>9.0700%</v>
      </c>
      <c r="V254" t="str">
        <f>"9.2300%"</f>
        <v>9.2300%</v>
      </c>
      <c r="W254" t="str">
        <f>"8.9700%"</f>
        <v>8.9700%</v>
      </c>
      <c r="X254" t="str">
        <f>"4.3730%"</f>
        <v>4.3730%</v>
      </c>
      <c r="Y254" t="s">
        <v>2098</v>
      </c>
      <c r="Z254" t="str">
        <f>"9.8720%"</f>
        <v>9.8720%</v>
      </c>
      <c r="AA254" t="str">
        <f>"9.8720%"</f>
        <v>9.8720%</v>
      </c>
      <c r="AC254" t="s">
        <v>2099</v>
      </c>
      <c r="AE254" t="str">
        <f>"21.5"</f>
        <v>21.5</v>
      </c>
    </row>
    <row r="255" spans="1:31" x14ac:dyDescent="0.3">
      <c r="A255" s="1" t="s">
        <v>2100</v>
      </c>
      <c r="B255" t="s">
        <v>33</v>
      </c>
      <c r="C255" t="s">
        <v>2101</v>
      </c>
      <c r="D255" t="s">
        <v>50</v>
      </c>
      <c r="E255" t="s">
        <v>82</v>
      </c>
      <c r="F255" t="s">
        <v>37</v>
      </c>
      <c r="G255" t="str">
        <f t="shared" si="26"/>
        <v>11000</v>
      </c>
      <c r="H255" t="s">
        <v>729</v>
      </c>
      <c r="I255" t="str">
        <f>"89%"</f>
        <v>89%</v>
      </c>
      <c r="J255" t="str">
        <f>"0.01"</f>
        <v>0.01</v>
      </c>
      <c r="K255" t="str">
        <f t="shared" si="27"/>
        <v>110</v>
      </c>
      <c r="L255" t="str">
        <f>"NCOR1 p.P508S"</f>
        <v>NCOR1 p.P508S</v>
      </c>
      <c r="M255" t="str">
        <f>"NM_006311"</f>
        <v>NM_006311</v>
      </c>
      <c r="O255" t="s">
        <v>2096</v>
      </c>
      <c r="P255" t="str">
        <f>"50%"</f>
        <v>50%</v>
      </c>
      <c r="Q255" t="str">
        <f>"0.03"</f>
        <v>0.03</v>
      </c>
      <c r="S255" t="s">
        <v>40</v>
      </c>
      <c r="T255" t="s">
        <v>2102</v>
      </c>
      <c r="U255" t="str">
        <f>"0.0017%"</f>
        <v>0.0017%</v>
      </c>
      <c r="V255" t="str">
        <f>"0.0016%"</f>
        <v>0.0016%</v>
      </c>
      <c r="W255" t="str">
        <f>""</f>
        <v/>
      </c>
      <c r="X255" t="str">
        <f>""</f>
        <v/>
      </c>
      <c r="Y255" t="s">
        <v>2103</v>
      </c>
      <c r="Z255" t="str">
        <f>""</f>
        <v/>
      </c>
      <c r="AA255" t="str">
        <f>""</f>
        <v/>
      </c>
      <c r="AE255" t="str">
        <f>"12.51"</f>
        <v>12.51</v>
      </c>
    </row>
    <row r="256" spans="1:31" x14ac:dyDescent="0.3">
      <c r="A256" s="1" t="s">
        <v>2104</v>
      </c>
      <c r="B256" t="s">
        <v>683</v>
      </c>
      <c r="C256" t="s">
        <v>2105</v>
      </c>
      <c r="D256" t="s">
        <v>50</v>
      </c>
      <c r="E256" t="s">
        <v>82</v>
      </c>
      <c r="F256" t="s">
        <v>37</v>
      </c>
      <c r="G256" t="str">
        <f t="shared" si="26"/>
        <v>11000</v>
      </c>
      <c r="H256" t="s">
        <v>1385</v>
      </c>
      <c r="I256" t="str">
        <f>"100%"</f>
        <v>100%</v>
      </c>
      <c r="J256" t="str">
        <f>"-0.03"</f>
        <v>-0.03</v>
      </c>
      <c r="K256" t="str">
        <f t="shared" si="27"/>
        <v>110</v>
      </c>
      <c r="L256" t="str">
        <f>"ESPL1 p.R2037H"</f>
        <v>ESPL1 p.R2037H</v>
      </c>
      <c r="M256" t="str">
        <f>"NM_012291"</f>
        <v>NM_012291</v>
      </c>
      <c r="O256" t="s">
        <v>2106</v>
      </c>
      <c r="P256" t="str">
        <f>"100%"</f>
        <v>100%</v>
      </c>
      <c r="Q256" t="str">
        <f>"-0.00"</f>
        <v>-0.00</v>
      </c>
      <c r="S256" t="s">
        <v>40</v>
      </c>
      <c r="T256" t="s">
        <v>2107</v>
      </c>
      <c r="U256" t="str">
        <f>"98.9900%"</f>
        <v>98.9900%</v>
      </c>
      <c r="V256" t="str">
        <f>"99.1900%"</f>
        <v>99.1900%</v>
      </c>
      <c r="W256" t="str">
        <f>"96.5000%"</f>
        <v>96.5000%</v>
      </c>
      <c r="X256" t="str">
        <f>"96.9449%"</f>
        <v>96.9449%</v>
      </c>
      <c r="Y256" t="s">
        <v>2108</v>
      </c>
      <c r="Z256" t="str">
        <f>"99.1300%"</f>
        <v>99.1300%</v>
      </c>
      <c r="AA256" t="str">
        <f>"99.1300%"</f>
        <v>99.1300%</v>
      </c>
      <c r="AC256" t="s">
        <v>2109</v>
      </c>
      <c r="AE256" t="str">
        <f>"5.213"</f>
        <v>5.213</v>
      </c>
    </row>
    <row r="257" spans="1:31" x14ac:dyDescent="0.3">
      <c r="A257" s="1" t="s">
        <v>2110</v>
      </c>
      <c r="B257" t="s">
        <v>266</v>
      </c>
      <c r="C257" t="s">
        <v>2111</v>
      </c>
      <c r="D257" t="s">
        <v>36</v>
      </c>
      <c r="E257" t="s">
        <v>35</v>
      </c>
      <c r="F257" t="s">
        <v>37</v>
      </c>
      <c r="G257" t="str">
        <f t="shared" si="26"/>
        <v>11000</v>
      </c>
      <c r="H257" t="s">
        <v>2112</v>
      </c>
      <c r="I257" t="str">
        <f>"44%"</f>
        <v>44%</v>
      </c>
      <c r="J257" t="str">
        <f>"0.00"</f>
        <v>0.00</v>
      </c>
      <c r="K257" t="str">
        <f t="shared" si="27"/>
        <v>110</v>
      </c>
      <c r="L257" t="str">
        <f>"ABL1 p.S972L"</f>
        <v>ABL1 p.S972L</v>
      </c>
      <c r="M257" t="str">
        <f>"NM_005157"</f>
        <v>NM_005157</v>
      </c>
      <c r="O257" t="s">
        <v>877</v>
      </c>
      <c r="P257" t="str">
        <f>"49%"</f>
        <v>49%</v>
      </c>
      <c r="Q257" t="str">
        <f>"-0.01"</f>
        <v>-0.01</v>
      </c>
      <c r="S257" t="s">
        <v>40</v>
      </c>
      <c r="T257" t="s">
        <v>2113</v>
      </c>
      <c r="U257" t="str">
        <f>"2.0000%"</f>
        <v>2.0000%</v>
      </c>
      <c r="V257" t="str">
        <f>"2.1200%"</f>
        <v>2.1200%</v>
      </c>
      <c r="W257" t="str">
        <f>"2.7900%"</f>
        <v>2.7900%</v>
      </c>
      <c r="X257" t="str">
        <f>"1.8570%"</f>
        <v>1.8570%</v>
      </c>
      <c r="Y257" t="s">
        <v>2114</v>
      </c>
      <c r="Z257" t="str">
        <f>"1.9700%"</f>
        <v>1.9700%</v>
      </c>
      <c r="AA257" t="str">
        <f>"1.9700%"</f>
        <v>1.9700%</v>
      </c>
      <c r="AC257" t="s">
        <v>2115</v>
      </c>
      <c r="AD257" t="s">
        <v>2116</v>
      </c>
      <c r="AE257" t="str">
        <f>"9.404"</f>
        <v>9.404</v>
      </c>
    </row>
    <row r="258" spans="1:31" x14ac:dyDescent="0.3">
      <c r="A258" s="1" t="s">
        <v>2117</v>
      </c>
      <c r="B258" t="s">
        <v>351</v>
      </c>
      <c r="C258" t="s">
        <v>2118</v>
      </c>
      <c r="D258" t="s">
        <v>36</v>
      </c>
      <c r="E258" t="s">
        <v>35</v>
      </c>
      <c r="F258" t="s">
        <v>129</v>
      </c>
      <c r="G258" t="str">
        <f t="shared" si="26"/>
        <v>11000</v>
      </c>
      <c r="H258" t="s">
        <v>2119</v>
      </c>
      <c r="I258" t="str">
        <f>"100%"</f>
        <v>100%</v>
      </c>
      <c r="J258" t="str">
        <f>"-0.01"</f>
        <v>-0.01</v>
      </c>
      <c r="K258" t="str">
        <f t="shared" si="27"/>
        <v>110</v>
      </c>
      <c r="L258" t="str">
        <f>"RAD18"</f>
        <v>RAD18</v>
      </c>
      <c r="M258" t="str">
        <f>""</f>
        <v/>
      </c>
      <c r="O258" t="s">
        <v>2120</v>
      </c>
      <c r="P258" t="str">
        <f>"100%"</f>
        <v>100%</v>
      </c>
      <c r="Q258" t="str">
        <f>"-0.01"</f>
        <v>-0.01</v>
      </c>
      <c r="R258" t="s">
        <v>2121</v>
      </c>
      <c r="U258" t="str">
        <f>""</f>
        <v/>
      </c>
      <c r="V258" t="str">
        <f>""</f>
        <v/>
      </c>
      <c r="W258" t="str">
        <f>""</f>
        <v/>
      </c>
      <c r="X258" t="str">
        <f>"70.5471%"</f>
        <v>70.5471%</v>
      </c>
      <c r="Y258" t="s">
        <v>2122</v>
      </c>
      <c r="Z258" t="str">
        <f>"74.2100%"</f>
        <v>74.2100%</v>
      </c>
      <c r="AA258" t="str">
        <f>"74.1640%"</f>
        <v>74.1640%</v>
      </c>
      <c r="AE258" t="str">
        <f>""</f>
        <v/>
      </c>
    </row>
    <row r="259" spans="1:31" x14ac:dyDescent="0.3">
      <c r="A259" s="1" t="s">
        <v>2123</v>
      </c>
      <c r="B259" t="s">
        <v>113</v>
      </c>
      <c r="C259" t="s">
        <v>2124</v>
      </c>
      <c r="D259" t="s">
        <v>35</v>
      </c>
      <c r="E259" t="s">
        <v>36</v>
      </c>
      <c r="F259" t="s">
        <v>1712</v>
      </c>
      <c r="G259" t="str">
        <f t="shared" si="26"/>
        <v>11000</v>
      </c>
      <c r="H259" t="s">
        <v>2050</v>
      </c>
      <c r="I259" t="str">
        <f>"52%"</f>
        <v>52%</v>
      </c>
      <c r="J259" t="str">
        <f>"-0.08"</f>
        <v>-0.08</v>
      </c>
      <c r="K259" t="str">
        <f t="shared" si="27"/>
        <v>110</v>
      </c>
      <c r="L259" t="str">
        <f>"MIR519E;MIR515-1;MIR515-2"</f>
        <v>MIR519E;MIR515-1;MIR515-2</v>
      </c>
      <c r="M259" t="str">
        <f>""</f>
        <v/>
      </c>
      <c r="O259" t="s">
        <v>2120</v>
      </c>
      <c r="P259" t="str">
        <f>"49%"</f>
        <v>49%</v>
      </c>
      <c r="Q259" t="str">
        <f>"-0.01"</f>
        <v>-0.01</v>
      </c>
      <c r="R259" t="s">
        <v>2125</v>
      </c>
      <c r="U259" t="str">
        <f>""</f>
        <v/>
      </c>
      <c r="V259" t="str">
        <f>""</f>
        <v/>
      </c>
      <c r="W259" t="str">
        <f>""</f>
        <v/>
      </c>
      <c r="X259" t="str">
        <f>"27.8954%"</f>
        <v>27.8954%</v>
      </c>
      <c r="Y259" t="s">
        <v>2126</v>
      </c>
      <c r="Z259" t="str">
        <f>"20.3850%"</f>
        <v>20.3850%</v>
      </c>
      <c r="AA259" t="str">
        <f>"20.3620%"</f>
        <v>20.3620%</v>
      </c>
      <c r="AE259" t="str">
        <f>""</f>
        <v/>
      </c>
    </row>
    <row r="260" spans="1:31" x14ac:dyDescent="0.3">
      <c r="A260" s="1" t="s">
        <v>2127</v>
      </c>
      <c r="B260" t="s">
        <v>120</v>
      </c>
      <c r="C260" t="s">
        <v>2128</v>
      </c>
      <c r="D260" t="s">
        <v>36</v>
      </c>
      <c r="E260" t="s">
        <v>35</v>
      </c>
      <c r="F260" t="s">
        <v>129</v>
      </c>
      <c r="G260" t="str">
        <f t="shared" si="26"/>
        <v>11000</v>
      </c>
      <c r="H260" t="s">
        <v>1952</v>
      </c>
      <c r="I260" t="str">
        <f>"100%"</f>
        <v>100%</v>
      </c>
      <c r="J260" t="str">
        <f>"-0.00"</f>
        <v>-0.00</v>
      </c>
      <c r="K260" t="str">
        <f t="shared" si="27"/>
        <v>110</v>
      </c>
      <c r="L260" t="str">
        <f>"DIEXF"</f>
        <v>DIEXF</v>
      </c>
      <c r="M260" t="str">
        <f>""</f>
        <v/>
      </c>
      <c r="O260" t="s">
        <v>2129</v>
      </c>
      <c r="P260" t="str">
        <f>"100%"</f>
        <v>100%</v>
      </c>
      <c r="Q260" t="str">
        <f>"-0.00"</f>
        <v>-0.00</v>
      </c>
      <c r="R260" t="s">
        <v>2130</v>
      </c>
      <c r="U260" t="str">
        <f>""</f>
        <v/>
      </c>
      <c r="V260" t="str">
        <f>""</f>
        <v/>
      </c>
      <c r="W260" t="str">
        <f>""</f>
        <v/>
      </c>
      <c r="X260" t="str">
        <f>"30.6709%"</f>
        <v>30.6709%</v>
      </c>
      <c r="Y260" t="s">
        <v>2131</v>
      </c>
      <c r="Z260" t="str">
        <f>"34.4710%"</f>
        <v>34.4710%</v>
      </c>
      <c r="AA260" t="str">
        <f>"34.4710%"</f>
        <v>34.4710%</v>
      </c>
      <c r="AE260" t="str">
        <f>""</f>
        <v/>
      </c>
    </row>
    <row r="261" spans="1:31" x14ac:dyDescent="0.3">
      <c r="A261" s="1" t="s">
        <v>2132</v>
      </c>
      <c r="B261" t="s">
        <v>106</v>
      </c>
      <c r="C261" t="s">
        <v>2133</v>
      </c>
      <c r="D261" t="s">
        <v>35</v>
      </c>
      <c r="E261" t="s">
        <v>82</v>
      </c>
      <c r="F261" t="s">
        <v>37</v>
      </c>
      <c r="G261" t="str">
        <f t="shared" si="26"/>
        <v>11000</v>
      </c>
      <c r="H261" t="s">
        <v>2134</v>
      </c>
      <c r="I261" t="str">
        <f>"100%"</f>
        <v>100%</v>
      </c>
      <c r="J261" t="str">
        <f>"-0.05"</f>
        <v>-0.05</v>
      </c>
      <c r="K261" t="str">
        <f t="shared" si="27"/>
        <v>110</v>
      </c>
      <c r="L261" t="str">
        <f>"C5orf34 p.T32S"</f>
        <v>C5orf34 p.T32S</v>
      </c>
      <c r="M261" t="str">
        <f>"NM_198566"</f>
        <v>NM_198566</v>
      </c>
      <c r="O261" t="s">
        <v>2135</v>
      </c>
      <c r="P261" t="str">
        <f>"100%"</f>
        <v>100%</v>
      </c>
      <c r="Q261" t="str">
        <f>"0.02"</f>
        <v>0.02</v>
      </c>
      <c r="S261" t="s">
        <v>40</v>
      </c>
      <c r="T261" t="s">
        <v>2136</v>
      </c>
      <c r="U261" t="str">
        <f>"99.8400%"</f>
        <v>99.8400%</v>
      </c>
      <c r="V261" t="str">
        <f>"99.8800%"</f>
        <v>99.8800%</v>
      </c>
      <c r="W261" t="str">
        <f>"99.4600%"</f>
        <v>99.4600%</v>
      </c>
      <c r="X261" t="str">
        <f>"99.4010%"</f>
        <v>99.4010%</v>
      </c>
      <c r="Y261" t="s">
        <v>2137</v>
      </c>
      <c r="Z261" t="str">
        <f>"99.7940%"</f>
        <v>99.7940%</v>
      </c>
      <c r="AA261" t="str">
        <f>"99.7940%"</f>
        <v>99.7940%</v>
      </c>
      <c r="AE261" t="str">
        <f>"15.88"</f>
        <v>15.88</v>
      </c>
    </row>
    <row r="262" spans="1:31" x14ac:dyDescent="0.3">
      <c r="A262" s="1" t="s">
        <v>2138</v>
      </c>
      <c r="B262" t="s">
        <v>120</v>
      </c>
      <c r="C262" t="s">
        <v>2139</v>
      </c>
      <c r="D262" t="s">
        <v>35</v>
      </c>
      <c r="E262" t="s">
        <v>50</v>
      </c>
      <c r="F262" t="s">
        <v>143</v>
      </c>
      <c r="G262" t="str">
        <f t="shared" si="26"/>
        <v>11000</v>
      </c>
      <c r="H262" t="s">
        <v>2140</v>
      </c>
      <c r="I262" t="str">
        <f>"48%"</f>
        <v>48%</v>
      </c>
      <c r="J262" t="str">
        <f>"0.01"</f>
        <v>0.01</v>
      </c>
      <c r="K262" t="str">
        <f t="shared" si="27"/>
        <v>110</v>
      </c>
      <c r="L262" t="str">
        <f>"LOC110117498-PIK3R3;PIK3R3"</f>
        <v>LOC110117498-PIK3R3;PIK3R3</v>
      </c>
      <c r="M262" t="str">
        <f>""</f>
        <v/>
      </c>
      <c r="O262" t="s">
        <v>2141</v>
      </c>
      <c r="P262" t="str">
        <f>"52%"</f>
        <v>52%</v>
      </c>
      <c r="Q262" t="str">
        <f>"-0.01"</f>
        <v>-0.01</v>
      </c>
      <c r="R262" t="s">
        <v>2142</v>
      </c>
      <c r="U262" t="str">
        <f>""</f>
        <v/>
      </c>
      <c r="V262" t="str">
        <f>""</f>
        <v/>
      </c>
      <c r="W262" t="str">
        <f>""</f>
        <v/>
      </c>
      <c r="X262" t="str">
        <f>"11.8211%"</f>
        <v>11.8211%</v>
      </c>
      <c r="Y262" t="s">
        <v>2143</v>
      </c>
      <c r="Z262" t="str">
        <f>"18.5750%"</f>
        <v>18.5750%</v>
      </c>
      <c r="AA262" t="str">
        <f>"18.5750%"</f>
        <v>18.5750%</v>
      </c>
      <c r="AE262" t="str">
        <f>""</f>
        <v/>
      </c>
    </row>
    <row r="263" spans="1:31" x14ac:dyDescent="0.3">
      <c r="A263" s="1" t="s">
        <v>2144</v>
      </c>
      <c r="B263" t="s">
        <v>106</v>
      </c>
      <c r="C263" t="s">
        <v>2145</v>
      </c>
      <c r="D263" t="s">
        <v>82</v>
      </c>
      <c r="E263" t="s">
        <v>50</v>
      </c>
      <c r="F263" t="s">
        <v>129</v>
      </c>
      <c r="G263" t="str">
        <f t="shared" si="26"/>
        <v>11000</v>
      </c>
      <c r="H263" t="s">
        <v>2146</v>
      </c>
      <c r="I263" t="str">
        <f>"100%"</f>
        <v>100%</v>
      </c>
      <c r="J263" t="str">
        <f>"-0.32"</f>
        <v>-0.32</v>
      </c>
      <c r="K263" t="str">
        <f t="shared" si="27"/>
        <v>110</v>
      </c>
      <c r="L263" t="str">
        <f>"TERT"</f>
        <v>TERT</v>
      </c>
      <c r="M263" t="str">
        <f>""</f>
        <v/>
      </c>
      <c r="O263" t="s">
        <v>2147</v>
      </c>
      <c r="P263" t="str">
        <f>"100%"</f>
        <v>100%</v>
      </c>
      <c r="Q263" t="str">
        <f>"0.02"</f>
        <v>0.02</v>
      </c>
      <c r="R263" t="s">
        <v>2148</v>
      </c>
      <c r="U263" t="str">
        <f>""</f>
        <v/>
      </c>
      <c r="V263" t="str">
        <f>""</f>
        <v/>
      </c>
      <c r="W263" t="str">
        <f>""</f>
        <v/>
      </c>
      <c r="X263" t="str">
        <f>"90.6749%"</f>
        <v>90.6749%</v>
      </c>
      <c r="Y263" t="s">
        <v>2149</v>
      </c>
      <c r="Z263" t="str">
        <f>"86.6010%"</f>
        <v>86.6010%</v>
      </c>
      <c r="AA263" t="str">
        <f>"86.6010%"</f>
        <v>86.6010%</v>
      </c>
      <c r="AE263" t="str">
        <f>""</f>
        <v/>
      </c>
    </row>
    <row r="264" spans="1:31" x14ac:dyDescent="0.3">
      <c r="A264" s="1" t="s">
        <v>2150</v>
      </c>
      <c r="B264" t="s">
        <v>683</v>
      </c>
      <c r="C264" t="s">
        <v>2151</v>
      </c>
      <c r="D264" t="s">
        <v>82</v>
      </c>
      <c r="E264" t="s">
        <v>35</v>
      </c>
      <c r="F264" t="s">
        <v>37</v>
      </c>
      <c r="G264" t="str">
        <f t="shared" si="26"/>
        <v>11000</v>
      </c>
      <c r="H264" t="s">
        <v>2152</v>
      </c>
      <c r="I264" t="str">
        <f>"100%"</f>
        <v>100%</v>
      </c>
      <c r="J264" t="str">
        <f>"-0.03"</f>
        <v>-0.03</v>
      </c>
      <c r="K264" t="str">
        <f t="shared" si="27"/>
        <v>110</v>
      </c>
      <c r="L264" t="str">
        <f>"ESPL1 p.K1435M"</f>
        <v>ESPL1 p.K1435M</v>
      </c>
      <c r="M264" t="str">
        <f>"NM_012291"</f>
        <v>NM_012291</v>
      </c>
      <c r="O264" t="s">
        <v>957</v>
      </c>
      <c r="P264" t="str">
        <f>"100%"</f>
        <v>100%</v>
      </c>
      <c r="Q264" t="str">
        <f>"-0.00"</f>
        <v>-0.00</v>
      </c>
      <c r="S264" t="s">
        <v>40</v>
      </c>
      <c r="T264" t="s">
        <v>2153</v>
      </c>
      <c r="U264" t="str">
        <f>"96.3300%"</f>
        <v>96.3300%</v>
      </c>
      <c r="V264" t="str">
        <f>"97.0600%"</f>
        <v>97.0600%</v>
      </c>
      <c r="W264" t="str">
        <f>"86.6500%"</f>
        <v>86.6500%</v>
      </c>
      <c r="X264" t="str">
        <f>"87.7995%"</f>
        <v>87.7995%</v>
      </c>
      <c r="Y264" t="s">
        <v>2154</v>
      </c>
      <c r="Z264" t="str">
        <f>"97.3430%"</f>
        <v>97.3430%</v>
      </c>
      <c r="AA264" t="str">
        <f>"97.3200%"</f>
        <v>97.3200%</v>
      </c>
      <c r="AC264" t="s">
        <v>2155</v>
      </c>
      <c r="AE264" t="str">
        <f>"15.70"</f>
        <v>15.70</v>
      </c>
    </row>
    <row r="265" spans="1:31" x14ac:dyDescent="0.3">
      <c r="A265" s="1" t="s">
        <v>2156</v>
      </c>
      <c r="B265" t="s">
        <v>120</v>
      </c>
      <c r="C265" t="s">
        <v>2157</v>
      </c>
      <c r="D265" t="s">
        <v>35</v>
      </c>
      <c r="E265" t="s">
        <v>36</v>
      </c>
      <c r="F265" t="s">
        <v>37</v>
      </c>
      <c r="G265" t="str">
        <f t="shared" si="26"/>
        <v>11000</v>
      </c>
      <c r="H265" t="s">
        <v>2158</v>
      </c>
      <c r="I265" t="str">
        <f>"51%"</f>
        <v>51%</v>
      </c>
      <c r="J265" t="str">
        <f>"0.01"</f>
        <v>0.01</v>
      </c>
      <c r="K265" t="str">
        <f t="shared" si="27"/>
        <v>110</v>
      </c>
      <c r="L265" t="str">
        <f>"ID3 p.T105A"</f>
        <v>ID3 p.T105A</v>
      </c>
      <c r="M265" t="str">
        <f>"NM_002167"</f>
        <v>NM_002167</v>
      </c>
      <c r="O265" t="s">
        <v>2159</v>
      </c>
      <c r="P265" t="str">
        <f>"45%"</f>
        <v>45%</v>
      </c>
      <c r="Q265" t="str">
        <f>"-0.01"</f>
        <v>-0.01</v>
      </c>
      <c r="S265" t="s">
        <v>40</v>
      </c>
      <c r="T265" t="s">
        <v>2160</v>
      </c>
      <c r="U265" t="str">
        <f>"80.3700%"</f>
        <v>80.3700%</v>
      </c>
      <c r="V265" t="str">
        <f>"79.5800%"</f>
        <v>79.5800%</v>
      </c>
      <c r="W265" t="str">
        <f>"82.1900%"</f>
        <v>82.1900%</v>
      </c>
      <c r="X265" t="str">
        <f>"89.0375%"</f>
        <v>89.0375%</v>
      </c>
      <c r="Y265" t="s">
        <v>2161</v>
      </c>
      <c r="Z265" t="str">
        <f>"78.6990%"</f>
        <v>78.6990%</v>
      </c>
      <c r="AA265" t="str">
        <f>"78.7450%"</f>
        <v>78.7450%</v>
      </c>
      <c r="AC265" t="s">
        <v>2162</v>
      </c>
      <c r="AE265" t="str">
        <f>"0.012"</f>
        <v>0.012</v>
      </c>
    </row>
    <row r="266" spans="1:31" x14ac:dyDescent="0.3">
      <c r="A266" s="1" t="s">
        <v>2163</v>
      </c>
      <c r="B266" t="s">
        <v>113</v>
      </c>
      <c r="C266" t="s">
        <v>2164</v>
      </c>
      <c r="D266" t="s">
        <v>35</v>
      </c>
      <c r="E266" t="s">
        <v>36</v>
      </c>
      <c r="F266" t="s">
        <v>37</v>
      </c>
      <c r="G266" t="str">
        <f t="shared" si="26"/>
        <v>11000</v>
      </c>
      <c r="H266" t="s">
        <v>2165</v>
      </c>
      <c r="I266" t="str">
        <f>"100%"</f>
        <v>100%</v>
      </c>
      <c r="J266" t="str">
        <f>"-0.19"</f>
        <v>-0.19</v>
      </c>
      <c r="K266" t="str">
        <f t="shared" si="27"/>
        <v>110</v>
      </c>
      <c r="L266" t="str">
        <f>"PIK3R2 p.S313P"</f>
        <v>PIK3R2 p.S313P</v>
      </c>
      <c r="M266" t="str">
        <f>"NM_005027"</f>
        <v>NM_005027</v>
      </c>
      <c r="O266" t="s">
        <v>2166</v>
      </c>
      <c r="P266" t="str">
        <f>"100%"</f>
        <v>100%</v>
      </c>
      <c r="Q266" t="str">
        <f>"-0.04"</f>
        <v>-0.04</v>
      </c>
      <c r="S266" t="s">
        <v>40</v>
      </c>
      <c r="T266" t="s">
        <v>2167</v>
      </c>
      <c r="U266" t="str">
        <f>"95.0100%"</f>
        <v>95.0100%</v>
      </c>
      <c r="V266" t="str">
        <f>"95.2000%"</f>
        <v>95.2000%</v>
      </c>
      <c r="W266" t="str">
        <f>"95.5200%"</f>
        <v>95.5200%</v>
      </c>
      <c r="X266" t="str">
        <f>"95.3474%"</f>
        <v>95.3474%</v>
      </c>
      <c r="Y266" t="s">
        <v>2168</v>
      </c>
      <c r="Z266" t="str">
        <f>"95.0980%"</f>
        <v>95.0980%</v>
      </c>
      <c r="AA266" t="str">
        <f>"95.0760%"</f>
        <v>95.0760%</v>
      </c>
      <c r="AC266" t="s">
        <v>2169</v>
      </c>
      <c r="AE266" t="str">
        <f>"0.006"</f>
        <v>0.006</v>
      </c>
    </row>
    <row r="267" spans="1:31" x14ac:dyDescent="0.3">
      <c r="A267" s="1" t="s">
        <v>2170</v>
      </c>
      <c r="B267" t="s">
        <v>65</v>
      </c>
      <c r="C267" t="s">
        <v>2171</v>
      </c>
      <c r="D267" t="s">
        <v>50</v>
      </c>
      <c r="E267" t="s">
        <v>82</v>
      </c>
      <c r="F267" t="s">
        <v>37</v>
      </c>
      <c r="G267" t="str">
        <f t="shared" si="26"/>
        <v>11000</v>
      </c>
      <c r="H267" t="s">
        <v>2172</v>
      </c>
      <c r="I267" t="str">
        <f>"49%"</f>
        <v>49%</v>
      </c>
      <c r="J267" t="str">
        <f>"0.01"</f>
        <v>0.01</v>
      </c>
      <c r="K267" t="str">
        <f t="shared" si="27"/>
        <v>110</v>
      </c>
      <c r="L267" t="str">
        <f>"RSPH9 p.V261I"</f>
        <v>RSPH9 p.V261I</v>
      </c>
      <c r="M267" t="str">
        <f>"NM_152732"</f>
        <v>NM_152732</v>
      </c>
      <c r="O267" t="s">
        <v>123</v>
      </c>
      <c r="P267" t="str">
        <f>"41%"</f>
        <v>41%</v>
      </c>
      <c r="Q267" t="str">
        <f>"0.00"</f>
        <v>0.00</v>
      </c>
      <c r="S267" t="s">
        <v>40</v>
      </c>
      <c r="T267" t="s">
        <v>2173</v>
      </c>
      <c r="U267" t="str">
        <f>"7.9700%"</f>
        <v>7.9700%</v>
      </c>
      <c r="V267" t="str">
        <f>"7.6500%"</f>
        <v>7.6500%</v>
      </c>
      <c r="W267" t="str">
        <f>"6.3200%"</f>
        <v>6.3200%</v>
      </c>
      <c r="X267" t="str">
        <f>"13.0192%"</f>
        <v>13.0192%</v>
      </c>
      <c r="Y267" t="s">
        <v>2174</v>
      </c>
      <c r="Z267" t="str">
        <f>"7.3750%"</f>
        <v>7.3750%</v>
      </c>
      <c r="AA267" t="str">
        <f>"7.3750%"</f>
        <v>7.3750%</v>
      </c>
      <c r="AD267" t="s">
        <v>2175</v>
      </c>
      <c r="AE267" t="str">
        <f>"5.962"</f>
        <v>5.962</v>
      </c>
    </row>
    <row r="268" spans="1:31" x14ac:dyDescent="0.3">
      <c r="A268" s="1" t="s">
        <v>2176</v>
      </c>
      <c r="B268" t="s">
        <v>120</v>
      </c>
      <c r="C268" t="s">
        <v>2177</v>
      </c>
      <c r="D268" t="s">
        <v>2178</v>
      </c>
      <c r="E268" t="s">
        <v>2179</v>
      </c>
      <c r="F268" t="s">
        <v>37</v>
      </c>
      <c r="G268" t="str">
        <f>"10000"</f>
        <v>10000</v>
      </c>
      <c r="H268" t="s">
        <v>2180</v>
      </c>
      <c r="I268" t="str">
        <f>"47%"</f>
        <v>47%</v>
      </c>
      <c r="J268" t="str">
        <f>"0.01"</f>
        <v>0.01</v>
      </c>
      <c r="K268" t="str">
        <f>"100"</f>
        <v>100</v>
      </c>
      <c r="L268" t="str">
        <f>"EPHA2 c.570_573ACTA"</f>
        <v>EPHA2 c.570_573ACTA</v>
      </c>
      <c r="M268" t="str">
        <f>"NM_004431"</f>
        <v>NM_004431</v>
      </c>
      <c r="O268" t="s">
        <v>2181</v>
      </c>
      <c r="P268" t="str">
        <f>"50%"</f>
        <v>50%</v>
      </c>
      <c r="Q268" t="str">
        <f>"-0.01"</f>
        <v>-0.01</v>
      </c>
      <c r="S268" t="s">
        <v>77</v>
      </c>
      <c r="T268" t="s">
        <v>2182</v>
      </c>
      <c r="U268" t="str">
        <f>""</f>
        <v/>
      </c>
      <c r="V268" t="str">
        <f>""</f>
        <v/>
      </c>
      <c r="W268" t="str">
        <f>""</f>
        <v/>
      </c>
      <c r="X268" t="str">
        <f>""</f>
        <v/>
      </c>
      <c r="Z268" t="str">
        <f>"29.9130%"</f>
        <v>29.9130%</v>
      </c>
      <c r="AA268" t="str">
        <f>"29.8900%"</f>
        <v>29.8900%</v>
      </c>
      <c r="AE268" t="str">
        <f>""</f>
        <v/>
      </c>
    </row>
    <row r="269" spans="1:31" x14ac:dyDescent="0.3">
      <c r="A269" s="1" t="s">
        <v>2183</v>
      </c>
      <c r="B269" t="s">
        <v>683</v>
      </c>
      <c r="C269" t="s">
        <v>2184</v>
      </c>
      <c r="D269" t="s">
        <v>50</v>
      </c>
      <c r="E269" t="s">
        <v>82</v>
      </c>
      <c r="F269" t="s">
        <v>37</v>
      </c>
      <c r="G269" t="str">
        <f t="shared" ref="G269:G274" si="28">"11000"</f>
        <v>11000</v>
      </c>
      <c r="H269" t="s">
        <v>2185</v>
      </c>
      <c r="I269" t="str">
        <f>"46%"</f>
        <v>46%</v>
      </c>
      <c r="J269" t="str">
        <f>"-0.03"</f>
        <v>-0.03</v>
      </c>
      <c r="K269" t="str">
        <f t="shared" ref="K269:K274" si="29">"110"</f>
        <v>110</v>
      </c>
      <c r="L269" t="str">
        <f>"GLI1 p.G421S"</f>
        <v>GLI1 p.G421S</v>
      </c>
      <c r="M269" t="str">
        <f>"NM_005269"</f>
        <v>NM_005269</v>
      </c>
      <c r="O269" t="s">
        <v>975</v>
      </c>
      <c r="P269" t="str">
        <f>"48%"</f>
        <v>48%</v>
      </c>
      <c r="Q269" t="str">
        <f>"-0.00"</f>
        <v>-0.00</v>
      </c>
      <c r="S269" t="s">
        <v>40</v>
      </c>
      <c r="T269" t="s">
        <v>2186</v>
      </c>
      <c r="U269" t="str">
        <f>"0.0300%"</f>
        <v>0.0300%</v>
      </c>
      <c r="V269" t="str">
        <f>"0.0300%"</f>
        <v>0.0300%</v>
      </c>
      <c r="W269" t="str">
        <f>"0.0077%"</f>
        <v>0.0077%</v>
      </c>
      <c r="X269" t="str">
        <f>""</f>
        <v/>
      </c>
      <c r="Y269" t="s">
        <v>2187</v>
      </c>
      <c r="Z269" t="str">
        <f>""</f>
        <v/>
      </c>
      <c r="AA269" t="str">
        <f>""</f>
        <v/>
      </c>
      <c r="AE269" t="str">
        <f>"16.64"</f>
        <v>16.64</v>
      </c>
    </row>
    <row r="270" spans="1:31" x14ac:dyDescent="0.3">
      <c r="A270" s="1" t="s">
        <v>2188</v>
      </c>
      <c r="B270" t="s">
        <v>351</v>
      </c>
      <c r="C270" t="s">
        <v>2189</v>
      </c>
      <c r="D270" t="s">
        <v>50</v>
      </c>
      <c r="E270" t="s">
        <v>82</v>
      </c>
      <c r="F270" t="s">
        <v>37</v>
      </c>
      <c r="G270" t="str">
        <f t="shared" si="28"/>
        <v>11000</v>
      </c>
      <c r="H270" t="s">
        <v>2190</v>
      </c>
      <c r="I270" t="str">
        <f>"51%"</f>
        <v>51%</v>
      </c>
      <c r="J270" t="str">
        <f>"0.01"</f>
        <v>0.01</v>
      </c>
      <c r="K270" t="str">
        <f t="shared" si="29"/>
        <v>110</v>
      </c>
      <c r="L270" t="str">
        <f>"CLDN18 p.V88I"</f>
        <v>CLDN18 p.V88I</v>
      </c>
      <c r="M270" t="str">
        <f>"NM_016369"</f>
        <v>NM_016369</v>
      </c>
      <c r="O270" t="s">
        <v>932</v>
      </c>
      <c r="P270" t="str">
        <f>"45%"</f>
        <v>45%</v>
      </c>
      <c r="Q270" t="str">
        <f>"-0.01"</f>
        <v>-0.01</v>
      </c>
      <c r="S270" t="s">
        <v>40</v>
      </c>
      <c r="T270" t="s">
        <v>2191</v>
      </c>
      <c r="U270" t="str">
        <f>"0.2300%"</f>
        <v>0.2300%</v>
      </c>
      <c r="V270" t="str">
        <f>"0.2200%"</f>
        <v>0.2200%</v>
      </c>
      <c r="W270" t="str">
        <f>"0.1700%"</f>
        <v>0.1700%</v>
      </c>
      <c r="X270" t="str">
        <f>"0.2796%"</f>
        <v>0.2796%</v>
      </c>
      <c r="Y270" t="s">
        <v>2192</v>
      </c>
      <c r="Z270" t="str">
        <f>"0.2520%"</f>
        <v>0.2520%</v>
      </c>
      <c r="AA270" t="str">
        <f>"0.2520%"</f>
        <v>0.2520%</v>
      </c>
      <c r="AE270" t="str">
        <f>"15.84"</f>
        <v>15.84</v>
      </c>
    </row>
    <row r="271" spans="1:31" x14ac:dyDescent="0.3">
      <c r="A271" s="1" t="s">
        <v>2193</v>
      </c>
      <c r="B271" t="s">
        <v>231</v>
      </c>
      <c r="C271" t="s">
        <v>2194</v>
      </c>
      <c r="D271" t="s">
        <v>50</v>
      </c>
      <c r="E271" t="s">
        <v>82</v>
      </c>
      <c r="F271" t="s">
        <v>37</v>
      </c>
      <c r="G271" t="str">
        <f t="shared" si="28"/>
        <v>11000</v>
      </c>
      <c r="H271" t="s">
        <v>940</v>
      </c>
      <c r="I271" t="str">
        <f>"49%"</f>
        <v>49%</v>
      </c>
      <c r="J271" t="str">
        <f>"-0.01"</f>
        <v>-0.01</v>
      </c>
      <c r="K271" t="str">
        <f t="shared" si="29"/>
        <v>110</v>
      </c>
      <c r="L271" t="str">
        <f>"PDGFB p.T212M"</f>
        <v>PDGFB p.T212M</v>
      </c>
      <c r="M271" t="str">
        <f>"NM_002608"</f>
        <v>NM_002608</v>
      </c>
      <c r="O271" t="s">
        <v>941</v>
      </c>
      <c r="P271" t="str">
        <f>"48%"</f>
        <v>48%</v>
      </c>
      <c r="Q271" t="str">
        <f>"-0.00"</f>
        <v>-0.00</v>
      </c>
      <c r="S271" t="s">
        <v>40</v>
      </c>
      <c r="T271" t="s">
        <v>2195</v>
      </c>
      <c r="U271" t="str">
        <f>"0.5600%"</f>
        <v>0.5600%</v>
      </c>
      <c r="V271" t="str">
        <f>"0.5500%"</f>
        <v>0.5500%</v>
      </c>
      <c r="W271" t="str">
        <f>"0.3700%"</f>
        <v>0.3700%</v>
      </c>
      <c r="X271" t="str">
        <f>"0.3195%"</f>
        <v>0.3195%</v>
      </c>
      <c r="Y271" t="s">
        <v>2196</v>
      </c>
      <c r="Z271" t="str">
        <f>"0.5730%"</f>
        <v>0.5730%</v>
      </c>
      <c r="AA271" t="str">
        <f>"0.5730%"</f>
        <v>0.5730%</v>
      </c>
      <c r="AD271" t="s">
        <v>2197</v>
      </c>
      <c r="AE271" t="str">
        <f>"13.49"</f>
        <v>13.49</v>
      </c>
    </row>
    <row r="272" spans="1:31" x14ac:dyDescent="0.3">
      <c r="A272" s="1" t="s">
        <v>2198</v>
      </c>
      <c r="B272" t="s">
        <v>106</v>
      </c>
      <c r="C272" t="s">
        <v>2199</v>
      </c>
      <c r="D272" t="s">
        <v>36</v>
      </c>
      <c r="E272" t="s">
        <v>35</v>
      </c>
      <c r="F272" t="s">
        <v>129</v>
      </c>
      <c r="G272" t="str">
        <f t="shared" si="28"/>
        <v>11000</v>
      </c>
      <c r="H272" t="s">
        <v>2200</v>
      </c>
      <c r="I272" t="str">
        <f>"50%"</f>
        <v>50%</v>
      </c>
      <c r="J272" t="str">
        <f>"0.01"</f>
        <v>0.01</v>
      </c>
      <c r="K272" t="str">
        <f t="shared" si="29"/>
        <v>110</v>
      </c>
      <c r="L272" t="str">
        <f>"ABLIM3"</f>
        <v>ABLIM3</v>
      </c>
      <c r="M272" t="str">
        <f>""</f>
        <v/>
      </c>
      <c r="O272" t="s">
        <v>2201</v>
      </c>
      <c r="P272" t="str">
        <f>"45%"</f>
        <v>45%</v>
      </c>
      <c r="Q272" t="str">
        <f>"-0.01"</f>
        <v>-0.01</v>
      </c>
      <c r="R272" t="s">
        <v>2202</v>
      </c>
      <c r="U272" t="str">
        <f>""</f>
        <v/>
      </c>
      <c r="V272" t="str">
        <f>""</f>
        <v/>
      </c>
      <c r="W272" t="str">
        <f>""</f>
        <v/>
      </c>
      <c r="X272" t="str">
        <f>"48.9217%"</f>
        <v>48.9217%</v>
      </c>
      <c r="Y272" t="s">
        <v>2203</v>
      </c>
      <c r="Z272" t="str">
        <f>"56.2070%"</f>
        <v>56.2070%</v>
      </c>
      <c r="AA272" t="str">
        <f>"56.2070%"</f>
        <v>56.2070%</v>
      </c>
      <c r="AE272" t="str">
        <f>""</f>
        <v/>
      </c>
    </row>
    <row r="273" spans="1:31" x14ac:dyDescent="0.3">
      <c r="A273" s="1" t="s">
        <v>2204</v>
      </c>
      <c r="B273" t="s">
        <v>120</v>
      </c>
      <c r="C273" t="s">
        <v>2205</v>
      </c>
      <c r="D273" t="s">
        <v>82</v>
      </c>
      <c r="E273" t="s">
        <v>36</v>
      </c>
      <c r="F273" t="s">
        <v>37</v>
      </c>
      <c r="G273" t="str">
        <f t="shared" si="28"/>
        <v>11000</v>
      </c>
      <c r="H273" t="s">
        <v>269</v>
      </c>
      <c r="I273" t="str">
        <f>"100%"</f>
        <v>100%</v>
      </c>
      <c r="J273" t="str">
        <f>"-0.53"</f>
        <v>-0.53</v>
      </c>
      <c r="K273" t="str">
        <f t="shared" si="29"/>
        <v>110</v>
      </c>
      <c r="L273" t="str">
        <f>"SPTA1 p.S1163A"</f>
        <v>SPTA1 p.S1163A</v>
      </c>
      <c r="M273" t="str">
        <f>"NM_003126"</f>
        <v>NM_003126</v>
      </c>
      <c r="O273" t="s">
        <v>1001</v>
      </c>
      <c r="P273" t="str">
        <f>"100%"</f>
        <v>100%</v>
      </c>
      <c r="Q273" t="str">
        <f>"-0.00"</f>
        <v>-0.00</v>
      </c>
      <c r="S273" t="s">
        <v>40</v>
      </c>
      <c r="T273" t="s">
        <v>2206</v>
      </c>
      <c r="U273" t="str">
        <f>"99.8300%"</f>
        <v>99.8300%</v>
      </c>
      <c r="V273" t="str">
        <f>"99.8400%"</f>
        <v>99.8400%</v>
      </c>
      <c r="W273" t="str">
        <f>"99.4000%"</f>
        <v>99.4000%</v>
      </c>
      <c r="X273" t="str">
        <f>"99.4609%"</f>
        <v>99.4609%</v>
      </c>
      <c r="Y273" t="s">
        <v>2207</v>
      </c>
      <c r="Z273" t="str">
        <f>"99.7250%"</f>
        <v>99.7250%</v>
      </c>
      <c r="AA273" t="str">
        <f>"99.7020%"</f>
        <v>99.7020%</v>
      </c>
      <c r="AC273" t="s">
        <v>2208</v>
      </c>
      <c r="AD273" t="s">
        <v>2209</v>
      </c>
      <c r="AE273" t="str">
        <f>"5.600"</f>
        <v>5.600</v>
      </c>
    </row>
    <row r="274" spans="1:31" x14ac:dyDescent="0.3">
      <c r="A274" s="1" t="s">
        <v>2210</v>
      </c>
      <c r="B274" t="s">
        <v>58</v>
      </c>
      <c r="C274" t="s">
        <v>2211</v>
      </c>
      <c r="D274" t="s">
        <v>36</v>
      </c>
      <c r="E274" t="s">
        <v>35</v>
      </c>
      <c r="F274" t="s">
        <v>37</v>
      </c>
      <c r="G274" t="str">
        <f t="shared" si="28"/>
        <v>11000</v>
      </c>
      <c r="H274" t="s">
        <v>2146</v>
      </c>
      <c r="I274" t="str">
        <f>"48%"</f>
        <v>48%</v>
      </c>
      <c r="J274" t="str">
        <f>"-0.03"</f>
        <v>-0.03</v>
      </c>
      <c r="K274" t="str">
        <f t="shared" si="29"/>
        <v>110</v>
      </c>
      <c r="L274" t="str">
        <f>"KNSTRN p.P92S"</f>
        <v>KNSTRN p.P92S</v>
      </c>
      <c r="M274" t="str">
        <f>"NM_033286"</f>
        <v>NM_033286</v>
      </c>
      <c r="O274" t="s">
        <v>1001</v>
      </c>
      <c r="P274" t="str">
        <f>"49%"</f>
        <v>49%</v>
      </c>
      <c r="Q274" t="str">
        <f>"-0.00"</f>
        <v>-0.00</v>
      </c>
      <c r="S274" t="s">
        <v>40</v>
      </c>
      <c r="T274" t="s">
        <v>2212</v>
      </c>
      <c r="U274" t="str">
        <f>"9.0700%"</f>
        <v>9.0700%</v>
      </c>
      <c r="V274" t="str">
        <f>"9.1900%"</f>
        <v>9.1900%</v>
      </c>
      <c r="W274" t="str">
        <f>"8.8300%"</f>
        <v>8.8300%</v>
      </c>
      <c r="X274" t="str">
        <f>"4.4529%"</f>
        <v>4.4529%</v>
      </c>
      <c r="Y274" t="s">
        <v>2213</v>
      </c>
      <c r="Z274" t="str">
        <f>"9.8950%"</f>
        <v>9.8950%</v>
      </c>
      <c r="AA274" t="str">
        <f>"9.9180%"</f>
        <v>9.9180%</v>
      </c>
      <c r="AC274" t="s">
        <v>2214</v>
      </c>
      <c r="AE274" t="str">
        <f>"5.237"</f>
        <v>5.237</v>
      </c>
    </row>
    <row r="275" spans="1:31" x14ac:dyDescent="0.3">
      <c r="A275" s="1" t="s">
        <v>141</v>
      </c>
      <c r="B275" t="s">
        <v>113</v>
      </c>
      <c r="C275" t="s">
        <v>142</v>
      </c>
      <c r="D275" t="s">
        <v>50</v>
      </c>
      <c r="E275" t="s">
        <v>35</v>
      </c>
      <c r="F275" t="s">
        <v>143</v>
      </c>
      <c r="G275" t="str">
        <f>"10000"</f>
        <v>10000</v>
      </c>
      <c r="H275" t="s">
        <v>144</v>
      </c>
      <c r="I275" t="str">
        <f>"6%"</f>
        <v>6%</v>
      </c>
      <c r="J275" t="str">
        <f>"-0.08"</f>
        <v>-0.08</v>
      </c>
      <c r="K275" t="str">
        <f>"100"</f>
        <v>100</v>
      </c>
      <c r="L275" t="str">
        <f>"MIR523;MIR525"</f>
        <v>MIR523;MIR525</v>
      </c>
      <c r="M275" t="str">
        <f>""</f>
        <v/>
      </c>
      <c r="O275" t="s">
        <v>145</v>
      </c>
      <c r="P275" t="str">
        <f>"8%"</f>
        <v>8%</v>
      </c>
      <c r="Q275" t="str">
        <f>"-0.01"</f>
        <v>-0.01</v>
      </c>
      <c r="R275" t="s">
        <v>146</v>
      </c>
      <c r="U275" t="str">
        <f>""</f>
        <v/>
      </c>
      <c r="V275" t="str">
        <f>""</f>
        <v/>
      </c>
      <c r="W275" t="str">
        <f>""</f>
        <v/>
      </c>
      <c r="X275" t="str">
        <f>""</f>
        <v/>
      </c>
      <c r="Y275" t="s">
        <v>147</v>
      </c>
      <c r="Z275" t="str">
        <f>"11.3610%"</f>
        <v>11.3610%</v>
      </c>
      <c r="AA275" t="str">
        <f>""</f>
        <v/>
      </c>
      <c r="AE275" t="str">
        <f>""</f>
        <v/>
      </c>
    </row>
    <row r="276" spans="1:31" x14ac:dyDescent="0.3">
      <c r="A276" s="1" t="s">
        <v>141</v>
      </c>
      <c r="B276" t="s">
        <v>113</v>
      </c>
      <c r="C276" t="s">
        <v>142</v>
      </c>
      <c r="D276" t="s">
        <v>194</v>
      </c>
      <c r="E276" t="s">
        <v>50</v>
      </c>
      <c r="F276" t="s">
        <v>143</v>
      </c>
      <c r="G276" t="str">
        <f>"10000"</f>
        <v>10000</v>
      </c>
      <c r="H276" t="s">
        <v>144</v>
      </c>
      <c r="I276" t="str">
        <f>"12%"</f>
        <v>12%</v>
      </c>
      <c r="J276" t="str">
        <f>"-0.08"</f>
        <v>-0.08</v>
      </c>
      <c r="K276" t="str">
        <f>"100"</f>
        <v>100</v>
      </c>
      <c r="L276" t="str">
        <f>"MIR523;MIR525"</f>
        <v>MIR523;MIR525</v>
      </c>
      <c r="M276" t="str">
        <f>""</f>
        <v/>
      </c>
      <c r="O276" t="s">
        <v>145</v>
      </c>
      <c r="P276" t="str">
        <f>"11%"</f>
        <v>11%</v>
      </c>
      <c r="Q276" t="str">
        <f>"-0.01"</f>
        <v>-0.01</v>
      </c>
      <c r="R276" t="s">
        <v>195</v>
      </c>
      <c r="U276" t="str">
        <f>""</f>
        <v/>
      </c>
      <c r="V276" t="str">
        <f>""</f>
        <v/>
      </c>
      <c r="W276" t="str">
        <f>""</f>
        <v/>
      </c>
      <c r="X276" t="str">
        <f>""</f>
        <v/>
      </c>
      <c r="Y276" t="s">
        <v>196</v>
      </c>
      <c r="Z276" t="str">
        <f>"41.3190%"</f>
        <v>41.3190%</v>
      </c>
      <c r="AA276" t="str">
        <f>"7.3520%"</f>
        <v>7.3520%</v>
      </c>
      <c r="AE276" t="str">
        <f>""</f>
        <v/>
      </c>
    </row>
    <row r="277" spans="1:31" x14ac:dyDescent="0.3">
      <c r="A277" s="1" t="s">
        <v>141</v>
      </c>
      <c r="B277" t="s">
        <v>113</v>
      </c>
      <c r="C277" t="s">
        <v>142</v>
      </c>
      <c r="D277" t="s">
        <v>50</v>
      </c>
      <c r="E277" t="s">
        <v>194</v>
      </c>
      <c r="F277" t="s">
        <v>143</v>
      </c>
      <c r="G277" t="str">
        <f>"10000"</f>
        <v>10000</v>
      </c>
      <c r="H277" t="s">
        <v>144</v>
      </c>
      <c r="I277" t="str">
        <f>"14%"</f>
        <v>14%</v>
      </c>
      <c r="J277" t="str">
        <f>"-0.08"</f>
        <v>-0.08</v>
      </c>
      <c r="K277" t="str">
        <f t="shared" ref="K277:K282" si="30">"110"</f>
        <v>110</v>
      </c>
      <c r="L277" t="str">
        <f>"MIR523;MIR525"</f>
        <v>MIR523;MIR525</v>
      </c>
      <c r="M277" t="str">
        <f>""</f>
        <v/>
      </c>
      <c r="O277" t="s">
        <v>2215</v>
      </c>
      <c r="P277" t="str">
        <f>"19%"</f>
        <v>19%</v>
      </c>
      <c r="Q277" t="str">
        <f>"-0.01"</f>
        <v>-0.01</v>
      </c>
      <c r="R277" t="s">
        <v>146</v>
      </c>
      <c r="U277" t="str">
        <f>""</f>
        <v/>
      </c>
      <c r="V277" t="str">
        <f>""</f>
        <v/>
      </c>
      <c r="W277" t="str">
        <f>""</f>
        <v/>
      </c>
      <c r="X277" t="str">
        <f>""</f>
        <v/>
      </c>
      <c r="Y277" t="s">
        <v>2216</v>
      </c>
      <c r="Z277" t="str">
        <f>"48.9920%"</f>
        <v>48.9920%</v>
      </c>
      <c r="AA277" t="str">
        <f>"40.9760%"</f>
        <v>40.9760%</v>
      </c>
      <c r="AE277" t="str">
        <f>""</f>
        <v/>
      </c>
    </row>
    <row r="278" spans="1:31" x14ac:dyDescent="0.3">
      <c r="A278" s="1" t="s">
        <v>2217</v>
      </c>
      <c r="B278" t="s">
        <v>58</v>
      </c>
      <c r="C278" t="s">
        <v>2218</v>
      </c>
      <c r="D278" t="s">
        <v>50</v>
      </c>
      <c r="E278" t="s">
        <v>82</v>
      </c>
      <c r="F278" t="s">
        <v>129</v>
      </c>
      <c r="G278" t="str">
        <f>"11000"</f>
        <v>11000</v>
      </c>
      <c r="H278" t="s">
        <v>307</v>
      </c>
      <c r="I278" t="str">
        <f>"100%"</f>
        <v>100%</v>
      </c>
      <c r="J278" t="str">
        <f>"-0.03"</f>
        <v>-0.03</v>
      </c>
      <c r="K278" t="str">
        <f t="shared" si="30"/>
        <v>110</v>
      </c>
      <c r="L278" t="str">
        <f>"KATNBL1"</f>
        <v>KATNBL1</v>
      </c>
      <c r="M278" t="str">
        <f>""</f>
        <v/>
      </c>
      <c r="O278" t="s">
        <v>2219</v>
      </c>
      <c r="P278" t="str">
        <f>"100%"</f>
        <v>100%</v>
      </c>
      <c r="Q278" t="str">
        <f>"-0.00"</f>
        <v>-0.00</v>
      </c>
      <c r="R278" t="s">
        <v>2220</v>
      </c>
      <c r="U278" t="str">
        <f>""</f>
        <v/>
      </c>
      <c r="V278" t="str">
        <f>""</f>
        <v/>
      </c>
      <c r="W278" t="str">
        <f>""</f>
        <v/>
      </c>
      <c r="X278" t="str">
        <f>"45.5671%"</f>
        <v>45.5671%</v>
      </c>
      <c r="Y278" t="s">
        <v>2221</v>
      </c>
      <c r="Z278" t="str">
        <f>"53.3210%"</f>
        <v>53.3210%</v>
      </c>
      <c r="AA278" t="str">
        <f>"53.3440%"</f>
        <v>53.3440%</v>
      </c>
      <c r="AE278" t="str">
        <f>""</f>
        <v/>
      </c>
    </row>
    <row r="279" spans="1:31" x14ac:dyDescent="0.3">
      <c r="A279" s="1" t="s">
        <v>2222</v>
      </c>
      <c r="B279" t="s">
        <v>106</v>
      </c>
      <c r="C279" t="s">
        <v>2223</v>
      </c>
      <c r="D279" t="s">
        <v>35</v>
      </c>
      <c r="E279" t="s">
        <v>36</v>
      </c>
      <c r="F279" t="s">
        <v>129</v>
      </c>
      <c r="G279" t="str">
        <f>"11000"</f>
        <v>11000</v>
      </c>
      <c r="H279" t="s">
        <v>1023</v>
      </c>
      <c r="I279" t="str">
        <f>"54%"</f>
        <v>54%</v>
      </c>
      <c r="J279" t="str">
        <f>"0.01"</f>
        <v>0.01</v>
      </c>
      <c r="K279" t="str">
        <f t="shared" si="30"/>
        <v>110</v>
      </c>
      <c r="L279" t="str">
        <f>"ABLIM3"</f>
        <v>ABLIM3</v>
      </c>
      <c r="M279" t="str">
        <f>""</f>
        <v/>
      </c>
      <c r="O279" t="s">
        <v>101</v>
      </c>
      <c r="P279" t="str">
        <f>"47%"</f>
        <v>47%</v>
      </c>
      <c r="Q279" t="str">
        <f>"-0.01"</f>
        <v>-0.01</v>
      </c>
      <c r="R279" t="s">
        <v>2224</v>
      </c>
      <c r="U279" t="str">
        <f>""</f>
        <v/>
      </c>
      <c r="V279" t="str">
        <f>""</f>
        <v/>
      </c>
      <c r="W279" t="str">
        <f>""</f>
        <v/>
      </c>
      <c r="X279" t="str">
        <f>"66.1542%"</f>
        <v>66.1542%</v>
      </c>
      <c r="Y279" t="s">
        <v>2225</v>
      </c>
      <c r="Z279" t="str">
        <f>"71.1640%"</f>
        <v>71.1640%</v>
      </c>
      <c r="AA279" t="str">
        <f>"71.2320%"</f>
        <v>71.2320%</v>
      </c>
      <c r="AE279" t="str">
        <f>""</f>
        <v/>
      </c>
    </row>
    <row r="280" spans="1:31" x14ac:dyDescent="0.3">
      <c r="A280" s="1" t="s">
        <v>2226</v>
      </c>
      <c r="B280" t="s">
        <v>209</v>
      </c>
      <c r="C280" t="s">
        <v>2227</v>
      </c>
      <c r="D280" t="s">
        <v>36</v>
      </c>
      <c r="E280" t="s">
        <v>82</v>
      </c>
      <c r="F280" t="s">
        <v>37</v>
      </c>
      <c r="G280" t="str">
        <f>"11000"</f>
        <v>11000</v>
      </c>
      <c r="H280" t="s">
        <v>1579</v>
      </c>
      <c r="I280" t="str">
        <f>"45%"</f>
        <v>45%</v>
      </c>
      <c r="J280" t="str">
        <f>"0.00"</f>
        <v>0.00</v>
      </c>
      <c r="K280" t="str">
        <f t="shared" si="30"/>
        <v>110</v>
      </c>
      <c r="L280" t="str">
        <f>"AJUBA p.A210S"</f>
        <v>AJUBA p.A210S</v>
      </c>
      <c r="M280" t="str">
        <f>"NM_032876"</f>
        <v>NM_032876</v>
      </c>
      <c r="O280" t="s">
        <v>101</v>
      </c>
      <c r="P280" t="str">
        <f>"61%"</f>
        <v>61%</v>
      </c>
      <c r="Q280" t="str">
        <f>"-0.00"</f>
        <v>-0.00</v>
      </c>
      <c r="S280" t="s">
        <v>40</v>
      </c>
      <c r="T280" t="s">
        <v>2228</v>
      </c>
      <c r="U280" t="str">
        <f>""</f>
        <v/>
      </c>
      <c r="V280" t="str">
        <f>""</f>
        <v/>
      </c>
      <c r="W280" t="str">
        <f>""</f>
        <v/>
      </c>
      <c r="X280" t="str">
        <f>""</f>
        <v/>
      </c>
      <c r="Z280" t="str">
        <f>""</f>
        <v/>
      </c>
      <c r="AA280" t="str">
        <f>""</f>
        <v/>
      </c>
      <c r="AE280" t="str">
        <f>"12.73"</f>
        <v>12.73</v>
      </c>
    </row>
    <row r="281" spans="1:31" x14ac:dyDescent="0.3">
      <c r="A281" s="1" t="s">
        <v>2229</v>
      </c>
      <c r="B281" t="s">
        <v>58</v>
      </c>
      <c r="C281" t="s">
        <v>2230</v>
      </c>
      <c r="D281" t="s">
        <v>35</v>
      </c>
      <c r="E281" t="s">
        <v>36</v>
      </c>
      <c r="F281" t="s">
        <v>129</v>
      </c>
      <c r="G281" t="str">
        <f>"11000"</f>
        <v>11000</v>
      </c>
      <c r="H281" t="s">
        <v>2231</v>
      </c>
      <c r="I281" t="str">
        <f>"51%"</f>
        <v>51%</v>
      </c>
      <c r="J281" t="str">
        <f>"-0.03"</f>
        <v>-0.03</v>
      </c>
      <c r="K281" t="str">
        <f t="shared" si="30"/>
        <v>110</v>
      </c>
      <c r="L281" t="str">
        <f>"KNSTRN"</f>
        <v>KNSTRN</v>
      </c>
      <c r="M281" t="str">
        <f>""</f>
        <v/>
      </c>
      <c r="O281" t="s">
        <v>2232</v>
      </c>
      <c r="P281" t="str">
        <f>"54%"</f>
        <v>54%</v>
      </c>
      <c r="Q281" t="str">
        <f>"-0.00"</f>
        <v>-0.00</v>
      </c>
      <c r="R281" t="s">
        <v>2233</v>
      </c>
      <c r="U281" t="str">
        <f>""</f>
        <v/>
      </c>
      <c r="V281" t="str">
        <f>""</f>
        <v/>
      </c>
      <c r="W281" t="str">
        <f>""</f>
        <v/>
      </c>
      <c r="X281" t="str">
        <f>"4.3730%"</f>
        <v>4.3730%</v>
      </c>
      <c r="Y281" t="s">
        <v>2234</v>
      </c>
      <c r="Z281" t="str">
        <f>"9.8950%"</f>
        <v>9.8950%</v>
      </c>
      <c r="AA281" t="str">
        <f>"9.9180%"</f>
        <v>9.9180%</v>
      </c>
      <c r="AE281" t="str">
        <f>""</f>
        <v/>
      </c>
    </row>
    <row r="282" spans="1:31" x14ac:dyDescent="0.3">
      <c r="A282" s="1" t="s">
        <v>2235</v>
      </c>
      <c r="B282" t="s">
        <v>626</v>
      </c>
      <c r="C282" t="s">
        <v>2236</v>
      </c>
      <c r="D282" t="s">
        <v>36</v>
      </c>
      <c r="E282" t="s">
        <v>82</v>
      </c>
      <c r="F282" t="s">
        <v>37</v>
      </c>
      <c r="G282" t="str">
        <f>"11000"</f>
        <v>11000</v>
      </c>
      <c r="H282" t="s">
        <v>2232</v>
      </c>
      <c r="I282" t="str">
        <f>"54%"</f>
        <v>54%</v>
      </c>
      <c r="J282" t="str">
        <f>"-0.25"</f>
        <v>-0.25</v>
      </c>
      <c r="K282" t="str">
        <f t="shared" si="30"/>
        <v>110</v>
      </c>
      <c r="L282" t="str">
        <f>"ZNF703 p.N118K"</f>
        <v>ZNF703 p.N118K</v>
      </c>
      <c r="M282" t="str">
        <f>"NM_025069"</f>
        <v>NM_025069</v>
      </c>
      <c r="O282" t="s">
        <v>2237</v>
      </c>
      <c r="P282" t="str">
        <f>"52%"</f>
        <v>52%</v>
      </c>
      <c r="Q282" t="str">
        <f>"-0.01"</f>
        <v>-0.01</v>
      </c>
      <c r="S282" t="s">
        <v>40</v>
      </c>
      <c r="T282" t="s">
        <v>2238</v>
      </c>
      <c r="U282" t="str">
        <f>"0.0200%"</f>
        <v>0.0200%</v>
      </c>
      <c r="V282" t="str">
        <f>"0.0100%"</f>
        <v>0.0100%</v>
      </c>
      <c r="W282" t="str">
        <f>""</f>
        <v/>
      </c>
      <c r="X282" t="str">
        <f>""</f>
        <v/>
      </c>
      <c r="Y282" t="s">
        <v>2239</v>
      </c>
      <c r="Z282" t="str">
        <f>"0.0690%"</f>
        <v>0.0690%</v>
      </c>
      <c r="AA282" t="str">
        <f>"0.0690%"</f>
        <v>0.0690%</v>
      </c>
      <c r="AE282" t="str">
        <f>"13.69"</f>
        <v>13.69</v>
      </c>
    </row>
    <row r="283" spans="1:31" x14ac:dyDescent="0.3">
      <c r="A283" s="1" t="s">
        <v>71</v>
      </c>
      <c r="B283" t="s">
        <v>33</v>
      </c>
      <c r="C283" t="s">
        <v>72</v>
      </c>
      <c r="D283" t="s">
        <v>73</v>
      </c>
      <c r="E283" t="s">
        <v>74</v>
      </c>
      <c r="F283" t="s">
        <v>37</v>
      </c>
      <c r="G283" t="str">
        <f>"00000"</f>
        <v>00000</v>
      </c>
      <c r="H283" t="s">
        <v>75</v>
      </c>
      <c r="I283" t="str">
        <f>"6%"</f>
        <v>6%</v>
      </c>
      <c r="J283" t="str">
        <f>"-0.04"</f>
        <v>-0.04</v>
      </c>
      <c r="K283" t="str">
        <f>"000"</f>
        <v>000</v>
      </c>
      <c r="L283" t="str">
        <f>"COL1A1 c.3219_3223CCCCG"</f>
        <v>COL1A1 c.3219_3223CCCCG</v>
      </c>
      <c r="M283" t="str">
        <f>"NM_000088"</f>
        <v>NM_000088</v>
      </c>
      <c r="O283" t="s">
        <v>76</v>
      </c>
      <c r="P283" t="str">
        <f>"4%"</f>
        <v>4%</v>
      </c>
      <c r="Q283" t="str">
        <f>"0.00"</f>
        <v>0.00</v>
      </c>
      <c r="S283" t="s">
        <v>77</v>
      </c>
      <c r="T283" t="s">
        <v>78</v>
      </c>
      <c r="U283" t="str">
        <f>""</f>
        <v/>
      </c>
      <c r="V283" t="str">
        <f>""</f>
        <v/>
      </c>
      <c r="W283" t="str">
        <f>""</f>
        <v/>
      </c>
      <c r="X283" t="str">
        <f>""</f>
        <v/>
      </c>
      <c r="Z283" t="str">
        <f>"0.1600%"</f>
        <v>0.1600%</v>
      </c>
      <c r="AA283" t="str">
        <f>""</f>
        <v/>
      </c>
      <c r="AE283" t="str">
        <f>""</f>
        <v/>
      </c>
    </row>
    <row r="284" spans="1:31" x14ac:dyDescent="0.3">
      <c r="A284" s="1" t="s">
        <v>2240</v>
      </c>
      <c r="B284" t="s">
        <v>80</v>
      </c>
      <c r="C284" t="s">
        <v>2241</v>
      </c>
      <c r="D284" t="s">
        <v>36</v>
      </c>
      <c r="E284" t="s">
        <v>35</v>
      </c>
      <c r="F284" t="s">
        <v>129</v>
      </c>
      <c r="G284" t="str">
        <f>"11000"</f>
        <v>11000</v>
      </c>
      <c r="H284" t="s">
        <v>2242</v>
      </c>
      <c r="I284" t="str">
        <f>"53%"</f>
        <v>53%</v>
      </c>
      <c r="J284" t="str">
        <f>"0.01"</f>
        <v>0.01</v>
      </c>
      <c r="K284" t="str">
        <f>"110"</f>
        <v>110</v>
      </c>
      <c r="L284" t="str">
        <f>"CYP2C19"</f>
        <v>CYP2C19</v>
      </c>
      <c r="M284" t="str">
        <f>""</f>
        <v/>
      </c>
      <c r="O284" t="s">
        <v>1668</v>
      </c>
      <c r="P284" t="str">
        <f>"52%"</f>
        <v>52%</v>
      </c>
      <c r="Q284" t="str">
        <f>"-0.01"</f>
        <v>-0.01</v>
      </c>
      <c r="R284" t="s">
        <v>2243</v>
      </c>
      <c r="U284" t="str">
        <f>""</f>
        <v/>
      </c>
      <c r="V284" t="str">
        <f>""</f>
        <v/>
      </c>
      <c r="W284" t="str">
        <f>""</f>
        <v/>
      </c>
      <c r="X284" t="str">
        <f>"15.3155%"</f>
        <v>15.3155%</v>
      </c>
      <c r="Y284" t="s">
        <v>2244</v>
      </c>
      <c r="Z284" t="str">
        <f>"17.0640%"</f>
        <v>17.0640%</v>
      </c>
      <c r="AA284" t="str">
        <f>"17.0870%"</f>
        <v>17.0870%</v>
      </c>
      <c r="AD284" t="s">
        <v>2245</v>
      </c>
      <c r="AE284" t="str">
        <f>""</f>
        <v/>
      </c>
    </row>
    <row r="285" spans="1:31" x14ac:dyDescent="0.3">
      <c r="A285" s="1" t="s">
        <v>176</v>
      </c>
      <c r="B285" t="s">
        <v>33</v>
      </c>
      <c r="C285" t="s">
        <v>177</v>
      </c>
      <c r="D285" t="s">
        <v>36</v>
      </c>
      <c r="E285" t="s">
        <v>35</v>
      </c>
      <c r="F285" t="s">
        <v>143</v>
      </c>
      <c r="G285" t="str">
        <f>"11000"</f>
        <v>11000</v>
      </c>
      <c r="H285" t="s">
        <v>190</v>
      </c>
      <c r="I285" t="str">
        <f>"14%"</f>
        <v>14%</v>
      </c>
      <c r="J285" t="str">
        <f>"-0.04"</f>
        <v>-0.04</v>
      </c>
      <c r="K285" t="str">
        <f>"100"</f>
        <v>100</v>
      </c>
      <c r="L285" t="str">
        <f>"TMEM106A"</f>
        <v>TMEM106A</v>
      </c>
      <c r="M285" t="str">
        <f>""</f>
        <v/>
      </c>
      <c r="O285" t="s">
        <v>179</v>
      </c>
      <c r="P285" t="str">
        <f>"14%"</f>
        <v>14%</v>
      </c>
      <c r="Q285" t="str">
        <f>"0.00"</f>
        <v>0.00</v>
      </c>
      <c r="R285" t="s">
        <v>228</v>
      </c>
      <c r="U285" t="str">
        <f>""</f>
        <v/>
      </c>
      <c r="V285" t="str">
        <f>""</f>
        <v/>
      </c>
      <c r="W285" t="str">
        <f>""</f>
        <v/>
      </c>
      <c r="X285" t="str">
        <f>""</f>
        <v/>
      </c>
      <c r="Z285" t="str">
        <f>"42.0750%"</f>
        <v>42.0750%</v>
      </c>
      <c r="AA285" t="str">
        <f>"1.5120%"</f>
        <v>1.5120%</v>
      </c>
      <c r="AE285" t="str">
        <f>""</f>
        <v/>
      </c>
    </row>
    <row r="286" spans="1:31" x14ac:dyDescent="0.3">
      <c r="A286" s="1" t="s">
        <v>176</v>
      </c>
      <c r="B286" t="s">
        <v>33</v>
      </c>
      <c r="C286" t="s">
        <v>177</v>
      </c>
      <c r="D286" t="s">
        <v>36</v>
      </c>
      <c r="E286" t="s">
        <v>128</v>
      </c>
      <c r="F286" t="s">
        <v>143</v>
      </c>
      <c r="G286" t="str">
        <f>"11000"</f>
        <v>11000</v>
      </c>
      <c r="H286" t="s">
        <v>101</v>
      </c>
      <c r="I286" t="str">
        <f>"33%"</f>
        <v>33%</v>
      </c>
      <c r="J286" t="str">
        <f>"-0.04"</f>
        <v>-0.04</v>
      </c>
      <c r="K286" t="str">
        <f>"110"</f>
        <v>110</v>
      </c>
      <c r="L286" t="str">
        <f>"TMEM106A"</f>
        <v>TMEM106A</v>
      </c>
      <c r="M286" t="str">
        <f>""</f>
        <v/>
      </c>
      <c r="O286" t="s">
        <v>179</v>
      </c>
      <c r="P286" t="str">
        <f>"32%"</f>
        <v>32%</v>
      </c>
      <c r="Q286" t="str">
        <f>"0.00"</f>
        <v>0.00</v>
      </c>
      <c r="R286" t="s">
        <v>228</v>
      </c>
      <c r="U286" t="str">
        <f>""</f>
        <v/>
      </c>
      <c r="V286" t="str">
        <f>""</f>
        <v/>
      </c>
      <c r="W286" t="str">
        <f>""</f>
        <v/>
      </c>
      <c r="X286" t="str">
        <f>"32.8075%"</f>
        <v>32.8075%</v>
      </c>
      <c r="Y286" t="s">
        <v>2246</v>
      </c>
      <c r="Z286" t="str">
        <f>"43.5640%"</f>
        <v>43.5640%</v>
      </c>
      <c r="AA286" t="str">
        <f>"34.1040%"</f>
        <v>34.1040%</v>
      </c>
      <c r="AE286" t="str">
        <f>""</f>
        <v/>
      </c>
    </row>
    <row r="287" spans="1:31" x14ac:dyDescent="0.3">
      <c r="A287" s="1" t="s">
        <v>176</v>
      </c>
      <c r="B287" t="s">
        <v>33</v>
      </c>
      <c r="C287" t="s">
        <v>177</v>
      </c>
      <c r="D287" t="s">
        <v>36</v>
      </c>
      <c r="E287" t="s">
        <v>229</v>
      </c>
      <c r="F287" t="s">
        <v>143</v>
      </c>
      <c r="G287" t="str">
        <f>"10000"</f>
        <v>10000</v>
      </c>
      <c r="H287" t="s">
        <v>178</v>
      </c>
      <c r="I287" t="str">
        <f>"7%"</f>
        <v>7%</v>
      </c>
      <c r="J287" t="str">
        <f>"-0.04"</f>
        <v>-0.04</v>
      </c>
      <c r="K287" t="str">
        <f>"100"</f>
        <v>100</v>
      </c>
      <c r="L287" t="str">
        <f>"TMEM106A"</f>
        <v>TMEM106A</v>
      </c>
      <c r="M287" t="str">
        <f>""</f>
        <v/>
      </c>
      <c r="O287" t="s">
        <v>179</v>
      </c>
      <c r="P287" t="str">
        <f>"14%"</f>
        <v>14%</v>
      </c>
      <c r="Q287" t="str">
        <f>"0.00"</f>
        <v>0.00</v>
      </c>
      <c r="R287" t="s">
        <v>228</v>
      </c>
      <c r="U287" t="str">
        <f>""</f>
        <v/>
      </c>
      <c r="V287" t="str">
        <f>""</f>
        <v/>
      </c>
      <c r="W287" t="str">
        <f>""</f>
        <v/>
      </c>
      <c r="X287" t="str">
        <f>""</f>
        <v/>
      </c>
      <c r="Z287" t="str">
        <f>"23.2710%"</f>
        <v>23.2710%</v>
      </c>
      <c r="AA287" t="str">
        <f>"0.6410%"</f>
        <v>0.6410%</v>
      </c>
      <c r="AE287" t="str">
        <f>""</f>
        <v/>
      </c>
    </row>
    <row r="288" spans="1:31" x14ac:dyDescent="0.3">
      <c r="A288" s="1" t="s">
        <v>176</v>
      </c>
      <c r="B288" t="s">
        <v>33</v>
      </c>
      <c r="C288" t="s">
        <v>177</v>
      </c>
      <c r="D288" t="s">
        <v>128</v>
      </c>
      <c r="E288" t="s">
        <v>36</v>
      </c>
      <c r="F288" t="s">
        <v>143</v>
      </c>
      <c r="G288" t="str">
        <f>"10000"</f>
        <v>10000</v>
      </c>
      <c r="H288" t="s">
        <v>178</v>
      </c>
      <c r="I288" t="str">
        <f>"8%"</f>
        <v>8%</v>
      </c>
      <c r="J288" t="str">
        <f>"-0.04"</f>
        <v>-0.04</v>
      </c>
      <c r="K288" t="str">
        <f>"100"</f>
        <v>100</v>
      </c>
      <c r="L288" t="str">
        <f>"TMEM106A"</f>
        <v>TMEM106A</v>
      </c>
      <c r="M288" t="str">
        <f>""</f>
        <v/>
      </c>
      <c r="O288" t="s">
        <v>179</v>
      </c>
      <c r="P288" t="str">
        <f>"10%"</f>
        <v>10%</v>
      </c>
      <c r="Q288" t="str">
        <f>"0.00"</f>
        <v>0.00</v>
      </c>
      <c r="R288" t="s">
        <v>180</v>
      </c>
      <c r="U288" t="str">
        <f>""</f>
        <v/>
      </c>
      <c r="V288" t="str">
        <f>""</f>
        <v/>
      </c>
      <c r="W288" t="str">
        <f>""</f>
        <v/>
      </c>
      <c r="X288" t="str">
        <f>""</f>
        <v/>
      </c>
      <c r="Z288" t="str">
        <f>"36.7160%"</f>
        <v>36.7160%</v>
      </c>
      <c r="AA288" t="str">
        <f>"4.2370%"</f>
        <v>4.2370%</v>
      </c>
      <c r="AE288" t="str">
        <f>""</f>
        <v/>
      </c>
    </row>
    <row r="289" spans="1:31" x14ac:dyDescent="0.3">
      <c r="A289" s="1" t="s">
        <v>2247</v>
      </c>
      <c r="B289" t="s">
        <v>58</v>
      </c>
      <c r="C289" t="s">
        <v>2248</v>
      </c>
      <c r="D289" t="s">
        <v>50</v>
      </c>
      <c r="E289" t="s">
        <v>35</v>
      </c>
      <c r="F289" t="s">
        <v>129</v>
      </c>
      <c r="G289" t="str">
        <f>"11000"</f>
        <v>11000</v>
      </c>
      <c r="H289" t="s">
        <v>2249</v>
      </c>
      <c r="I289" t="str">
        <f>"100%"</f>
        <v>100%</v>
      </c>
      <c r="J289" t="str">
        <f>"-0.03"</f>
        <v>-0.03</v>
      </c>
      <c r="K289" t="str">
        <f>"110"</f>
        <v>110</v>
      </c>
      <c r="L289" t="str">
        <f>"KATNBL1"</f>
        <v>KATNBL1</v>
      </c>
      <c r="M289" t="str">
        <f>""</f>
        <v/>
      </c>
      <c r="O289" t="s">
        <v>1696</v>
      </c>
      <c r="P289" t="str">
        <f>"100%"</f>
        <v>100%</v>
      </c>
      <c r="Q289" t="str">
        <f>"-0.00"</f>
        <v>-0.00</v>
      </c>
      <c r="R289" t="s">
        <v>2250</v>
      </c>
      <c r="U289" t="str">
        <f>""</f>
        <v/>
      </c>
      <c r="V289" t="str">
        <f>""</f>
        <v/>
      </c>
      <c r="W289" t="str">
        <f>""</f>
        <v/>
      </c>
      <c r="X289" t="str">
        <f>"71.0264%"</f>
        <v>71.0264%</v>
      </c>
      <c r="Y289" t="s">
        <v>2251</v>
      </c>
      <c r="Z289" t="str">
        <f>"74.6450%"</f>
        <v>74.6450%</v>
      </c>
      <c r="AA289" t="str">
        <f>"74.6680%"</f>
        <v>74.6680%</v>
      </c>
      <c r="AE289" t="str">
        <f>""</f>
        <v/>
      </c>
    </row>
    <row r="290" spans="1:31" x14ac:dyDescent="0.3">
      <c r="A290" s="1" t="s">
        <v>2252</v>
      </c>
      <c r="B290" t="s">
        <v>106</v>
      </c>
      <c r="C290" t="s">
        <v>2253</v>
      </c>
      <c r="D290" t="s">
        <v>2254</v>
      </c>
      <c r="E290" t="s">
        <v>50</v>
      </c>
      <c r="F290" t="s">
        <v>37</v>
      </c>
      <c r="G290" t="str">
        <f>"00100"</f>
        <v>00100</v>
      </c>
      <c r="H290" t="s">
        <v>2255</v>
      </c>
      <c r="I290" t="str">
        <f>"40%"</f>
        <v>40%</v>
      </c>
      <c r="J290" t="str">
        <f>"-0.00"</f>
        <v>-0.00</v>
      </c>
      <c r="K290" t="str">
        <f>"001"</f>
        <v>001</v>
      </c>
      <c r="L290" t="str">
        <f>"MSH3 p.55_64del"</f>
        <v>MSH3 p.55_64del</v>
      </c>
      <c r="M290" t="str">
        <f>"NM_002439"</f>
        <v>NM_002439</v>
      </c>
      <c r="O290" t="s">
        <v>2256</v>
      </c>
      <c r="P290" t="str">
        <f>"55%"</f>
        <v>55%</v>
      </c>
      <c r="Q290" t="str">
        <f>"-0.01"</f>
        <v>-0.01</v>
      </c>
      <c r="S290" t="s">
        <v>160</v>
      </c>
      <c r="T290" t="s">
        <v>2257</v>
      </c>
      <c r="U290" t="str">
        <f>""</f>
        <v/>
      </c>
      <c r="V290" t="str">
        <f>""</f>
        <v/>
      </c>
      <c r="W290" t="str">
        <f>"2.2800%"</f>
        <v>2.2800%</v>
      </c>
      <c r="X290" t="str">
        <f>""</f>
        <v/>
      </c>
      <c r="Z290" t="str">
        <f>"22.3320%"</f>
        <v>22.3320%</v>
      </c>
      <c r="AA290" t="str">
        <f>"22.3320%"</f>
        <v>22.3320%</v>
      </c>
      <c r="AE290" t="str">
        <f>""</f>
        <v/>
      </c>
    </row>
    <row r="291" spans="1:31" x14ac:dyDescent="0.3">
      <c r="A291" s="1" t="s">
        <v>2258</v>
      </c>
      <c r="B291" t="s">
        <v>88</v>
      </c>
      <c r="C291" t="s">
        <v>2259</v>
      </c>
      <c r="D291" t="s">
        <v>36</v>
      </c>
      <c r="E291" t="s">
        <v>35</v>
      </c>
      <c r="F291" t="s">
        <v>129</v>
      </c>
      <c r="G291" t="str">
        <f>"11000"</f>
        <v>11000</v>
      </c>
      <c r="H291" t="s">
        <v>2260</v>
      </c>
      <c r="I291" t="str">
        <f>"51%"</f>
        <v>51%</v>
      </c>
      <c r="J291" t="str">
        <f>"-0.00"</f>
        <v>-0.00</v>
      </c>
      <c r="K291" t="str">
        <f>"110"</f>
        <v>110</v>
      </c>
      <c r="L291" t="str">
        <f>"ANAPC1"</f>
        <v>ANAPC1</v>
      </c>
      <c r="M291" t="str">
        <f>""</f>
        <v/>
      </c>
      <c r="O291" t="s">
        <v>173</v>
      </c>
      <c r="P291" t="str">
        <f>"43%"</f>
        <v>43%</v>
      </c>
      <c r="Q291" t="str">
        <f>"-0.01"</f>
        <v>-0.01</v>
      </c>
      <c r="R291" t="s">
        <v>2261</v>
      </c>
      <c r="U291" t="str">
        <f>""</f>
        <v/>
      </c>
      <c r="V291" t="str">
        <f>""</f>
        <v/>
      </c>
      <c r="W291" t="str">
        <f>""</f>
        <v/>
      </c>
      <c r="X291" t="str">
        <f>"46.6853%"</f>
        <v>46.6853%</v>
      </c>
      <c r="Y291" t="s">
        <v>2262</v>
      </c>
      <c r="Z291" t="str">
        <f>"50.8700%"</f>
        <v>50.8700%</v>
      </c>
      <c r="AA291" t="str">
        <f>"50.8020%"</f>
        <v>50.8020%</v>
      </c>
      <c r="AE291" t="str">
        <f>""</f>
        <v/>
      </c>
    </row>
    <row r="292" spans="1:31" x14ac:dyDescent="0.3">
      <c r="A292" s="1" t="s">
        <v>2263</v>
      </c>
      <c r="B292" t="s">
        <v>106</v>
      </c>
      <c r="C292" t="s">
        <v>2264</v>
      </c>
      <c r="D292" t="s">
        <v>50</v>
      </c>
      <c r="E292" t="s">
        <v>82</v>
      </c>
      <c r="F292" t="s">
        <v>129</v>
      </c>
      <c r="G292" t="str">
        <f>"11000"</f>
        <v>11000</v>
      </c>
      <c r="H292" t="s">
        <v>2265</v>
      </c>
      <c r="I292" t="str">
        <f>"48%"</f>
        <v>48%</v>
      </c>
      <c r="J292" t="str">
        <f>"-0.05"</f>
        <v>-0.05</v>
      </c>
      <c r="K292" t="str">
        <f>"110"</f>
        <v>110</v>
      </c>
      <c r="L292" t="str">
        <f>"MIR4457"</f>
        <v>MIR4457</v>
      </c>
      <c r="M292" t="str">
        <f>""</f>
        <v/>
      </c>
      <c r="O292" t="s">
        <v>213</v>
      </c>
      <c r="P292" t="str">
        <f>"58%"</f>
        <v>58%</v>
      </c>
      <c r="Q292" t="str">
        <f>"0.02"</f>
        <v>0.02</v>
      </c>
      <c r="R292" t="s">
        <v>2266</v>
      </c>
      <c r="U292" t="str">
        <f>""</f>
        <v/>
      </c>
      <c r="V292" t="str">
        <f>""</f>
        <v/>
      </c>
      <c r="W292" t="str">
        <f>""</f>
        <v/>
      </c>
      <c r="X292" t="str">
        <f>"59.8043%"</f>
        <v>59.8043%</v>
      </c>
      <c r="Y292" t="s">
        <v>2267</v>
      </c>
      <c r="Z292" t="str">
        <f>"62.1390%"</f>
        <v>62.1390%</v>
      </c>
      <c r="AA292" t="str">
        <f>"62.6430%"</f>
        <v>62.6430%</v>
      </c>
      <c r="AE292" t="str">
        <f>""</f>
        <v/>
      </c>
    </row>
    <row r="293" spans="1:31" x14ac:dyDescent="0.3">
      <c r="A293" s="1" t="s">
        <v>1688</v>
      </c>
      <c r="B293" t="s">
        <v>683</v>
      </c>
      <c r="C293" t="s">
        <v>1689</v>
      </c>
      <c r="D293" t="s">
        <v>2268</v>
      </c>
      <c r="E293" t="s">
        <v>2269</v>
      </c>
      <c r="F293" t="s">
        <v>37</v>
      </c>
      <c r="G293" t="str">
        <f>"00000"</f>
        <v>00000</v>
      </c>
      <c r="H293" t="s">
        <v>1612</v>
      </c>
      <c r="I293" t="str">
        <f>"6%"</f>
        <v>6%</v>
      </c>
      <c r="J293" t="str">
        <f>"0.07"</f>
        <v>0.07</v>
      </c>
      <c r="K293" t="str">
        <f t="shared" ref="K293:K298" si="31">"100"</f>
        <v>100</v>
      </c>
      <c r="L293" t="str">
        <f>"KDM5A c.9_11GGG"</f>
        <v>KDM5A c.9_11GGG</v>
      </c>
      <c r="M293" t="str">
        <f>"NM_001042603"</f>
        <v>NM_001042603</v>
      </c>
      <c r="O293" t="s">
        <v>1683</v>
      </c>
      <c r="P293" t="str">
        <f>"13%"</f>
        <v>13%</v>
      </c>
      <c r="Q293" t="str">
        <f>"-0.00"</f>
        <v>-0.00</v>
      </c>
      <c r="S293" t="s">
        <v>77</v>
      </c>
      <c r="T293" t="s">
        <v>2270</v>
      </c>
      <c r="U293" t="str">
        <f>""</f>
        <v/>
      </c>
      <c r="V293" t="str">
        <f>""</f>
        <v/>
      </c>
      <c r="W293" t="str">
        <f>""</f>
        <v/>
      </c>
      <c r="X293" t="str">
        <f>""</f>
        <v/>
      </c>
      <c r="Z293" t="str">
        <f>"1.3510%"</f>
        <v>1.3510%</v>
      </c>
      <c r="AA293" t="str">
        <f>"0.0230%"</f>
        <v>0.0230%</v>
      </c>
      <c r="AE293" t="str">
        <f>""</f>
        <v/>
      </c>
    </row>
    <row r="294" spans="1:31" x14ac:dyDescent="0.3">
      <c r="A294" s="1" t="s">
        <v>1688</v>
      </c>
      <c r="B294" t="s">
        <v>683</v>
      </c>
      <c r="C294" t="s">
        <v>1689</v>
      </c>
      <c r="D294" t="s">
        <v>2271</v>
      </c>
      <c r="E294" t="s">
        <v>2272</v>
      </c>
      <c r="F294" t="s">
        <v>37</v>
      </c>
      <c r="G294" t="str">
        <f>"00000"</f>
        <v>00000</v>
      </c>
      <c r="H294" t="s">
        <v>1612</v>
      </c>
      <c r="I294" t="str">
        <f>"9%"</f>
        <v>9%</v>
      </c>
      <c r="J294" t="str">
        <f>"0.07"</f>
        <v>0.07</v>
      </c>
      <c r="K294" t="str">
        <f t="shared" si="31"/>
        <v>100</v>
      </c>
      <c r="L294" t="str">
        <f>"KDM5A c.5_11GGGGGGG"</f>
        <v>KDM5A c.5_11GGGGGGG</v>
      </c>
      <c r="M294" t="str">
        <f>"NM_001042603"</f>
        <v>NM_001042603</v>
      </c>
      <c r="O294" t="s">
        <v>1683</v>
      </c>
      <c r="P294" t="str">
        <f>"9%"</f>
        <v>9%</v>
      </c>
      <c r="Q294" t="str">
        <f>"-0.00"</f>
        <v>-0.00</v>
      </c>
      <c r="S294" t="s">
        <v>77</v>
      </c>
      <c r="T294" t="s">
        <v>2273</v>
      </c>
      <c r="U294" t="str">
        <f>""</f>
        <v/>
      </c>
      <c r="V294" t="str">
        <f>""</f>
        <v/>
      </c>
      <c r="W294" t="str">
        <f>""</f>
        <v/>
      </c>
      <c r="X294" t="str">
        <f>""</f>
        <v/>
      </c>
      <c r="Z294" t="str">
        <f>"1.2140%"</f>
        <v>1.2140%</v>
      </c>
      <c r="AA294" t="str">
        <f>""</f>
        <v/>
      </c>
      <c r="AE294" t="str">
        <f>""</f>
        <v/>
      </c>
    </row>
    <row r="295" spans="1:31" x14ac:dyDescent="0.3">
      <c r="A295" s="1" t="s">
        <v>1688</v>
      </c>
      <c r="B295" t="s">
        <v>683</v>
      </c>
      <c r="C295" t="s">
        <v>1689</v>
      </c>
      <c r="D295" t="s">
        <v>2271</v>
      </c>
      <c r="E295" t="s">
        <v>2274</v>
      </c>
      <c r="F295" t="s">
        <v>37</v>
      </c>
      <c r="G295" t="str">
        <f>"00000"</f>
        <v>00000</v>
      </c>
      <c r="H295" t="s">
        <v>1612</v>
      </c>
      <c r="I295" t="str">
        <f>"6%"</f>
        <v>6%</v>
      </c>
      <c r="J295" t="str">
        <f>"0.07"</f>
        <v>0.07</v>
      </c>
      <c r="K295" t="str">
        <f t="shared" si="31"/>
        <v>100</v>
      </c>
      <c r="L295" t="str">
        <f>"KDM5A c.5_11GGGGCGG"</f>
        <v>KDM5A c.5_11GGGGCGG</v>
      </c>
      <c r="M295" t="str">
        <f>"NM_001042603"</f>
        <v>NM_001042603</v>
      </c>
      <c r="O295" t="s">
        <v>1683</v>
      </c>
      <c r="P295" t="str">
        <f>"7%"</f>
        <v>7%</v>
      </c>
      <c r="Q295" t="str">
        <f>"-0.00"</f>
        <v>-0.00</v>
      </c>
      <c r="S295" t="s">
        <v>77</v>
      </c>
      <c r="T295" t="s">
        <v>2275</v>
      </c>
      <c r="U295" t="str">
        <f>""</f>
        <v/>
      </c>
      <c r="V295" t="str">
        <f>""</f>
        <v/>
      </c>
      <c r="W295" t="str">
        <f>""</f>
        <v/>
      </c>
      <c r="X295" t="str">
        <f>""</f>
        <v/>
      </c>
      <c r="Z295" t="str">
        <f>"0.6180%"</f>
        <v>0.6180%</v>
      </c>
      <c r="AA295" t="str">
        <f>""</f>
        <v/>
      </c>
      <c r="AE295" t="str">
        <f>""</f>
        <v/>
      </c>
    </row>
    <row r="296" spans="1:31" x14ac:dyDescent="0.3">
      <c r="A296" s="1" t="s">
        <v>181</v>
      </c>
      <c r="B296" t="s">
        <v>106</v>
      </c>
      <c r="C296" t="s">
        <v>182</v>
      </c>
      <c r="D296" t="s">
        <v>183</v>
      </c>
      <c r="E296" t="s">
        <v>184</v>
      </c>
      <c r="F296" t="s">
        <v>37</v>
      </c>
      <c r="G296" t="str">
        <f>"10000"</f>
        <v>10000</v>
      </c>
      <c r="H296" t="s">
        <v>185</v>
      </c>
      <c r="I296" t="str">
        <f>"8%"</f>
        <v>8%</v>
      </c>
      <c r="J296" t="str">
        <f>"-0.00"</f>
        <v>-0.00</v>
      </c>
      <c r="K296" t="str">
        <f t="shared" si="31"/>
        <v>100</v>
      </c>
      <c r="L296" t="str">
        <f>"MSH3 c.162_172CGCAGCGCCCC"</f>
        <v>MSH3 c.162_172CGCAGCGCCCC</v>
      </c>
      <c r="M296" t="str">
        <f>"NM_002439"</f>
        <v>NM_002439</v>
      </c>
      <c r="O296" t="s">
        <v>186</v>
      </c>
      <c r="P296" t="str">
        <f>"10%"</f>
        <v>10%</v>
      </c>
      <c r="Q296" t="str">
        <f>"-0.01"</f>
        <v>-0.01</v>
      </c>
      <c r="S296" t="s">
        <v>77</v>
      </c>
      <c r="T296" t="s">
        <v>187</v>
      </c>
      <c r="U296" t="str">
        <f>""</f>
        <v/>
      </c>
      <c r="V296" t="str">
        <f>""</f>
        <v/>
      </c>
      <c r="W296" t="str">
        <f>""</f>
        <v/>
      </c>
      <c r="X296" t="str">
        <f>""</f>
        <v/>
      </c>
      <c r="Z296" t="str">
        <f>"17.0640%"</f>
        <v>17.0640%</v>
      </c>
      <c r="AA296" t="str">
        <f>"1.9010%"</f>
        <v>1.9010%</v>
      </c>
      <c r="AE296" t="str">
        <f>""</f>
        <v/>
      </c>
    </row>
    <row r="297" spans="1:31" x14ac:dyDescent="0.3">
      <c r="A297" s="1" t="s">
        <v>166</v>
      </c>
      <c r="B297" t="s">
        <v>113</v>
      </c>
      <c r="C297" t="s">
        <v>167</v>
      </c>
      <c r="D297" t="s">
        <v>36</v>
      </c>
      <c r="E297" t="s">
        <v>128</v>
      </c>
      <c r="F297" t="s">
        <v>129</v>
      </c>
      <c r="G297" t="str">
        <f>"10000"</f>
        <v>10000</v>
      </c>
      <c r="H297" t="s">
        <v>168</v>
      </c>
      <c r="I297" t="str">
        <f>"10%"</f>
        <v>10%</v>
      </c>
      <c r="J297" t="str">
        <f>"-0.16"</f>
        <v>-0.16</v>
      </c>
      <c r="K297" t="str">
        <f t="shared" si="31"/>
        <v>100</v>
      </c>
      <c r="L297" t="str">
        <f>"KEAP1"</f>
        <v>KEAP1</v>
      </c>
      <c r="M297" t="str">
        <f>""</f>
        <v/>
      </c>
      <c r="O297" t="s">
        <v>169</v>
      </c>
      <c r="P297" t="str">
        <f>"9%"</f>
        <v>9%</v>
      </c>
      <c r="Q297" t="str">
        <f>"-0.04"</f>
        <v>-0.04</v>
      </c>
      <c r="R297" t="s">
        <v>170</v>
      </c>
      <c r="U297" t="str">
        <f>""</f>
        <v/>
      </c>
      <c r="V297" t="str">
        <f>""</f>
        <v/>
      </c>
      <c r="W297" t="str">
        <f>""</f>
        <v/>
      </c>
      <c r="X297" t="str">
        <f>""</f>
        <v/>
      </c>
      <c r="Z297" t="str">
        <f>"12.5290%"</f>
        <v>12.5290%</v>
      </c>
      <c r="AA297" t="str">
        <f>"0.3210%"</f>
        <v>0.3210%</v>
      </c>
      <c r="AE297" t="str">
        <f>""</f>
        <v/>
      </c>
    </row>
    <row r="298" spans="1:31" x14ac:dyDescent="0.3">
      <c r="A298" s="1" t="s">
        <v>166</v>
      </c>
      <c r="B298" t="s">
        <v>113</v>
      </c>
      <c r="C298" t="s">
        <v>167</v>
      </c>
      <c r="D298" t="s">
        <v>128</v>
      </c>
      <c r="E298" t="s">
        <v>36</v>
      </c>
      <c r="F298" t="s">
        <v>129</v>
      </c>
      <c r="G298" t="str">
        <f>"10000"</f>
        <v>10000</v>
      </c>
      <c r="H298" t="s">
        <v>168</v>
      </c>
      <c r="I298" t="str">
        <f>"8%"</f>
        <v>8%</v>
      </c>
      <c r="J298" t="str">
        <f>"-0.16"</f>
        <v>-0.16</v>
      </c>
      <c r="K298" t="str">
        <f t="shared" si="31"/>
        <v>100</v>
      </c>
      <c r="L298" t="str">
        <f>"KEAP1"</f>
        <v>KEAP1</v>
      </c>
      <c r="M298" t="str">
        <f>""</f>
        <v/>
      </c>
      <c r="O298" t="s">
        <v>169</v>
      </c>
      <c r="P298" t="str">
        <f>"15%"</f>
        <v>15%</v>
      </c>
      <c r="Q298" t="str">
        <f>"-0.04"</f>
        <v>-0.04</v>
      </c>
      <c r="R298" t="s">
        <v>2276</v>
      </c>
      <c r="U298" t="str">
        <f>""</f>
        <v/>
      </c>
      <c r="V298" t="str">
        <f>""</f>
        <v/>
      </c>
      <c r="W298" t="str">
        <f>""</f>
        <v/>
      </c>
      <c r="X298" t="str">
        <f>""</f>
        <v/>
      </c>
      <c r="Y298" t="s">
        <v>2277</v>
      </c>
      <c r="Z298" t="str">
        <f>"26.0190%"</f>
        <v>26.0190%</v>
      </c>
      <c r="AA298" t="str">
        <f>"9.0700%"</f>
        <v>9.0700%</v>
      </c>
      <c r="AE298" t="str">
        <f>""</f>
        <v/>
      </c>
    </row>
    <row r="299" spans="1:31" x14ac:dyDescent="0.3">
      <c r="A299" s="1" t="s">
        <v>2278</v>
      </c>
      <c r="B299" t="s">
        <v>266</v>
      </c>
      <c r="C299" t="s">
        <v>2279</v>
      </c>
      <c r="D299" t="s">
        <v>36</v>
      </c>
      <c r="E299" t="s">
        <v>50</v>
      </c>
      <c r="F299" t="s">
        <v>37</v>
      </c>
      <c r="G299" t="str">
        <f>"11000"</f>
        <v>11000</v>
      </c>
      <c r="H299" t="s">
        <v>2280</v>
      </c>
      <c r="I299" t="str">
        <f>"49%"</f>
        <v>49%</v>
      </c>
      <c r="J299" t="str">
        <f>"0.00"</f>
        <v>0.00</v>
      </c>
      <c r="K299" t="str">
        <f>"110"</f>
        <v>110</v>
      </c>
      <c r="L299" t="str">
        <f>"PTCH1 p.G37R"</f>
        <v>PTCH1 p.G37R</v>
      </c>
      <c r="M299" t="str">
        <f>"NM_000264"</f>
        <v>NM_000264</v>
      </c>
      <c r="O299" t="s">
        <v>2281</v>
      </c>
      <c r="P299" t="str">
        <f>"52%"</f>
        <v>52%</v>
      </c>
      <c r="Q299" t="str">
        <f>"-0.01"</f>
        <v>-0.01</v>
      </c>
      <c r="S299" t="s">
        <v>40</v>
      </c>
      <c r="T299" t="s">
        <v>2282</v>
      </c>
      <c r="U299" t="str">
        <f>"0.1700%"</f>
        <v>0.1700%</v>
      </c>
      <c r="V299" t="str">
        <f>"0.1400%"</f>
        <v>0.1400%</v>
      </c>
      <c r="W299" t="str">
        <f>""</f>
        <v/>
      </c>
      <c r="X299" t="str">
        <f>"0.2796%"</f>
        <v>0.2796%</v>
      </c>
      <c r="Y299" t="s">
        <v>2283</v>
      </c>
      <c r="Z299" t="str">
        <f>"0.0920%"</f>
        <v>0.0920%</v>
      </c>
      <c r="AA299" t="str">
        <f>"0.0920%"</f>
        <v>0.0920%</v>
      </c>
      <c r="AC299" t="s">
        <v>2284</v>
      </c>
      <c r="AD299" t="s">
        <v>2285</v>
      </c>
      <c r="AE299" t="str">
        <f>"7.432"</f>
        <v>7.432</v>
      </c>
    </row>
    <row r="300" spans="1:31" x14ac:dyDescent="0.3">
      <c r="A300" s="1" t="s">
        <v>155</v>
      </c>
      <c r="B300" t="s">
        <v>47</v>
      </c>
      <c r="C300" t="s">
        <v>156</v>
      </c>
      <c r="D300" t="s">
        <v>2286</v>
      </c>
      <c r="E300" t="s">
        <v>35</v>
      </c>
      <c r="F300" t="s">
        <v>37</v>
      </c>
      <c r="G300" t="str">
        <f>"10000"</f>
        <v>10000</v>
      </c>
      <c r="H300" t="s">
        <v>158</v>
      </c>
      <c r="I300" t="str">
        <f>"93%"</f>
        <v>93%</v>
      </c>
      <c r="J300" t="str">
        <f>"-0.54"</f>
        <v>-0.54</v>
      </c>
      <c r="K300" t="str">
        <f>"110"</f>
        <v>110</v>
      </c>
      <c r="L300" t="str">
        <f>"AR p.57_60del"</f>
        <v>AR p.57_60del</v>
      </c>
      <c r="M300" t="str">
        <f>"NM_000044"</f>
        <v>NM_000044</v>
      </c>
      <c r="O300" t="s">
        <v>2281</v>
      </c>
      <c r="P300" t="str">
        <f>"95%"</f>
        <v>95%</v>
      </c>
      <c r="Q300" t="str">
        <f>"-0.55"</f>
        <v>-0.55</v>
      </c>
      <c r="S300" t="s">
        <v>160</v>
      </c>
      <c r="T300" t="s">
        <v>2287</v>
      </c>
      <c r="U300" t="str">
        <f>"1.1400%"</f>
        <v>1.1400%</v>
      </c>
      <c r="V300" t="str">
        <f>""</f>
        <v/>
      </c>
      <c r="W300" t="str">
        <f>"5.1600%"</f>
        <v>5.1600%</v>
      </c>
      <c r="X300" t="str">
        <f>""</f>
        <v/>
      </c>
      <c r="Y300" t="s">
        <v>2288</v>
      </c>
      <c r="Z300" t="str">
        <f>"9.9040%"</f>
        <v>9.9040%</v>
      </c>
      <c r="AA300" t="str">
        <f>"9.1200%"</f>
        <v>9.1200%</v>
      </c>
      <c r="AC300" t="s">
        <v>2289</v>
      </c>
      <c r="AD300" t="s">
        <v>2290</v>
      </c>
      <c r="AE300" t="str">
        <f>""</f>
        <v/>
      </c>
    </row>
    <row r="301" spans="1:31" x14ac:dyDescent="0.3">
      <c r="A301" s="1" t="s">
        <v>2291</v>
      </c>
      <c r="B301" t="s">
        <v>274</v>
      </c>
      <c r="C301" t="s">
        <v>2292</v>
      </c>
      <c r="D301" t="s">
        <v>82</v>
      </c>
      <c r="E301" t="s">
        <v>2293</v>
      </c>
      <c r="F301" t="s">
        <v>129</v>
      </c>
      <c r="G301" t="str">
        <f>"11000"</f>
        <v>11000</v>
      </c>
      <c r="H301" t="s">
        <v>1738</v>
      </c>
      <c r="I301" t="str">
        <f>"53%"</f>
        <v>53%</v>
      </c>
      <c r="J301" t="str">
        <f>"-0.02"</f>
        <v>-0.02</v>
      </c>
      <c r="K301" t="str">
        <f>"110"</f>
        <v>110</v>
      </c>
      <c r="L301" t="str">
        <f>"FANCA"</f>
        <v>FANCA</v>
      </c>
      <c r="M301" t="str">
        <f>""</f>
        <v/>
      </c>
      <c r="O301" t="s">
        <v>1731</v>
      </c>
      <c r="P301" t="str">
        <f>"41%"</f>
        <v>41%</v>
      </c>
      <c r="Q301" t="str">
        <f>"-0.00"</f>
        <v>-0.00</v>
      </c>
      <c r="R301" t="s">
        <v>2294</v>
      </c>
      <c r="U301" t="str">
        <f>""</f>
        <v/>
      </c>
      <c r="V301" t="str">
        <f>""</f>
        <v/>
      </c>
      <c r="W301" t="str">
        <f>""</f>
        <v/>
      </c>
      <c r="X301" t="str">
        <f>"52.2963%"</f>
        <v>52.2963%</v>
      </c>
      <c r="Y301" t="s">
        <v>2295</v>
      </c>
      <c r="Z301" t="str">
        <f>"39.3720%"</f>
        <v>39.3720%</v>
      </c>
      <c r="AA301" t="str">
        <f>"40.2660%"</f>
        <v>40.2660%</v>
      </c>
      <c r="AD301" t="s">
        <v>2296</v>
      </c>
      <c r="AE301" t="str">
        <f>""</f>
        <v/>
      </c>
    </row>
    <row r="302" spans="1:31" x14ac:dyDescent="0.3">
      <c r="A302" s="1" t="s">
        <v>1728</v>
      </c>
      <c r="B302" t="s">
        <v>351</v>
      </c>
      <c r="C302" t="s">
        <v>1729</v>
      </c>
      <c r="D302" t="s">
        <v>2297</v>
      </c>
      <c r="E302" t="s">
        <v>36</v>
      </c>
      <c r="F302" t="s">
        <v>129</v>
      </c>
      <c r="G302" t="str">
        <f>"11000"</f>
        <v>11000</v>
      </c>
      <c r="H302" t="s">
        <v>1731</v>
      </c>
      <c r="I302" t="str">
        <f>"59%"</f>
        <v>59%</v>
      </c>
      <c r="J302" t="str">
        <f>"-0.01"</f>
        <v>-0.01</v>
      </c>
      <c r="K302" t="str">
        <f>"110"</f>
        <v>110</v>
      </c>
      <c r="L302" t="str">
        <f>"KIF9-AS1;SETD2"</f>
        <v>KIF9-AS1;SETD2</v>
      </c>
      <c r="M302" t="str">
        <f>""</f>
        <v/>
      </c>
      <c r="O302" t="s">
        <v>1732</v>
      </c>
      <c r="P302" t="str">
        <f>"56%"</f>
        <v>56%</v>
      </c>
      <c r="Q302" t="str">
        <f>"-0.01"</f>
        <v>-0.01</v>
      </c>
      <c r="R302" t="s">
        <v>2298</v>
      </c>
      <c r="U302" t="str">
        <f>""</f>
        <v/>
      </c>
      <c r="V302" t="str">
        <f>""</f>
        <v/>
      </c>
      <c r="W302" t="str">
        <f>""</f>
        <v/>
      </c>
      <c r="X302" t="str">
        <f>"82.2284%"</f>
        <v>82.2284%</v>
      </c>
      <c r="Y302" t="s">
        <v>2299</v>
      </c>
      <c r="Z302" t="str">
        <f>"62.7810%"</f>
        <v>62.7810%</v>
      </c>
      <c r="AA302" t="str">
        <f>"63.1240%"</f>
        <v>63.1240%</v>
      </c>
      <c r="AE302" t="str">
        <f>""</f>
        <v/>
      </c>
    </row>
    <row r="303" spans="1:31" x14ac:dyDescent="0.3">
      <c r="A303" s="1" t="s">
        <v>2300</v>
      </c>
      <c r="B303" t="s">
        <v>113</v>
      </c>
      <c r="C303" t="s">
        <v>2301</v>
      </c>
      <c r="D303" t="s">
        <v>50</v>
      </c>
      <c r="E303" t="s">
        <v>36</v>
      </c>
      <c r="F303" t="s">
        <v>129</v>
      </c>
      <c r="G303" t="str">
        <f>"00000"</f>
        <v>00000</v>
      </c>
      <c r="H303" t="s">
        <v>245</v>
      </c>
      <c r="I303" t="str">
        <f>"."</f>
        <v>.</v>
      </c>
      <c r="J303" t="str">
        <f>"-0.16"</f>
        <v>-0.16</v>
      </c>
      <c r="K303" t="str">
        <f>"010"</f>
        <v>010</v>
      </c>
      <c r="L303" t="str">
        <f>"DOT1L"</f>
        <v>DOT1L</v>
      </c>
      <c r="M303" t="str">
        <f>""</f>
        <v/>
      </c>
      <c r="O303" t="s">
        <v>2302</v>
      </c>
      <c r="P303" t="str">
        <f>"36%"</f>
        <v>36%</v>
      </c>
      <c r="Q303" t="str">
        <f>"-0.04"</f>
        <v>-0.04</v>
      </c>
      <c r="R303" t="s">
        <v>2303</v>
      </c>
      <c r="U303" t="str">
        <f>""</f>
        <v/>
      </c>
      <c r="V303" t="str">
        <f>""</f>
        <v/>
      </c>
      <c r="W303" t="str">
        <f>""</f>
        <v/>
      </c>
      <c r="X303" t="str">
        <f>""</f>
        <v/>
      </c>
      <c r="Y303" t="s">
        <v>2304</v>
      </c>
      <c r="Z303" t="str">
        <f>"13.9030%"</f>
        <v>13.9030%</v>
      </c>
      <c r="AA303" t="str">
        <f>"12.8260%"</f>
        <v>12.8260%</v>
      </c>
      <c r="AE303" t="str">
        <f>""</f>
        <v/>
      </c>
    </row>
    <row r="304" spans="1:31" x14ac:dyDescent="0.3">
      <c r="A304" s="1" t="s">
        <v>2305</v>
      </c>
      <c r="B304" t="s">
        <v>330</v>
      </c>
      <c r="C304" t="s">
        <v>2306</v>
      </c>
      <c r="D304" t="s">
        <v>82</v>
      </c>
      <c r="E304" t="s">
        <v>35</v>
      </c>
      <c r="F304" t="s">
        <v>37</v>
      </c>
      <c r="G304" t="str">
        <f>"00000"</f>
        <v>00000</v>
      </c>
      <c r="H304" t="s">
        <v>2307</v>
      </c>
      <c r="I304" t="str">
        <f>"0%"</f>
        <v>0%</v>
      </c>
      <c r="J304" t="str">
        <f>"0.05"</f>
        <v>0.05</v>
      </c>
      <c r="K304" t="str">
        <f>"100"</f>
        <v>100</v>
      </c>
      <c r="L304" t="str">
        <f>"GNAS p.E10V"</f>
        <v>GNAS p.E10V</v>
      </c>
      <c r="M304" t="str">
        <f>"NM_000516"</f>
        <v>NM_000516</v>
      </c>
      <c r="O304" t="s">
        <v>2302</v>
      </c>
      <c r="P304" t="str">
        <f>"18%"</f>
        <v>18%</v>
      </c>
      <c r="Q304" t="str">
        <f>"-0.01"</f>
        <v>-0.01</v>
      </c>
      <c r="S304" t="s">
        <v>40</v>
      </c>
      <c r="T304" t="s">
        <v>2308</v>
      </c>
      <c r="U304" t="str">
        <f>""</f>
        <v/>
      </c>
      <c r="V304" t="str">
        <f>""</f>
        <v/>
      </c>
      <c r="W304" t="str">
        <f>""</f>
        <v/>
      </c>
      <c r="X304" t="str">
        <f>""</f>
        <v/>
      </c>
      <c r="Z304" t="str">
        <f>""</f>
        <v/>
      </c>
      <c r="AA304" t="str">
        <f>""</f>
        <v/>
      </c>
      <c r="AE304" t="str">
        <f>"16.61"</f>
        <v>16.61</v>
      </c>
    </row>
    <row r="305" spans="1:31" x14ac:dyDescent="0.3">
      <c r="A305" s="1" t="s">
        <v>2309</v>
      </c>
      <c r="B305" t="s">
        <v>113</v>
      </c>
      <c r="C305" t="s">
        <v>2310</v>
      </c>
      <c r="D305" t="s">
        <v>35</v>
      </c>
      <c r="E305" t="s">
        <v>36</v>
      </c>
      <c r="F305" t="s">
        <v>129</v>
      </c>
      <c r="G305" t="str">
        <f>"00000"</f>
        <v>00000</v>
      </c>
      <c r="H305" t="s">
        <v>245</v>
      </c>
      <c r="I305" t="str">
        <f>"."</f>
        <v>.</v>
      </c>
      <c r="J305" t="str">
        <f>"-0.16"</f>
        <v>-0.16</v>
      </c>
      <c r="K305" t="str">
        <f>"010"</f>
        <v>010</v>
      </c>
      <c r="L305" t="str">
        <f>"DOT1L"</f>
        <v>DOT1L</v>
      </c>
      <c r="M305" t="str">
        <f>""</f>
        <v/>
      </c>
      <c r="O305" t="s">
        <v>2311</v>
      </c>
      <c r="P305" t="str">
        <f>"40%"</f>
        <v>40%</v>
      </c>
      <c r="Q305" t="str">
        <f>"-0.04"</f>
        <v>-0.04</v>
      </c>
      <c r="R305" t="s">
        <v>2312</v>
      </c>
      <c r="U305" t="str">
        <f>""</f>
        <v/>
      </c>
      <c r="V305" t="str">
        <f>""</f>
        <v/>
      </c>
      <c r="W305" t="str">
        <f>""</f>
        <v/>
      </c>
      <c r="X305" t="str">
        <f>""</f>
        <v/>
      </c>
      <c r="Y305" t="s">
        <v>2313</v>
      </c>
      <c r="Z305" t="str">
        <f>"7.3980%"</f>
        <v>7.3980%</v>
      </c>
      <c r="AA305" t="str">
        <f>"11.1310%"</f>
        <v>11.1310%</v>
      </c>
      <c r="AE305" t="str">
        <f>""</f>
        <v/>
      </c>
    </row>
    <row r="306" spans="1:31" x14ac:dyDescent="0.3">
      <c r="A306" s="1" t="s">
        <v>2314</v>
      </c>
      <c r="B306" t="s">
        <v>330</v>
      </c>
      <c r="C306" t="s">
        <v>2315</v>
      </c>
      <c r="D306" t="s">
        <v>36</v>
      </c>
      <c r="E306" t="s">
        <v>50</v>
      </c>
      <c r="F306" t="s">
        <v>37</v>
      </c>
      <c r="G306" t="str">
        <f>"11000"</f>
        <v>11000</v>
      </c>
      <c r="H306" t="s">
        <v>2316</v>
      </c>
      <c r="I306" t="str">
        <f>"100%"</f>
        <v>100%</v>
      </c>
      <c r="J306" t="str">
        <f>"0.05"</f>
        <v>0.05</v>
      </c>
      <c r="K306" t="str">
        <f>"110"</f>
        <v>110</v>
      </c>
      <c r="L306" t="str">
        <f>"PTPRT"</f>
        <v>PTPRT</v>
      </c>
      <c r="M306" t="str">
        <f>""</f>
        <v/>
      </c>
      <c r="O306" t="s">
        <v>1754</v>
      </c>
      <c r="P306" t="str">
        <f>"100%"</f>
        <v>100%</v>
      </c>
      <c r="Q306" t="str">
        <f>"-0.01"</f>
        <v>-0.01</v>
      </c>
      <c r="S306" t="s">
        <v>40</v>
      </c>
      <c r="T306" t="s">
        <v>2317</v>
      </c>
      <c r="U306" t="str">
        <f>"92.1100%"</f>
        <v>92.1100%</v>
      </c>
      <c r="V306" t="str">
        <f>"90.8400%"</f>
        <v>90.8400%</v>
      </c>
      <c r="W306" t="str">
        <f>""</f>
        <v/>
      </c>
      <c r="X306" t="str">
        <f>"71.1062%"</f>
        <v>71.1062%</v>
      </c>
      <c r="Y306" t="s">
        <v>2318</v>
      </c>
      <c r="Z306" t="str">
        <f>"78.6530%"</f>
        <v>78.6530%</v>
      </c>
      <c r="AA306" t="str">
        <f>"76.2020%"</f>
        <v>76.2020%</v>
      </c>
      <c r="AC306" t="s">
        <v>2319</v>
      </c>
      <c r="AE306" t="str">
        <f>"15.90"</f>
        <v>15.90</v>
      </c>
    </row>
    <row r="307" spans="1:31" x14ac:dyDescent="0.3">
      <c r="A307" s="1" t="s">
        <v>2320</v>
      </c>
      <c r="B307" t="s">
        <v>47</v>
      </c>
      <c r="C307" t="s">
        <v>2321</v>
      </c>
      <c r="D307" t="s">
        <v>35</v>
      </c>
      <c r="E307" t="s">
        <v>2322</v>
      </c>
      <c r="F307" t="s">
        <v>37</v>
      </c>
      <c r="G307" t="str">
        <f>"11000"</f>
        <v>11000</v>
      </c>
      <c r="H307" t="s">
        <v>2280</v>
      </c>
      <c r="I307" t="str">
        <f>"84%"</f>
        <v>84%</v>
      </c>
      <c r="J307" t="str">
        <f>"-0.54"</f>
        <v>-0.54</v>
      </c>
      <c r="K307" t="str">
        <f>"100"</f>
        <v>100</v>
      </c>
      <c r="L307" t="str">
        <f>"AR p.G456delinsGG"</f>
        <v>AR p.G456delinsGG</v>
      </c>
      <c r="M307" t="str">
        <f>"NM_000044"</f>
        <v>NM_000044</v>
      </c>
      <c r="O307" t="s">
        <v>1754</v>
      </c>
      <c r="P307" t="str">
        <f>"100%"</f>
        <v>100%</v>
      </c>
      <c r="Q307" t="str">
        <f>"-0.55"</f>
        <v>-0.55</v>
      </c>
      <c r="S307" t="s">
        <v>2323</v>
      </c>
      <c r="T307" t="s">
        <v>2324</v>
      </c>
      <c r="U307" t="str">
        <f>""</f>
        <v/>
      </c>
      <c r="V307" t="str">
        <f>""</f>
        <v/>
      </c>
      <c r="W307" t="str">
        <f>""</f>
        <v/>
      </c>
      <c r="X307" t="str">
        <f>"19.7616%"</f>
        <v>19.7616%</v>
      </c>
      <c r="Y307" t="s">
        <v>2325</v>
      </c>
      <c r="Z307" t="str">
        <f>"22.8000%"</f>
        <v>22.8000%</v>
      </c>
      <c r="AA307" t="str">
        <f>"23.6130%"</f>
        <v>23.6130%</v>
      </c>
      <c r="AD307" t="s">
        <v>2326</v>
      </c>
      <c r="AE307" t="str">
        <f>""</f>
        <v/>
      </c>
    </row>
    <row r="308" spans="1:31" x14ac:dyDescent="0.3">
      <c r="A308" s="1" t="s">
        <v>319</v>
      </c>
      <c r="B308" t="s">
        <v>320</v>
      </c>
      <c r="C308" t="s">
        <v>321</v>
      </c>
      <c r="D308" t="s">
        <v>322</v>
      </c>
      <c r="E308" t="s">
        <v>36</v>
      </c>
      <c r="F308" t="s">
        <v>37</v>
      </c>
      <c r="G308" t="str">
        <f>"00000"</f>
        <v>00000</v>
      </c>
      <c r="H308" t="s">
        <v>323</v>
      </c>
      <c r="I308" t="str">
        <f>"2%"</f>
        <v>2%</v>
      </c>
      <c r="J308" t="str">
        <f>"-0.07"</f>
        <v>-0.07</v>
      </c>
      <c r="K308" t="str">
        <f>"000"</f>
        <v>000</v>
      </c>
      <c r="L308" t="str">
        <f>"TET2 p.1545_1545del"</f>
        <v>TET2 p.1545_1545del</v>
      </c>
      <c r="M308" t="str">
        <f>"NM_001127208"</f>
        <v>NM_001127208</v>
      </c>
      <c r="O308" t="s">
        <v>245</v>
      </c>
      <c r="P308" t="str">
        <f>"."</f>
        <v>.</v>
      </c>
      <c r="Q308" t="str">
        <f>"-0.01"</f>
        <v>-0.01</v>
      </c>
      <c r="S308" t="s">
        <v>160</v>
      </c>
      <c r="T308" t="s">
        <v>324</v>
      </c>
      <c r="U308" t="str">
        <f>""</f>
        <v/>
      </c>
      <c r="V308" t="str">
        <f>"0.0000%"</f>
        <v>0.0000%</v>
      </c>
      <c r="W308" t="str">
        <f>""</f>
        <v/>
      </c>
      <c r="X308" t="str">
        <f>""</f>
        <v/>
      </c>
      <c r="Z308" t="str">
        <f>"0.0230%"</f>
        <v>0.0230%</v>
      </c>
      <c r="AA308" t="str">
        <f>"0.0230%"</f>
        <v>0.0230%</v>
      </c>
      <c r="AE308" t="str">
        <f>""</f>
        <v/>
      </c>
    </row>
    <row r="309" spans="1:31" x14ac:dyDescent="0.3">
      <c r="A309" s="1" t="s">
        <v>325</v>
      </c>
      <c r="B309" t="s">
        <v>274</v>
      </c>
      <c r="C309" t="s">
        <v>326</v>
      </c>
      <c r="D309" t="s">
        <v>327</v>
      </c>
      <c r="E309" t="s">
        <v>35</v>
      </c>
      <c r="F309" t="s">
        <v>37</v>
      </c>
      <c r="G309" t="str">
        <f>"00000"</f>
        <v>00000</v>
      </c>
      <c r="H309" t="s">
        <v>91</v>
      </c>
      <c r="I309" t="str">
        <f>"3%"</f>
        <v>3%</v>
      </c>
      <c r="J309" t="str">
        <f>"0.25"</f>
        <v>0.25</v>
      </c>
      <c r="K309" t="str">
        <f>"000"</f>
        <v>000</v>
      </c>
      <c r="L309" t="str">
        <f>"ZFHX3 p.782_783del"</f>
        <v>ZFHX3 p.782_783del</v>
      </c>
      <c r="M309" t="str">
        <f>"NM_006885"</f>
        <v>NM_006885</v>
      </c>
      <c r="O309" t="s">
        <v>245</v>
      </c>
      <c r="P309" t="str">
        <f>"."</f>
        <v>.</v>
      </c>
      <c r="Q309" t="str">
        <f>"-0.00"</f>
        <v>-0.00</v>
      </c>
      <c r="S309" t="s">
        <v>160</v>
      </c>
      <c r="T309" t="s">
        <v>328</v>
      </c>
      <c r="U309" t="str">
        <f>""</f>
        <v/>
      </c>
      <c r="V309" t="str">
        <f>""</f>
        <v/>
      </c>
      <c r="W309" t="str">
        <f>""</f>
        <v/>
      </c>
      <c r="X309" t="str">
        <f>""</f>
        <v/>
      </c>
      <c r="Z309" t="str">
        <f>"1.0770%"</f>
        <v>1.0770%</v>
      </c>
      <c r="AA309" t="str">
        <f>"1.0770%"</f>
        <v>1.0770%</v>
      </c>
      <c r="AE309" t="str">
        <f>""</f>
        <v/>
      </c>
    </row>
  </sheetData>
  <autoFilter ref="A1:AE309" xr:uid="{00000000-0009-0000-0000-000002000000}"/>
  <hyperlinks>
    <hyperlink ref="A2" r:id="rId1" xr:uid="{00000000-0004-0000-0200-000000000000}"/>
    <hyperlink ref="A3" r:id="rId2" xr:uid="{00000000-0004-0000-0200-000001000000}"/>
    <hyperlink ref="A4" r:id="rId3" xr:uid="{00000000-0004-0000-0200-000002000000}"/>
    <hyperlink ref="A5" r:id="rId4" xr:uid="{00000000-0004-0000-0200-000003000000}"/>
    <hyperlink ref="A6" r:id="rId5" xr:uid="{00000000-0004-0000-0200-000004000000}"/>
    <hyperlink ref="A7" r:id="rId6" xr:uid="{00000000-0004-0000-0200-000005000000}"/>
    <hyperlink ref="A8" r:id="rId7" xr:uid="{00000000-0004-0000-0200-000006000000}"/>
    <hyperlink ref="A9" r:id="rId8" xr:uid="{00000000-0004-0000-0200-000007000000}"/>
    <hyperlink ref="A10" r:id="rId9" xr:uid="{00000000-0004-0000-0200-000008000000}"/>
    <hyperlink ref="A11" r:id="rId10" xr:uid="{00000000-0004-0000-0200-000009000000}"/>
    <hyperlink ref="A12" r:id="rId11" xr:uid="{00000000-0004-0000-0200-00000A000000}"/>
    <hyperlink ref="A13" r:id="rId12" xr:uid="{00000000-0004-0000-0200-00000B000000}"/>
    <hyperlink ref="A14" r:id="rId13" xr:uid="{00000000-0004-0000-0200-00000C000000}"/>
    <hyperlink ref="A15" r:id="rId14" xr:uid="{00000000-0004-0000-0200-00000D000000}"/>
    <hyperlink ref="A16" r:id="rId15" xr:uid="{00000000-0004-0000-0200-00000E000000}"/>
    <hyperlink ref="A17" r:id="rId16" xr:uid="{00000000-0004-0000-0200-00000F000000}"/>
    <hyperlink ref="A18" r:id="rId17" xr:uid="{00000000-0004-0000-0200-000010000000}"/>
    <hyperlink ref="A19" r:id="rId18" xr:uid="{00000000-0004-0000-0200-000011000000}"/>
    <hyperlink ref="A20" r:id="rId19" xr:uid="{00000000-0004-0000-0200-000012000000}"/>
    <hyperlink ref="A21" r:id="rId20" xr:uid="{00000000-0004-0000-0200-000013000000}"/>
    <hyperlink ref="A22" r:id="rId21" xr:uid="{00000000-0004-0000-0200-000014000000}"/>
    <hyperlink ref="A23" r:id="rId22" xr:uid="{00000000-0004-0000-0200-000015000000}"/>
    <hyperlink ref="A24" r:id="rId23" xr:uid="{00000000-0004-0000-0200-000016000000}"/>
    <hyperlink ref="A25" r:id="rId24" xr:uid="{00000000-0004-0000-0200-000017000000}"/>
    <hyperlink ref="A26" r:id="rId25" xr:uid="{00000000-0004-0000-0200-000018000000}"/>
    <hyperlink ref="A27" r:id="rId26" xr:uid="{00000000-0004-0000-0200-000019000000}"/>
    <hyperlink ref="A28" r:id="rId27" xr:uid="{00000000-0004-0000-0200-00001A000000}"/>
    <hyperlink ref="A29" r:id="rId28" xr:uid="{00000000-0004-0000-0200-00001B000000}"/>
    <hyperlink ref="A30" r:id="rId29" xr:uid="{00000000-0004-0000-0200-00001C000000}"/>
    <hyperlink ref="A31" r:id="rId30" xr:uid="{00000000-0004-0000-0200-00001D000000}"/>
    <hyperlink ref="A32" r:id="rId31" xr:uid="{00000000-0004-0000-0200-00001E000000}"/>
    <hyperlink ref="A33" r:id="rId32" xr:uid="{00000000-0004-0000-0200-00001F000000}"/>
    <hyperlink ref="A34" r:id="rId33" xr:uid="{00000000-0004-0000-0200-000020000000}"/>
    <hyperlink ref="A35" r:id="rId34" xr:uid="{00000000-0004-0000-0200-000021000000}"/>
    <hyperlink ref="A36" r:id="rId35" xr:uid="{00000000-0004-0000-0200-000022000000}"/>
    <hyperlink ref="A37" r:id="rId36" xr:uid="{00000000-0004-0000-0200-000023000000}"/>
    <hyperlink ref="A38" r:id="rId37" xr:uid="{00000000-0004-0000-0200-000024000000}"/>
    <hyperlink ref="A39" r:id="rId38" xr:uid="{00000000-0004-0000-0200-000025000000}"/>
    <hyperlink ref="A40" r:id="rId39" xr:uid="{00000000-0004-0000-0200-000026000000}"/>
    <hyperlink ref="A41" r:id="rId40" xr:uid="{00000000-0004-0000-0200-000027000000}"/>
    <hyperlink ref="A42" r:id="rId41" xr:uid="{00000000-0004-0000-0200-000028000000}"/>
    <hyperlink ref="A43" r:id="rId42" xr:uid="{00000000-0004-0000-0200-000029000000}"/>
    <hyperlink ref="A44" r:id="rId43" xr:uid="{00000000-0004-0000-0200-00002A000000}"/>
    <hyperlink ref="A45" r:id="rId44" xr:uid="{00000000-0004-0000-0200-00002B000000}"/>
    <hyperlink ref="A46" r:id="rId45" xr:uid="{00000000-0004-0000-0200-00002C000000}"/>
    <hyperlink ref="A47" r:id="rId46" xr:uid="{00000000-0004-0000-0200-00002D000000}"/>
    <hyperlink ref="A48" r:id="rId47" xr:uid="{00000000-0004-0000-0200-00002E000000}"/>
    <hyperlink ref="A49" r:id="rId48" xr:uid="{00000000-0004-0000-0200-00002F000000}"/>
    <hyperlink ref="A50" r:id="rId49" xr:uid="{00000000-0004-0000-0200-000030000000}"/>
    <hyperlink ref="A51" r:id="rId50" xr:uid="{00000000-0004-0000-0200-000031000000}"/>
    <hyperlink ref="A52" r:id="rId51" xr:uid="{00000000-0004-0000-0200-000032000000}"/>
    <hyperlink ref="A53" r:id="rId52" xr:uid="{00000000-0004-0000-0200-000033000000}"/>
    <hyperlink ref="A54" r:id="rId53" xr:uid="{00000000-0004-0000-0200-000034000000}"/>
    <hyperlink ref="A55" r:id="rId54" xr:uid="{00000000-0004-0000-0200-000035000000}"/>
    <hyperlink ref="A56" r:id="rId55" xr:uid="{00000000-0004-0000-0200-000036000000}"/>
    <hyperlink ref="A57" r:id="rId56" xr:uid="{00000000-0004-0000-0200-000037000000}"/>
    <hyperlink ref="A58" r:id="rId57" xr:uid="{00000000-0004-0000-0200-000038000000}"/>
    <hyperlink ref="A59" r:id="rId58" xr:uid="{00000000-0004-0000-0200-000039000000}"/>
    <hyperlink ref="A60" r:id="rId59" xr:uid="{00000000-0004-0000-0200-00003A000000}"/>
    <hyperlink ref="A61" r:id="rId60" xr:uid="{00000000-0004-0000-0200-00003B000000}"/>
    <hyperlink ref="A62" r:id="rId61" xr:uid="{00000000-0004-0000-0200-00003C000000}"/>
    <hyperlink ref="A63" r:id="rId62" xr:uid="{00000000-0004-0000-0200-00003D000000}"/>
    <hyperlink ref="A64" r:id="rId63" xr:uid="{00000000-0004-0000-0200-00003E000000}"/>
    <hyperlink ref="A65" r:id="rId64" xr:uid="{00000000-0004-0000-0200-00003F000000}"/>
    <hyperlink ref="A66" r:id="rId65" xr:uid="{00000000-0004-0000-0200-000040000000}"/>
    <hyperlink ref="A67" r:id="rId66" xr:uid="{00000000-0004-0000-0200-000041000000}"/>
    <hyperlink ref="A68" r:id="rId67" xr:uid="{00000000-0004-0000-0200-000042000000}"/>
    <hyperlink ref="A69" r:id="rId68" xr:uid="{00000000-0004-0000-0200-000043000000}"/>
    <hyperlink ref="A70" r:id="rId69" xr:uid="{00000000-0004-0000-0200-000044000000}"/>
    <hyperlink ref="A71" r:id="rId70" xr:uid="{00000000-0004-0000-0200-000045000000}"/>
    <hyperlink ref="A72" r:id="rId71" xr:uid="{00000000-0004-0000-0200-000046000000}"/>
    <hyperlink ref="A73" r:id="rId72" xr:uid="{00000000-0004-0000-0200-000047000000}"/>
    <hyperlink ref="A74" r:id="rId73" xr:uid="{00000000-0004-0000-0200-000048000000}"/>
    <hyperlink ref="A75" r:id="rId74" xr:uid="{00000000-0004-0000-0200-000049000000}"/>
    <hyperlink ref="A76" r:id="rId75" xr:uid="{00000000-0004-0000-0200-00004A000000}"/>
    <hyperlink ref="A77" r:id="rId76" xr:uid="{00000000-0004-0000-0200-00004B000000}"/>
    <hyperlink ref="A78" r:id="rId77" xr:uid="{00000000-0004-0000-0200-00004C000000}"/>
    <hyperlink ref="A79" r:id="rId78" xr:uid="{00000000-0004-0000-0200-00004D000000}"/>
    <hyperlink ref="A80" r:id="rId79" xr:uid="{00000000-0004-0000-0200-00004E000000}"/>
    <hyperlink ref="A81" r:id="rId80" xr:uid="{00000000-0004-0000-0200-00004F000000}"/>
    <hyperlink ref="A82" r:id="rId81" xr:uid="{00000000-0004-0000-0200-000050000000}"/>
    <hyperlink ref="A83" r:id="rId82" xr:uid="{00000000-0004-0000-0200-000051000000}"/>
    <hyperlink ref="A84" r:id="rId83" xr:uid="{00000000-0004-0000-0200-000052000000}"/>
    <hyperlink ref="A85" r:id="rId84" xr:uid="{00000000-0004-0000-0200-000053000000}"/>
    <hyperlink ref="A86" r:id="rId85" xr:uid="{00000000-0004-0000-0200-000054000000}"/>
    <hyperlink ref="A87" r:id="rId86" xr:uid="{00000000-0004-0000-0200-000055000000}"/>
    <hyperlink ref="A88" r:id="rId87" xr:uid="{00000000-0004-0000-0200-000056000000}"/>
    <hyperlink ref="A89" r:id="rId88" xr:uid="{00000000-0004-0000-0200-000057000000}"/>
    <hyperlink ref="A90" r:id="rId89" xr:uid="{00000000-0004-0000-0200-000058000000}"/>
    <hyperlink ref="A91" r:id="rId90" xr:uid="{00000000-0004-0000-0200-000059000000}"/>
    <hyperlink ref="A92" r:id="rId91" xr:uid="{00000000-0004-0000-0200-00005A000000}"/>
    <hyperlink ref="A93" r:id="rId92" xr:uid="{00000000-0004-0000-0200-00005B000000}"/>
    <hyperlink ref="A94" r:id="rId93" xr:uid="{00000000-0004-0000-0200-00005C000000}"/>
    <hyperlink ref="A95" r:id="rId94" xr:uid="{00000000-0004-0000-0200-00005D000000}"/>
    <hyperlink ref="A96" r:id="rId95" xr:uid="{00000000-0004-0000-0200-00005E000000}"/>
    <hyperlink ref="A97" r:id="rId96" xr:uid="{00000000-0004-0000-0200-00005F000000}"/>
    <hyperlink ref="A98" r:id="rId97" xr:uid="{00000000-0004-0000-0200-000060000000}"/>
    <hyperlink ref="A99" r:id="rId98" xr:uid="{00000000-0004-0000-0200-000061000000}"/>
    <hyperlink ref="A100" r:id="rId99" xr:uid="{00000000-0004-0000-0200-000062000000}"/>
    <hyperlink ref="A101" r:id="rId100" xr:uid="{00000000-0004-0000-0200-000063000000}"/>
    <hyperlink ref="A102" r:id="rId101" xr:uid="{00000000-0004-0000-0200-000064000000}"/>
    <hyperlink ref="A103" r:id="rId102" xr:uid="{00000000-0004-0000-0200-000065000000}"/>
    <hyperlink ref="A104" r:id="rId103" xr:uid="{00000000-0004-0000-0200-000066000000}"/>
    <hyperlink ref="A105" r:id="rId104" xr:uid="{00000000-0004-0000-0200-000067000000}"/>
    <hyperlink ref="A106" r:id="rId105" xr:uid="{00000000-0004-0000-0200-000068000000}"/>
    <hyperlink ref="A107" r:id="rId106" xr:uid="{00000000-0004-0000-0200-000069000000}"/>
    <hyperlink ref="A108" r:id="rId107" xr:uid="{00000000-0004-0000-0200-00006A000000}"/>
    <hyperlink ref="A109" r:id="rId108" xr:uid="{00000000-0004-0000-0200-00006B000000}"/>
    <hyperlink ref="A110" r:id="rId109" xr:uid="{00000000-0004-0000-0200-00006C000000}"/>
    <hyperlink ref="A111" r:id="rId110" xr:uid="{00000000-0004-0000-0200-00006D000000}"/>
    <hyperlink ref="A112" r:id="rId111" xr:uid="{00000000-0004-0000-0200-00006E000000}"/>
    <hyperlink ref="A113" r:id="rId112" xr:uid="{00000000-0004-0000-0200-00006F000000}"/>
    <hyperlink ref="A114" r:id="rId113" xr:uid="{00000000-0004-0000-0200-000070000000}"/>
    <hyperlink ref="A115" r:id="rId114" xr:uid="{00000000-0004-0000-0200-000071000000}"/>
    <hyperlink ref="A116" r:id="rId115" xr:uid="{00000000-0004-0000-0200-000072000000}"/>
    <hyperlink ref="A117" r:id="rId116" xr:uid="{00000000-0004-0000-0200-000073000000}"/>
    <hyperlink ref="A118" r:id="rId117" xr:uid="{00000000-0004-0000-0200-000074000000}"/>
    <hyperlink ref="A119" r:id="rId118" xr:uid="{00000000-0004-0000-0200-000075000000}"/>
    <hyperlink ref="A120" r:id="rId119" xr:uid="{00000000-0004-0000-0200-000076000000}"/>
    <hyperlink ref="A121" r:id="rId120" xr:uid="{00000000-0004-0000-0200-000077000000}"/>
    <hyperlink ref="A122" r:id="rId121" xr:uid="{00000000-0004-0000-0200-000078000000}"/>
    <hyperlink ref="A123" r:id="rId122" xr:uid="{00000000-0004-0000-0200-000079000000}"/>
    <hyperlink ref="A124" r:id="rId123" xr:uid="{00000000-0004-0000-0200-00007A000000}"/>
    <hyperlink ref="A125" r:id="rId124" xr:uid="{00000000-0004-0000-0200-00007B000000}"/>
    <hyperlink ref="A126" r:id="rId125" xr:uid="{00000000-0004-0000-0200-00007C000000}"/>
    <hyperlink ref="A127" r:id="rId126" xr:uid="{00000000-0004-0000-0200-00007D000000}"/>
    <hyperlink ref="A128" r:id="rId127" xr:uid="{00000000-0004-0000-0200-00007E000000}"/>
    <hyperlink ref="A129" r:id="rId128" xr:uid="{00000000-0004-0000-0200-00007F000000}"/>
    <hyperlink ref="A130" r:id="rId129" xr:uid="{00000000-0004-0000-0200-000080000000}"/>
    <hyperlink ref="A131" r:id="rId130" xr:uid="{00000000-0004-0000-0200-000081000000}"/>
    <hyperlink ref="A132" r:id="rId131" xr:uid="{00000000-0004-0000-0200-000082000000}"/>
    <hyperlink ref="A133" r:id="rId132" xr:uid="{00000000-0004-0000-0200-000083000000}"/>
    <hyperlink ref="A134" r:id="rId133" xr:uid="{00000000-0004-0000-0200-000084000000}"/>
    <hyperlink ref="A135" r:id="rId134" xr:uid="{00000000-0004-0000-0200-000085000000}"/>
    <hyperlink ref="A136" r:id="rId135" xr:uid="{00000000-0004-0000-0200-000086000000}"/>
    <hyperlink ref="A137" r:id="rId136" xr:uid="{00000000-0004-0000-0200-000087000000}"/>
    <hyperlink ref="A138" r:id="rId137" xr:uid="{00000000-0004-0000-0200-000088000000}"/>
    <hyperlink ref="A139" r:id="rId138" xr:uid="{00000000-0004-0000-0200-000089000000}"/>
    <hyperlink ref="A140" r:id="rId139" xr:uid="{00000000-0004-0000-0200-00008A000000}"/>
    <hyperlink ref="A141" r:id="rId140" xr:uid="{00000000-0004-0000-0200-00008B000000}"/>
    <hyperlink ref="A142" r:id="rId141" xr:uid="{00000000-0004-0000-0200-00008C000000}"/>
    <hyperlink ref="A143" r:id="rId142" xr:uid="{00000000-0004-0000-0200-00008D000000}"/>
    <hyperlink ref="A144" r:id="rId143" xr:uid="{00000000-0004-0000-0200-00008E000000}"/>
    <hyperlink ref="A145" r:id="rId144" xr:uid="{00000000-0004-0000-0200-00008F000000}"/>
    <hyperlink ref="A146" r:id="rId145" xr:uid="{00000000-0004-0000-0200-000090000000}"/>
    <hyperlink ref="A147" r:id="rId146" xr:uid="{00000000-0004-0000-0200-000091000000}"/>
    <hyperlink ref="A148" r:id="rId147" xr:uid="{00000000-0004-0000-0200-000092000000}"/>
    <hyperlink ref="A149" r:id="rId148" xr:uid="{00000000-0004-0000-0200-000093000000}"/>
    <hyperlink ref="A150" r:id="rId149" xr:uid="{00000000-0004-0000-0200-000094000000}"/>
    <hyperlink ref="A151" r:id="rId150" xr:uid="{00000000-0004-0000-0200-000095000000}"/>
    <hyperlink ref="A152" r:id="rId151" xr:uid="{00000000-0004-0000-0200-000096000000}"/>
    <hyperlink ref="A153" r:id="rId152" xr:uid="{00000000-0004-0000-0200-000097000000}"/>
    <hyperlink ref="A154" r:id="rId153" xr:uid="{00000000-0004-0000-0200-000098000000}"/>
    <hyperlink ref="A155" r:id="rId154" xr:uid="{00000000-0004-0000-0200-000099000000}"/>
    <hyperlink ref="A156" r:id="rId155" xr:uid="{00000000-0004-0000-0200-00009A000000}"/>
    <hyperlink ref="A157" r:id="rId156" xr:uid="{00000000-0004-0000-0200-00009B000000}"/>
    <hyperlink ref="A158" r:id="rId157" xr:uid="{00000000-0004-0000-0200-00009C000000}"/>
    <hyperlink ref="A159" r:id="rId158" xr:uid="{00000000-0004-0000-0200-00009D000000}"/>
    <hyperlink ref="A160" r:id="rId159" xr:uid="{00000000-0004-0000-0200-00009E000000}"/>
    <hyperlink ref="A161" r:id="rId160" xr:uid="{00000000-0004-0000-0200-00009F000000}"/>
    <hyperlink ref="A162" r:id="rId161" xr:uid="{00000000-0004-0000-0200-0000A0000000}"/>
    <hyperlink ref="A163" r:id="rId162" xr:uid="{00000000-0004-0000-0200-0000A1000000}"/>
    <hyperlink ref="A164" r:id="rId163" xr:uid="{00000000-0004-0000-0200-0000A2000000}"/>
    <hyperlink ref="A165" r:id="rId164" xr:uid="{00000000-0004-0000-0200-0000A3000000}"/>
    <hyperlink ref="A166" r:id="rId165" xr:uid="{00000000-0004-0000-0200-0000A4000000}"/>
    <hyperlink ref="A167" r:id="rId166" xr:uid="{00000000-0004-0000-0200-0000A5000000}"/>
    <hyperlink ref="A168" r:id="rId167" xr:uid="{00000000-0004-0000-0200-0000A6000000}"/>
    <hyperlink ref="A169" r:id="rId168" xr:uid="{00000000-0004-0000-0200-0000A7000000}"/>
    <hyperlink ref="A170" r:id="rId169" xr:uid="{00000000-0004-0000-0200-0000A8000000}"/>
    <hyperlink ref="A171" r:id="rId170" xr:uid="{00000000-0004-0000-0200-0000A9000000}"/>
    <hyperlink ref="A172" r:id="rId171" xr:uid="{00000000-0004-0000-0200-0000AA000000}"/>
    <hyperlink ref="A173" r:id="rId172" xr:uid="{00000000-0004-0000-0200-0000AB000000}"/>
    <hyperlink ref="A174" r:id="rId173" xr:uid="{00000000-0004-0000-0200-0000AC000000}"/>
    <hyperlink ref="A175" r:id="rId174" xr:uid="{00000000-0004-0000-0200-0000AD000000}"/>
    <hyperlink ref="A176" r:id="rId175" xr:uid="{00000000-0004-0000-0200-0000AE000000}"/>
    <hyperlink ref="A177" r:id="rId176" xr:uid="{00000000-0004-0000-0200-0000AF000000}"/>
    <hyperlink ref="A178" r:id="rId177" xr:uid="{00000000-0004-0000-0200-0000B0000000}"/>
    <hyperlink ref="A179" r:id="rId178" xr:uid="{00000000-0004-0000-0200-0000B1000000}"/>
    <hyperlink ref="A180" r:id="rId179" xr:uid="{00000000-0004-0000-0200-0000B2000000}"/>
    <hyperlink ref="A181" r:id="rId180" xr:uid="{00000000-0004-0000-0200-0000B3000000}"/>
    <hyperlink ref="A182" r:id="rId181" xr:uid="{00000000-0004-0000-0200-0000B4000000}"/>
    <hyperlink ref="A183" r:id="rId182" xr:uid="{00000000-0004-0000-0200-0000B5000000}"/>
    <hyperlink ref="A184" r:id="rId183" xr:uid="{00000000-0004-0000-0200-0000B6000000}"/>
    <hyperlink ref="A185" r:id="rId184" xr:uid="{00000000-0004-0000-0200-0000B7000000}"/>
    <hyperlink ref="A186" r:id="rId185" xr:uid="{00000000-0004-0000-0200-0000B8000000}"/>
    <hyperlink ref="A187" r:id="rId186" xr:uid="{00000000-0004-0000-0200-0000B9000000}"/>
    <hyperlink ref="A188" r:id="rId187" xr:uid="{00000000-0004-0000-0200-0000BA000000}"/>
    <hyperlink ref="A189" r:id="rId188" xr:uid="{00000000-0004-0000-0200-0000BB000000}"/>
    <hyperlink ref="A190" r:id="rId189" xr:uid="{00000000-0004-0000-0200-0000BC000000}"/>
    <hyperlink ref="A191" r:id="rId190" xr:uid="{00000000-0004-0000-0200-0000BD000000}"/>
    <hyperlink ref="A192" r:id="rId191" xr:uid="{00000000-0004-0000-0200-0000BE000000}"/>
    <hyperlink ref="A193" r:id="rId192" xr:uid="{00000000-0004-0000-0200-0000BF000000}"/>
    <hyperlink ref="A194" r:id="rId193" xr:uid="{00000000-0004-0000-0200-0000C0000000}"/>
    <hyperlink ref="A195" r:id="rId194" xr:uid="{00000000-0004-0000-0200-0000C1000000}"/>
    <hyperlink ref="A196" r:id="rId195" xr:uid="{00000000-0004-0000-0200-0000C2000000}"/>
    <hyperlink ref="A197" r:id="rId196" xr:uid="{00000000-0004-0000-0200-0000C3000000}"/>
    <hyperlink ref="A198" r:id="rId197" xr:uid="{00000000-0004-0000-0200-0000C4000000}"/>
    <hyperlink ref="A199" r:id="rId198" xr:uid="{00000000-0004-0000-0200-0000C5000000}"/>
    <hyperlink ref="A200" r:id="rId199" xr:uid="{00000000-0004-0000-0200-0000C6000000}"/>
    <hyperlink ref="A201" r:id="rId200" xr:uid="{00000000-0004-0000-0200-0000C7000000}"/>
    <hyperlink ref="A202" r:id="rId201" xr:uid="{00000000-0004-0000-0200-0000C8000000}"/>
    <hyperlink ref="A203" r:id="rId202" xr:uid="{00000000-0004-0000-0200-0000C9000000}"/>
    <hyperlink ref="A204" r:id="rId203" xr:uid="{00000000-0004-0000-0200-0000CA000000}"/>
    <hyperlink ref="A205" r:id="rId204" xr:uid="{00000000-0004-0000-0200-0000CB000000}"/>
    <hyperlink ref="A206" r:id="rId205" xr:uid="{00000000-0004-0000-0200-0000CC000000}"/>
    <hyperlink ref="A207" r:id="rId206" xr:uid="{00000000-0004-0000-0200-0000CD000000}"/>
    <hyperlink ref="A208" r:id="rId207" xr:uid="{00000000-0004-0000-0200-0000CE000000}"/>
    <hyperlink ref="A209" r:id="rId208" xr:uid="{00000000-0004-0000-0200-0000CF000000}"/>
    <hyperlink ref="A210" r:id="rId209" xr:uid="{00000000-0004-0000-0200-0000D0000000}"/>
    <hyperlink ref="A211" r:id="rId210" xr:uid="{00000000-0004-0000-0200-0000D1000000}"/>
    <hyperlink ref="A212" r:id="rId211" xr:uid="{00000000-0004-0000-0200-0000D2000000}"/>
    <hyperlink ref="A213" r:id="rId212" xr:uid="{00000000-0004-0000-0200-0000D3000000}"/>
    <hyperlink ref="A214" r:id="rId213" xr:uid="{00000000-0004-0000-0200-0000D4000000}"/>
    <hyperlink ref="A215" r:id="rId214" xr:uid="{00000000-0004-0000-0200-0000D5000000}"/>
    <hyperlink ref="A216" r:id="rId215" xr:uid="{00000000-0004-0000-0200-0000D6000000}"/>
    <hyperlink ref="A217" r:id="rId216" xr:uid="{00000000-0004-0000-0200-0000D7000000}"/>
    <hyperlink ref="A218" r:id="rId217" xr:uid="{00000000-0004-0000-0200-0000D8000000}"/>
    <hyperlink ref="A219" r:id="rId218" xr:uid="{00000000-0004-0000-0200-0000D9000000}"/>
    <hyperlink ref="A220" r:id="rId219" xr:uid="{00000000-0004-0000-0200-0000DA000000}"/>
    <hyperlink ref="A221" r:id="rId220" xr:uid="{00000000-0004-0000-0200-0000DB000000}"/>
    <hyperlink ref="A222" r:id="rId221" xr:uid="{00000000-0004-0000-0200-0000DC000000}"/>
    <hyperlink ref="A223" r:id="rId222" xr:uid="{00000000-0004-0000-0200-0000DD000000}"/>
    <hyperlink ref="A224" r:id="rId223" xr:uid="{00000000-0004-0000-0200-0000DE000000}"/>
    <hyperlink ref="A225" r:id="rId224" xr:uid="{00000000-0004-0000-0200-0000DF000000}"/>
    <hyperlink ref="A226" r:id="rId225" xr:uid="{00000000-0004-0000-0200-0000E0000000}"/>
    <hyperlink ref="A227" r:id="rId226" xr:uid="{00000000-0004-0000-0200-0000E1000000}"/>
    <hyperlink ref="A228" r:id="rId227" xr:uid="{00000000-0004-0000-0200-0000E2000000}"/>
    <hyperlink ref="A229" r:id="rId228" xr:uid="{00000000-0004-0000-0200-0000E3000000}"/>
    <hyperlink ref="A230" r:id="rId229" xr:uid="{00000000-0004-0000-0200-0000E4000000}"/>
    <hyperlink ref="A231" r:id="rId230" xr:uid="{00000000-0004-0000-0200-0000E5000000}"/>
    <hyperlink ref="A232" r:id="rId231" xr:uid="{00000000-0004-0000-0200-0000E6000000}"/>
    <hyperlink ref="A233" r:id="rId232" xr:uid="{00000000-0004-0000-0200-0000E7000000}"/>
    <hyperlink ref="A234" r:id="rId233" xr:uid="{00000000-0004-0000-0200-0000E8000000}"/>
    <hyperlink ref="A235" r:id="rId234" xr:uid="{00000000-0004-0000-0200-0000E9000000}"/>
    <hyperlink ref="A236" r:id="rId235" xr:uid="{00000000-0004-0000-0200-0000EA000000}"/>
    <hyperlink ref="A237" r:id="rId236" xr:uid="{00000000-0004-0000-0200-0000EB000000}"/>
    <hyperlink ref="A238" r:id="rId237" xr:uid="{00000000-0004-0000-0200-0000EC000000}"/>
    <hyperlink ref="A239" r:id="rId238" xr:uid="{00000000-0004-0000-0200-0000ED000000}"/>
    <hyperlink ref="A240" r:id="rId239" xr:uid="{00000000-0004-0000-0200-0000EE000000}"/>
    <hyperlink ref="A241" r:id="rId240" xr:uid="{00000000-0004-0000-0200-0000EF000000}"/>
    <hyperlink ref="A242" r:id="rId241" xr:uid="{00000000-0004-0000-0200-0000F0000000}"/>
    <hyperlink ref="A243" r:id="rId242" xr:uid="{00000000-0004-0000-0200-0000F1000000}"/>
    <hyperlink ref="A244" r:id="rId243" xr:uid="{00000000-0004-0000-0200-0000F2000000}"/>
    <hyperlink ref="A245" r:id="rId244" xr:uid="{00000000-0004-0000-0200-0000F3000000}"/>
    <hyperlink ref="A246" r:id="rId245" xr:uid="{00000000-0004-0000-0200-0000F4000000}"/>
    <hyperlink ref="A247" r:id="rId246" xr:uid="{00000000-0004-0000-0200-0000F5000000}"/>
    <hyperlink ref="A248" r:id="rId247" xr:uid="{00000000-0004-0000-0200-0000F6000000}"/>
    <hyperlink ref="A249" r:id="rId248" xr:uid="{00000000-0004-0000-0200-0000F7000000}"/>
    <hyperlink ref="A250" r:id="rId249" xr:uid="{00000000-0004-0000-0200-0000F8000000}"/>
    <hyperlink ref="A251" r:id="rId250" xr:uid="{00000000-0004-0000-0200-0000F9000000}"/>
    <hyperlink ref="A252" r:id="rId251" xr:uid="{00000000-0004-0000-0200-0000FA000000}"/>
    <hyperlink ref="A253" r:id="rId252" xr:uid="{00000000-0004-0000-0200-0000FB000000}"/>
    <hyperlink ref="A254" r:id="rId253" xr:uid="{00000000-0004-0000-0200-0000FC000000}"/>
    <hyperlink ref="A255" r:id="rId254" xr:uid="{00000000-0004-0000-0200-0000FD000000}"/>
    <hyperlink ref="A256" r:id="rId255" xr:uid="{00000000-0004-0000-0200-0000FE000000}"/>
    <hyperlink ref="A257" r:id="rId256" xr:uid="{00000000-0004-0000-0200-0000FF000000}"/>
    <hyperlink ref="A258" r:id="rId257" xr:uid="{00000000-0004-0000-0200-000000010000}"/>
    <hyperlink ref="A259" r:id="rId258" xr:uid="{00000000-0004-0000-0200-000001010000}"/>
    <hyperlink ref="A260" r:id="rId259" xr:uid="{00000000-0004-0000-0200-000002010000}"/>
    <hyperlink ref="A261" r:id="rId260" xr:uid="{00000000-0004-0000-0200-000003010000}"/>
    <hyperlink ref="A262" r:id="rId261" xr:uid="{00000000-0004-0000-0200-000004010000}"/>
    <hyperlink ref="A263" r:id="rId262" xr:uid="{00000000-0004-0000-0200-000005010000}"/>
    <hyperlink ref="A264" r:id="rId263" xr:uid="{00000000-0004-0000-0200-000006010000}"/>
    <hyperlink ref="A265" r:id="rId264" xr:uid="{00000000-0004-0000-0200-000007010000}"/>
    <hyperlink ref="A266" r:id="rId265" xr:uid="{00000000-0004-0000-0200-000008010000}"/>
    <hyperlink ref="A267" r:id="rId266" xr:uid="{00000000-0004-0000-0200-000009010000}"/>
    <hyperlink ref="A268" r:id="rId267" xr:uid="{00000000-0004-0000-0200-00000A010000}"/>
    <hyperlink ref="A269" r:id="rId268" xr:uid="{00000000-0004-0000-0200-00000B010000}"/>
    <hyperlink ref="A270" r:id="rId269" xr:uid="{00000000-0004-0000-0200-00000C010000}"/>
    <hyperlink ref="A271" r:id="rId270" xr:uid="{00000000-0004-0000-0200-00000D010000}"/>
    <hyperlink ref="A272" r:id="rId271" xr:uid="{00000000-0004-0000-0200-00000E010000}"/>
    <hyperlink ref="A273" r:id="rId272" xr:uid="{00000000-0004-0000-0200-00000F010000}"/>
    <hyperlink ref="A274" r:id="rId273" xr:uid="{00000000-0004-0000-0200-000010010000}"/>
    <hyperlink ref="A275" r:id="rId274" xr:uid="{00000000-0004-0000-0200-000011010000}"/>
    <hyperlink ref="A276" r:id="rId275" xr:uid="{00000000-0004-0000-0200-000012010000}"/>
    <hyperlink ref="A277" r:id="rId276" xr:uid="{00000000-0004-0000-0200-000013010000}"/>
    <hyperlink ref="A278" r:id="rId277" xr:uid="{00000000-0004-0000-0200-000014010000}"/>
    <hyperlink ref="A279" r:id="rId278" xr:uid="{00000000-0004-0000-0200-000015010000}"/>
    <hyperlink ref="A280" r:id="rId279" xr:uid="{00000000-0004-0000-0200-000016010000}"/>
    <hyperlink ref="A281" r:id="rId280" xr:uid="{00000000-0004-0000-0200-000017010000}"/>
    <hyperlink ref="A282" r:id="rId281" xr:uid="{00000000-0004-0000-0200-000018010000}"/>
    <hyperlink ref="A283" r:id="rId282" xr:uid="{00000000-0004-0000-0200-000019010000}"/>
    <hyperlink ref="A284" r:id="rId283" xr:uid="{00000000-0004-0000-0200-00001A010000}"/>
    <hyperlink ref="A285" r:id="rId284" xr:uid="{00000000-0004-0000-0200-00001B010000}"/>
    <hyperlink ref="A286" r:id="rId285" xr:uid="{00000000-0004-0000-0200-00001C010000}"/>
    <hyperlink ref="A287" r:id="rId286" xr:uid="{00000000-0004-0000-0200-00001D010000}"/>
    <hyperlink ref="A288" r:id="rId287" xr:uid="{00000000-0004-0000-0200-00001E010000}"/>
    <hyperlink ref="A289" r:id="rId288" xr:uid="{00000000-0004-0000-0200-00001F010000}"/>
    <hyperlink ref="A290" r:id="rId289" xr:uid="{00000000-0004-0000-0200-000020010000}"/>
    <hyperlink ref="A291" r:id="rId290" xr:uid="{00000000-0004-0000-0200-000021010000}"/>
    <hyperlink ref="A292" r:id="rId291" xr:uid="{00000000-0004-0000-0200-000022010000}"/>
    <hyperlink ref="A293" r:id="rId292" xr:uid="{00000000-0004-0000-0200-000023010000}"/>
    <hyperlink ref="A294" r:id="rId293" xr:uid="{00000000-0004-0000-0200-000024010000}"/>
    <hyperlink ref="A295" r:id="rId294" xr:uid="{00000000-0004-0000-0200-000025010000}"/>
    <hyperlink ref="A296" r:id="rId295" xr:uid="{00000000-0004-0000-0200-000026010000}"/>
    <hyperlink ref="A297" r:id="rId296" xr:uid="{00000000-0004-0000-0200-000027010000}"/>
    <hyperlink ref="A298" r:id="rId297" xr:uid="{00000000-0004-0000-0200-000028010000}"/>
    <hyperlink ref="A299" r:id="rId298" xr:uid="{00000000-0004-0000-0200-000029010000}"/>
    <hyperlink ref="A300" r:id="rId299" xr:uid="{00000000-0004-0000-0200-00002A010000}"/>
    <hyperlink ref="A301" r:id="rId300" xr:uid="{00000000-0004-0000-0200-00002B010000}"/>
    <hyperlink ref="A302" r:id="rId301" xr:uid="{00000000-0004-0000-0200-00002C010000}"/>
    <hyperlink ref="A303" r:id="rId302" xr:uid="{00000000-0004-0000-0200-00002D010000}"/>
    <hyperlink ref="A304" r:id="rId303" xr:uid="{00000000-0004-0000-0200-00002E010000}"/>
    <hyperlink ref="A305" r:id="rId304" xr:uid="{00000000-0004-0000-0200-00002F010000}"/>
    <hyperlink ref="A306" r:id="rId305" xr:uid="{00000000-0004-0000-0200-000030010000}"/>
    <hyperlink ref="A307" r:id="rId306" xr:uid="{00000000-0004-0000-0200-000031010000}"/>
    <hyperlink ref="A308" r:id="rId307" xr:uid="{00000000-0004-0000-0200-000032010000}"/>
    <hyperlink ref="A309" r:id="rId308" xr:uid="{00000000-0004-0000-0200-00003301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Somatic</vt:lpstr>
      <vt:lpstr>Germline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EduardoR</cp:lastModifiedBy>
  <dcterms:created xsi:type="dcterms:W3CDTF">2019-07-31T17:27:51Z</dcterms:created>
  <dcterms:modified xsi:type="dcterms:W3CDTF">2023-02-15T02:23:33Z</dcterms:modified>
</cp:coreProperties>
</file>